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
    </mc:Choice>
  </mc:AlternateContent>
  <xr:revisionPtr revIDLastSave="3" documentId="8_{D8C5C257-F3F0-46BD-B5D7-A4CBD3428DDE}" xr6:coauthVersionLast="47" xr6:coauthVersionMax="47" xr10:uidLastSave="{3ED6BB89-6CF3-4DA9-A71B-D596B300973C}"/>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3" l="1"/>
  <c r="B4" i="16" l="1"/>
  <c r="B7" i="16" l="1"/>
  <c r="B6" i="17"/>
  <c r="B7" i="13" l="1"/>
  <c r="A5" i="17" l="1"/>
  <c r="G6" i="17" l="1"/>
  <c r="C6" i="17"/>
  <c r="D6" i="17"/>
  <c r="E6" i="17"/>
  <c r="F6" i="17"/>
  <c r="I6" i="17"/>
  <c r="E30" i="16" l="1"/>
  <c r="B30" i="16"/>
  <c r="E29" i="16"/>
  <c r="B29" i="16"/>
  <c r="E28" i="16"/>
  <c r="B28" i="16"/>
  <c r="E27" i="16"/>
  <c r="B27" i="16"/>
  <c r="E26" i="16"/>
  <c r="B26" i="16"/>
  <c r="B25" i="16"/>
  <c r="J5" i="16"/>
  <c r="H4" i="16"/>
  <c r="H3" i="16"/>
  <c r="B3" i="16"/>
  <c r="B26" i="13" l="1"/>
  <c r="E26" i="13"/>
  <c r="B27" i="13"/>
  <c r="E27" i="13"/>
  <c r="B28" i="13"/>
  <c r="E28" i="13"/>
  <c r="B29" i="13"/>
  <c r="E29" i="13"/>
  <c r="B30" i="13"/>
  <c r="E30" i="13"/>
  <c r="B25" i="13"/>
  <c r="L5" i="13" l="1"/>
  <c r="N5" i="13"/>
  <c r="P5" i="13"/>
  <c r="B4" i="13" l="1"/>
  <c r="N4" i="13"/>
  <c r="B3" i="13"/>
  <c r="N3" i="13"/>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B10" i="4"/>
  <c r="B11" i="4"/>
  <c r="B12" i="4"/>
  <c r="B13" i="4"/>
  <c r="B14" i="4"/>
  <c r="B15" i="4"/>
  <c r="B48" i="4"/>
  <c r="B54" i="4" s="1"/>
  <c r="B60" i="4" s="1"/>
  <c r="B66" i="4" s="1"/>
  <c r="J27" i="4"/>
  <c r="G42" i="4"/>
  <c r="G48" i="4"/>
  <c r="G54" i="4" s="1"/>
  <c r="G60" i="4" s="1"/>
  <c r="G66" i="4" s="1"/>
  <c r="G43" i="4"/>
  <c r="G49" i="4"/>
  <c r="G55" i="4" s="1"/>
  <c r="G61" i="4" s="1"/>
  <c r="G67" i="4" s="1"/>
  <c r="G44" i="4"/>
  <c r="G50" i="4" s="1"/>
  <c r="G56" i="4" s="1"/>
  <c r="G62" i="4" s="1"/>
  <c r="G68" i="4" s="1"/>
  <c r="G45" i="4"/>
  <c r="G51" i="4"/>
  <c r="G46" i="4"/>
  <c r="L48" i="4"/>
  <c r="L54" i="4" s="1"/>
  <c r="L60" i="4" s="1"/>
  <c r="L66" i="4" s="1"/>
  <c r="G52" i="4"/>
  <c r="G58" i="4"/>
  <c r="G64" i="4" s="1"/>
  <c r="G70" i="4" s="1"/>
  <c r="G57" i="4"/>
  <c r="G63" i="4" s="1"/>
  <c r="G69"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s="1"/>
  <c r="G56" i="5" s="1"/>
  <c r="G62" i="5" s="1"/>
  <c r="G68" i="5" s="1"/>
  <c r="G45" i="5"/>
  <c r="G51" i="5" s="1"/>
  <c r="G57" i="5" s="1"/>
  <c r="G63" i="5" s="1"/>
  <c r="G69" i="5" s="1"/>
  <c r="G46" i="5"/>
  <c r="G52" i="5" s="1"/>
  <c r="G58" i="5" s="1"/>
  <c r="G64" i="5" s="1"/>
  <c r="G70" i="5" s="1"/>
  <c r="G48" i="5"/>
  <c r="G54" i="5" s="1"/>
  <c r="G60" i="5" s="1"/>
  <c r="G66" i="5" s="1"/>
  <c r="L48" i="5"/>
  <c r="L54" i="5"/>
  <c r="L60" i="5" s="1"/>
  <c r="L66" i="5" s="1"/>
  <c r="F1" i="6"/>
  <c r="B2" i="6"/>
  <c r="B3" i="6"/>
  <c r="B6" i="6"/>
  <c r="B7" i="6"/>
  <c r="B8" i="6"/>
  <c r="B9" i="6"/>
  <c r="B10" i="6"/>
  <c r="B11" i="6"/>
  <c r="B12" i="6"/>
  <c r="B13" i="6"/>
  <c r="B14" i="6"/>
  <c r="B15" i="6"/>
  <c r="B48" i="6"/>
  <c r="B54" i="6" s="1"/>
  <c r="B60" i="6" s="1"/>
  <c r="B66" i="6" s="1"/>
  <c r="J27" i="6"/>
  <c r="G42" i="6"/>
  <c r="G48" i="6"/>
  <c r="G54" i="6" s="1"/>
  <c r="G60" i="6" s="1"/>
  <c r="G66" i="6" s="1"/>
  <c r="G43" i="6"/>
  <c r="G49" i="6" s="1"/>
  <c r="G55" i="6" s="1"/>
  <c r="G61" i="6" s="1"/>
  <c r="G67" i="6" s="1"/>
  <c r="G44" i="6"/>
  <c r="G45" i="6"/>
  <c r="G51" i="6" s="1"/>
  <c r="G57" i="6" s="1"/>
  <c r="G63" i="6" s="1"/>
  <c r="G69" i="6" s="1"/>
  <c r="G46" i="6"/>
  <c r="G52" i="6" s="1"/>
  <c r="G58" i="6" s="1"/>
  <c r="G64" i="6" s="1"/>
  <c r="G70" i="6" s="1"/>
  <c r="L48" i="6"/>
  <c r="L54" i="6"/>
  <c r="L60" i="6" s="1"/>
  <c r="L66" i="6" s="1"/>
  <c r="G50" i="6"/>
  <c r="G56" i="6"/>
  <c r="G62" i="6" s="1"/>
  <c r="G68" i="6" s="1"/>
  <c r="F1" i="7"/>
  <c r="B2" i="7"/>
  <c r="B3" i="7"/>
  <c r="B6" i="7"/>
  <c r="B7" i="7"/>
  <c r="B8" i="7"/>
  <c r="B9" i="7"/>
  <c r="B10" i="7"/>
  <c r="B11" i="7"/>
  <c r="B12" i="7"/>
  <c r="B13" i="7"/>
  <c r="B14" i="7"/>
  <c r="B15" i="7"/>
  <c r="B48" i="7"/>
  <c r="B54" i="7"/>
  <c r="B60" i="7" s="1"/>
  <c r="B66" i="7" s="1"/>
  <c r="J27" i="7"/>
  <c r="G42" i="7"/>
  <c r="G48" i="7" s="1"/>
  <c r="G54" i="7" s="1"/>
  <c r="G60" i="7" s="1"/>
  <c r="G66" i="7" s="1"/>
  <c r="G43" i="7"/>
  <c r="G49" i="7"/>
  <c r="G44" i="7"/>
  <c r="G45" i="7"/>
  <c r="G51" i="7" s="1"/>
  <c r="G57" i="7" s="1"/>
  <c r="G63" i="7" s="1"/>
  <c r="G69" i="7" s="1"/>
  <c r="G46" i="7"/>
  <c r="L48" i="7"/>
  <c r="L54" i="7" s="1"/>
  <c r="L60" i="7" s="1"/>
  <c r="L66" i="7" s="1"/>
  <c r="G50" i="7"/>
  <c r="G56" i="7"/>
  <c r="G62" i="7" s="1"/>
  <c r="G68" i="7" s="1"/>
  <c r="G52" i="7"/>
  <c r="G58" i="7"/>
  <c r="G64" i="7" s="1"/>
  <c r="G70" i="7" s="1"/>
  <c r="G55" i="7"/>
  <c r="G61" i="7" s="1"/>
  <c r="G67"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51" i="8" s="1"/>
  <c r="G57" i="8" s="1"/>
  <c r="G63" i="8" s="1"/>
  <c r="G69" i="8" s="1"/>
  <c r="G46" i="8"/>
  <c r="G52" i="8"/>
  <c r="G48" i="8"/>
  <c r="G54" i="8"/>
  <c r="G60" i="8" s="1"/>
  <c r="G66" i="8" s="1"/>
  <c r="L48" i="8"/>
  <c r="G50" i="8"/>
  <c r="L54" i="8"/>
  <c r="L60" i="8"/>
  <c r="L66" i="8" s="1"/>
  <c r="G56" i="8"/>
  <c r="G62" i="8" s="1"/>
  <c r="G68" i="8" s="1"/>
  <c r="G58" i="8"/>
  <c r="G64" i="8" s="1"/>
  <c r="G70" i="8" s="1"/>
  <c r="E3" i="9"/>
  <c r="B4" i="9"/>
  <c r="E4" i="9"/>
  <c r="B5" i="9"/>
  <c r="D6" i="9"/>
  <c r="E6" i="9"/>
  <c r="G6" i="9"/>
  <c r="H6" i="9"/>
  <c r="I6" i="9"/>
  <c r="B18" i="9"/>
  <c r="E2" i="10"/>
  <c r="D18" i="10" s="1"/>
  <c r="F2" i="10"/>
  <c r="G2" i="10"/>
  <c r="F18" i="10" s="1"/>
  <c r="H2" i="10"/>
  <c r="G18" i="10" s="1"/>
  <c r="I2" i="10"/>
  <c r="H18" i="10" s="1"/>
  <c r="J2" i="10"/>
  <c r="I18" i="10" s="1"/>
  <c r="B3" i="10"/>
  <c r="F15" i="10"/>
  <c r="B16" i="10"/>
  <c r="F16" i="10"/>
  <c r="B17" i="10"/>
  <c r="C18" i="10"/>
  <c r="E18" i="10"/>
  <c r="J18" i="10"/>
  <c r="B30" i="10"/>
  <c r="A15" i="11"/>
  <c r="F27" i="8" l="1"/>
  <c r="M66" i="8"/>
  <c r="F27" i="2"/>
  <c r="M66" i="2"/>
  <c r="F27" i="6"/>
  <c r="M66" i="6"/>
  <c r="M66" i="5"/>
  <c r="F27" i="5"/>
  <c r="M66" i="3"/>
  <c r="F27" i="3"/>
  <c r="F27" i="7"/>
  <c r="M66" i="7"/>
  <c r="F27" i="4"/>
  <c r="M66" i="4"/>
  <c r="H5" i="16"/>
  <c r="H5" i="13"/>
  <c r="F5" i="16"/>
  <c r="F5" i="13"/>
  <c r="F6" i="9"/>
  <c r="D5" i="16"/>
  <c r="D5" i="13"/>
  <c r="C8" i="7" l="1"/>
  <c r="C8" i="5"/>
  <c r="C8" i="2"/>
  <c r="C9" i="13"/>
  <c r="C8" i="6"/>
  <c r="C8" i="8"/>
  <c r="C8" i="3"/>
  <c r="C8" i="4"/>
  <c r="C9" i="16"/>
  <c r="E10" i="7" l="1"/>
  <c r="N10" i="7" s="1"/>
  <c r="N11" i="13"/>
  <c r="E6" i="7"/>
  <c r="N7" i="13"/>
  <c r="J3" i="10"/>
  <c r="J14" i="13"/>
  <c r="E13" i="5"/>
  <c r="N13" i="5" s="1"/>
  <c r="P8" i="4"/>
  <c r="C44" i="4"/>
  <c r="C7" i="4"/>
  <c r="C7" i="5"/>
  <c r="C8" i="16"/>
  <c r="C7" i="8"/>
  <c r="C8" i="13"/>
  <c r="C7" i="3"/>
  <c r="C7" i="2"/>
  <c r="C7" i="6"/>
  <c r="C7" i="7"/>
  <c r="F11" i="13"/>
  <c r="F11" i="16"/>
  <c r="E10" i="4"/>
  <c r="E14" i="4"/>
  <c r="N14" i="4" s="1"/>
  <c r="F15" i="13"/>
  <c r="F15" i="16"/>
  <c r="C44" i="3"/>
  <c r="P8" i="3"/>
  <c r="N15" i="13"/>
  <c r="E14" i="7"/>
  <c r="N14" i="7" s="1"/>
  <c r="F9" i="16"/>
  <c r="E8" i="4"/>
  <c r="F9" i="13"/>
  <c r="J12" i="13"/>
  <c r="E11" i="5"/>
  <c r="E15" i="5"/>
  <c r="N15" i="5" s="1"/>
  <c r="J16" i="13"/>
  <c r="C11" i="2"/>
  <c r="C12" i="16"/>
  <c r="C11" i="4"/>
  <c r="C11" i="8"/>
  <c r="C11" i="6"/>
  <c r="C12" i="13"/>
  <c r="C11" i="5"/>
  <c r="C11" i="3"/>
  <c r="C11" i="7"/>
  <c r="E8" i="7"/>
  <c r="N9" i="13"/>
  <c r="E12" i="4"/>
  <c r="F13" i="13"/>
  <c r="F13" i="16"/>
  <c r="P8" i="2"/>
  <c r="C44" i="2"/>
  <c r="E7" i="5"/>
  <c r="J8" i="13"/>
  <c r="C15" i="7"/>
  <c r="P15" i="7" s="1"/>
  <c r="C15" i="6"/>
  <c r="P15" i="6" s="1"/>
  <c r="C16" i="16"/>
  <c r="C15" i="2"/>
  <c r="P15" i="2" s="1"/>
  <c r="C15" i="8"/>
  <c r="P15" i="8" s="1"/>
  <c r="C15" i="3"/>
  <c r="P15" i="3" s="1"/>
  <c r="C16" i="13"/>
  <c r="C15" i="5"/>
  <c r="P15" i="5" s="1"/>
  <c r="C15" i="4"/>
  <c r="P15" i="4" s="1"/>
  <c r="P8" i="6"/>
  <c r="C44" i="6"/>
  <c r="C9" i="2"/>
  <c r="P9" i="2" s="1"/>
  <c r="C9" i="3"/>
  <c r="P9" i="3" s="1"/>
  <c r="C9" i="8"/>
  <c r="P9" i="8" s="1"/>
  <c r="C10" i="16"/>
  <c r="C9" i="6"/>
  <c r="P9" i="6" s="1"/>
  <c r="C10" i="13"/>
  <c r="C9" i="5"/>
  <c r="P9" i="5" s="1"/>
  <c r="C9" i="4"/>
  <c r="P9" i="4" s="1"/>
  <c r="C9" i="7"/>
  <c r="P9" i="7" s="1"/>
  <c r="E12" i="7"/>
  <c r="N13" i="13"/>
  <c r="P8" i="5"/>
  <c r="C44" i="5"/>
  <c r="P8" i="8"/>
  <c r="C44" i="8"/>
  <c r="F3" i="10"/>
  <c r="E6" i="4"/>
  <c r="F7" i="13"/>
  <c r="F7" i="16"/>
  <c r="E9" i="5"/>
  <c r="N9" i="5" s="1"/>
  <c r="J10" i="13"/>
  <c r="C13" i="8"/>
  <c r="P13" i="8" s="1"/>
  <c r="C13" i="2"/>
  <c r="P13" i="2" s="1"/>
  <c r="C13" i="4"/>
  <c r="P13" i="4" s="1"/>
  <c r="C13" i="5"/>
  <c r="P13" i="5" s="1"/>
  <c r="C14" i="16"/>
  <c r="C13" i="7"/>
  <c r="P13" i="7" s="1"/>
  <c r="C14" i="13"/>
  <c r="C13" i="3"/>
  <c r="P13" i="3" s="1"/>
  <c r="C13" i="6"/>
  <c r="P13" i="6" s="1"/>
  <c r="P8" i="7"/>
  <c r="C44" i="7"/>
  <c r="E12" i="2" l="1"/>
  <c r="D13" i="16"/>
  <c r="D13" i="13"/>
  <c r="C45" i="3"/>
  <c r="P11" i="3"/>
  <c r="E8" i="3"/>
  <c r="H9" i="13"/>
  <c r="H9" i="16"/>
  <c r="E15" i="7"/>
  <c r="N15" i="7" s="1"/>
  <c r="N16" i="13"/>
  <c r="E11" i="7"/>
  <c r="N12" i="13"/>
  <c r="E8" i="5"/>
  <c r="J9" i="13"/>
  <c r="L14" i="13"/>
  <c r="E13" i="6"/>
  <c r="N13" i="6" s="1"/>
  <c r="L16" i="13"/>
  <c r="E15" i="6"/>
  <c r="N15" i="6" s="1"/>
  <c r="E13" i="3"/>
  <c r="N13" i="3" s="1"/>
  <c r="H14" i="13"/>
  <c r="H14" i="16"/>
  <c r="D9" i="16"/>
  <c r="D9" i="13"/>
  <c r="E8" i="2"/>
  <c r="E14" i="5"/>
  <c r="N14" i="5" s="1"/>
  <c r="J15" i="13"/>
  <c r="E9" i="2"/>
  <c r="D10" i="16"/>
  <c r="D10" i="13"/>
  <c r="P7" i="4"/>
  <c r="C43" i="4"/>
  <c r="E11" i="6"/>
  <c r="L12" i="13"/>
  <c r="F16" i="16"/>
  <c r="E15" i="4"/>
  <c r="N15" i="4" s="1"/>
  <c r="F16" i="13"/>
  <c r="F12" i="13"/>
  <c r="F12" i="16"/>
  <c r="E11" i="4"/>
  <c r="E7" i="7"/>
  <c r="O7" i="7" s="1"/>
  <c r="N8" i="13"/>
  <c r="D14" i="16"/>
  <c r="D14" i="13"/>
  <c r="E13" i="2"/>
  <c r="N13" i="2" s="1"/>
  <c r="D12" i="16"/>
  <c r="D12" i="13"/>
  <c r="E11" i="2"/>
  <c r="E12" i="6"/>
  <c r="L13" i="13"/>
  <c r="H8" i="16"/>
  <c r="E7" i="3"/>
  <c r="H8" i="13"/>
  <c r="C45" i="7"/>
  <c r="P11" i="7"/>
  <c r="P11" i="2"/>
  <c r="C45" i="2"/>
  <c r="C43" i="5"/>
  <c r="P7" i="5"/>
  <c r="L7" i="13"/>
  <c r="E6" i="6"/>
  <c r="I3" i="10"/>
  <c r="L6" i="6"/>
  <c r="P7" i="7"/>
  <c r="C43" i="7"/>
  <c r="E13" i="7"/>
  <c r="N13" i="7" s="1"/>
  <c r="N14" i="13"/>
  <c r="C10" i="7"/>
  <c r="P10" i="7" s="1"/>
  <c r="C10" i="2"/>
  <c r="P10" i="2" s="1"/>
  <c r="C10" i="4"/>
  <c r="P10" i="4" s="1"/>
  <c r="C10" i="8"/>
  <c r="P10" i="8" s="1"/>
  <c r="C10" i="6"/>
  <c r="P10" i="6" s="1"/>
  <c r="C11" i="13"/>
  <c r="C10" i="5"/>
  <c r="P10" i="5" s="1"/>
  <c r="C10" i="3"/>
  <c r="P10" i="3" s="1"/>
  <c r="C11" i="16"/>
  <c r="J7" i="13"/>
  <c r="H3" i="10"/>
  <c r="E6" i="5"/>
  <c r="E10" i="3"/>
  <c r="H11" i="16"/>
  <c r="H11" i="13"/>
  <c r="G3" i="10"/>
  <c r="E6" i="3"/>
  <c r="H7" i="16"/>
  <c r="H7" i="13"/>
  <c r="F16" i="1"/>
  <c r="L6" i="3"/>
  <c r="E10" i="6"/>
  <c r="L11" i="13"/>
  <c r="D46" i="4"/>
  <c r="N12" i="4"/>
  <c r="C43" i="2"/>
  <c r="P7" i="2"/>
  <c r="D42" i="7"/>
  <c r="D48" i="7" s="1"/>
  <c r="D54" i="7" s="1"/>
  <c r="D60" i="7" s="1"/>
  <c r="D66" i="7" s="1"/>
  <c r="C14" i="2"/>
  <c r="P14" i="2" s="1"/>
  <c r="C14" i="3"/>
  <c r="P14" i="3" s="1"/>
  <c r="C14" i="6"/>
  <c r="P14" i="6" s="1"/>
  <c r="C14" i="5"/>
  <c r="P14" i="5" s="1"/>
  <c r="C14" i="4"/>
  <c r="P14" i="4" s="1"/>
  <c r="C14" i="8"/>
  <c r="P14" i="8" s="1"/>
  <c r="C15" i="16"/>
  <c r="C14" i="7"/>
  <c r="P14" i="7" s="1"/>
  <c r="C15" i="13"/>
  <c r="D7" i="13"/>
  <c r="D7" i="16"/>
  <c r="E6" i="2"/>
  <c r="E3" i="10"/>
  <c r="L6" i="2"/>
  <c r="F14" i="16"/>
  <c r="E13" i="4"/>
  <c r="N13" i="4" s="1"/>
  <c r="F14" i="13"/>
  <c r="E9" i="7"/>
  <c r="N10" i="13"/>
  <c r="C6" i="8"/>
  <c r="C6" i="6"/>
  <c r="C6" i="7"/>
  <c r="D3" i="10"/>
  <c r="C7" i="16"/>
  <c r="C6" i="5"/>
  <c r="C7" i="13"/>
  <c r="C6" i="4"/>
  <c r="C6" i="2"/>
  <c r="C6" i="3"/>
  <c r="E9" i="6"/>
  <c r="L10" i="13"/>
  <c r="H16" i="16"/>
  <c r="H16" i="13"/>
  <c r="E15" i="3"/>
  <c r="N15" i="3" s="1"/>
  <c r="D11" i="13"/>
  <c r="E10" i="2"/>
  <c r="D11" i="16"/>
  <c r="P11" i="6"/>
  <c r="C45" i="6"/>
  <c r="C43" i="3"/>
  <c r="P7" i="3"/>
  <c r="E12" i="3"/>
  <c r="H13" i="13"/>
  <c r="H13" i="16"/>
  <c r="N8" i="4"/>
  <c r="D44" i="4"/>
  <c r="E44" i="4" s="1"/>
  <c r="E10" i="5"/>
  <c r="J11" i="13"/>
  <c r="E12" i="5"/>
  <c r="J13" i="13"/>
  <c r="F10" i="16"/>
  <c r="F10" i="13"/>
  <c r="E9" i="4"/>
  <c r="D16" i="16"/>
  <c r="D16" i="13"/>
  <c r="E15" i="2"/>
  <c r="N15" i="2" s="1"/>
  <c r="E7" i="6"/>
  <c r="L8" i="13"/>
  <c r="L15" i="13"/>
  <c r="E14" i="6"/>
  <c r="N14" i="6" s="1"/>
  <c r="H10" i="16"/>
  <c r="H10" i="13"/>
  <c r="E9" i="3"/>
  <c r="D42" i="4"/>
  <c r="D48" i="4" s="1"/>
  <c r="D54" i="4" s="1"/>
  <c r="D60" i="4" s="1"/>
  <c r="D66" i="4" s="1"/>
  <c r="N12" i="7"/>
  <c r="D46" i="7"/>
  <c r="N7" i="5"/>
  <c r="D43" i="5"/>
  <c r="P11" i="8"/>
  <c r="C45" i="8"/>
  <c r="D45" i="5"/>
  <c r="N11" i="5"/>
  <c r="N10" i="4"/>
  <c r="F8" i="16"/>
  <c r="E7" i="4"/>
  <c r="O7" i="4" s="1"/>
  <c r="F8" i="13"/>
  <c r="J10" i="10"/>
  <c r="J11" i="10"/>
  <c r="J8" i="10"/>
  <c r="J12" i="10"/>
  <c r="J5" i="10"/>
  <c r="J9" i="10"/>
  <c r="J7" i="10"/>
  <c r="J4" i="10"/>
  <c r="J6" i="10"/>
  <c r="E11" i="3"/>
  <c r="H12" i="16"/>
  <c r="H12" i="13"/>
  <c r="P11" i="5"/>
  <c r="C45" i="5"/>
  <c r="P7" i="6"/>
  <c r="C43" i="6"/>
  <c r="C12" i="7"/>
  <c r="C12" i="3"/>
  <c r="C13" i="16"/>
  <c r="C12" i="5"/>
  <c r="C13" i="13"/>
  <c r="C12" i="8"/>
  <c r="C12" i="4"/>
  <c r="C12" i="6"/>
  <c r="C12" i="2"/>
  <c r="H15" i="16"/>
  <c r="E14" i="3"/>
  <c r="N14" i="3" s="1"/>
  <c r="H15" i="13"/>
  <c r="D8" i="16"/>
  <c r="D8" i="13"/>
  <c r="E7" i="2"/>
  <c r="D15" i="16"/>
  <c r="D15" i="13"/>
  <c r="E14" i="2"/>
  <c r="N14" i="2" s="1"/>
  <c r="L9" i="13"/>
  <c r="E8" i="6"/>
  <c r="F11" i="10"/>
  <c r="F4" i="10"/>
  <c r="F9" i="10"/>
  <c r="F10" i="10"/>
  <c r="F6" i="10"/>
  <c r="F8" i="10"/>
  <c r="F5" i="10"/>
  <c r="F7" i="10"/>
  <c r="F12" i="10"/>
  <c r="N8" i="7"/>
  <c r="D44" i="7"/>
  <c r="E44" i="7" s="1"/>
  <c r="C45" i="4"/>
  <c r="P11" i="4"/>
  <c r="C43" i="8"/>
  <c r="P7" i="8"/>
  <c r="E14" i="17"/>
  <c r="E45" i="5" l="1"/>
  <c r="E43" i="5"/>
  <c r="B50" i="7"/>
  <c r="D50" i="7"/>
  <c r="L50" i="7"/>
  <c r="C50" i="7"/>
  <c r="D50" i="4"/>
  <c r="B50" i="4"/>
  <c r="C50" i="4"/>
  <c r="L50" i="4"/>
  <c r="N9" i="7"/>
  <c r="D14" i="17"/>
  <c r="F14" i="17"/>
  <c r="N12" i="6"/>
  <c r="D46" i="6"/>
  <c r="D45" i="7"/>
  <c r="E45" i="7" s="1"/>
  <c r="N11" i="7"/>
  <c r="C51" i="5"/>
  <c r="B51" i="5"/>
  <c r="L51" i="5"/>
  <c r="D51" i="5"/>
  <c r="N8" i="2"/>
  <c r="D44" i="2"/>
  <c r="E44" i="2" s="1"/>
  <c r="E4" i="10"/>
  <c r="E10" i="10"/>
  <c r="E7" i="10"/>
  <c r="E8" i="10"/>
  <c r="E6" i="10"/>
  <c r="E11" i="10"/>
  <c r="E9" i="10"/>
  <c r="E5" i="10"/>
  <c r="E12" i="10"/>
  <c r="C46" i="5"/>
  <c r="P12" i="5"/>
  <c r="I17" i="16"/>
  <c r="E16" i="9"/>
  <c r="F28" i="10" s="1"/>
  <c r="I17" i="13"/>
  <c r="I7" i="10"/>
  <c r="I11" i="10"/>
  <c r="I5" i="10"/>
  <c r="I4" i="10"/>
  <c r="I10" i="10"/>
  <c r="I8" i="10"/>
  <c r="I12" i="10"/>
  <c r="I9" i="10"/>
  <c r="I6" i="10"/>
  <c r="J14" i="16"/>
  <c r="P14" i="13"/>
  <c r="E13" i="8"/>
  <c r="N13" i="8" s="1"/>
  <c r="P11" i="13"/>
  <c r="J11" i="16"/>
  <c r="E10" i="8"/>
  <c r="N9" i="6"/>
  <c r="D10" i="10"/>
  <c r="D5" i="10"/>
  <c r="D11" i="10"/>
  <c r="D6" i="10"/>
  <c r="D4" i="10"/>
  <c r="D12" i="10"/>
  <c r="D9" i="10"/>
  <c r="D7" i="10"/>
  <c r="D8" i="10"/>
  <c r="G16" i="1"/>
  <c r="D42" i="6"/>
  <c r="D48" i="6" s="1"/>
  <c r="D54" i="6" s="1"/>
  <c r="D60" i="6" s="1"/>
  <c r="D66" i="6" s="1"/>
  <c r="F7" i="6" s="1"/>
  <c r="O7" i="6"/>
  <c r="N11" i="2"/>
  <c r="D45" i="2"/>
  <c r="E45" i="2" s="1"/>
  <c r="E8" i="8"/>
  <c r="P9" i="13"/>
  <c r="J9" i="16"/>
  <c r="N10" i="5"/>
  <c r="N11" i="6"/>
  <c r="D45" i="6"/>
  <c r="D44" i="3"/>
  <c r="E44" i="3" s="1"/>
  <c r="N8" i="3"/>
  <c r="F7" i="4"/>
  <c r="N7" i="4"/>
  <c r="D43" i="4"/>
  <c r="E43" i="4" s="1"/>
  <c r="N9" i="3"/>
  <c r="D42" i="2"/>
  <c r="D48" i="2" s="1"/>
  <c r="D54" i="2" s="1"/>
  <c r="D60" i="2" s="1"/>
  <c r="D66" i="2" s="1"/>
  <c r="F7" i="2" s="1"/>
  <c r="O7" i="2"/>
  <c r="N10" i="3"/>
  <c r="N8" i="6"/>
  <c r="D44" i="6"/>
  <c r="E44" i="6" s="1"/>
  <c r="J8" i="16"/>
  <c r="E7" i="8"/>
  <c r="P8" i="13"/>
  <c r="P12" i="3"/>
  <c r="C46" i="3"/>
  <c r="L49" i="5"/>
  <c r="C49" i="5"/>
  <c r="D49" i="5"/>
  <c r="B49" i="5"/>
  <c r="N10" i="2"/>
  <c r="C16" i="1"/>
  <c r="Q7" i="7"/>
  <c r="C42" i="7"/>
  <c r="L6" i="5"/>
  <c r="Q7" i="3"/>
  <c r="C42" i="3"/>
  <c r="Q7" i="6"/>
  <c r="C42" i="6"/>
  <c r="P7" i="13"/>
  <c r="K3" i="10"/>
  <c r="E6" i="8"/>
  <c r="J7" i="16"/>
  <c r="L6" i="8"/>
  <c r="J16" i="1"/>
  <c r="D42" i="3"/>
  <c r="D48" i="3" s="1"/>
  <c r="D54" i="3" s="1"/>
  <c r="D60" i="3" s="1"/>
  <c r="D66" i="3" s="1"/>
  <c r="O7" i="3"/>
  <c r="F7" i="3"/>
  <c r="D43" i="3"/>
  <c r="E43" i="3" s="1"/>
  <c r="N7" i="3"/>
  <c r="F7" i="7"/>
  <c r="D43" i="7"/>
  <c r="E43" i="7" s="1"/>
  <c r="N7" i="7"/>
  <c r="J10" i="16"/>
  <c r="E9" i="8"/>
  <c r="P10" i="13"/>
  <c r="C46" i="8"/>
  <c r="P12" i="8"/>
  <c r="N9" i="4"/>
  <c r="Q7" i="5"/>
  <c r="C42" i="5"/>
  <c r="C46" i="2"/>
  <c r="P12" i="2"/>
  <c r="N11" i="3"/>
  <c r="D45" i="3"/>
  <c r="E45" i="3" s="1"/>
  <c r="N12" i="5"/>
  <c r="D46" i="5"/>
  <c r="A14" i="17"/>
  <c r="K14" i="17" s="1"/>
  <c r="C3" i="10"/>
  <c r="B16" i="1"/>
  <c r="L6" i="7"/>
  <c r="G14" i="17"/>
  <c r="C14" i="17"/>
  <c r="L6" i="4"/>
  <c r="I16" i="1"/>
  <c r="E16" i="1"/>
  <c r="C42" i="2"/>
  <c r="Q7" i="2"/>
  <c r="I14" i="17"/>
  <c r="B14" i="17"/>
  <c r="G12" i="10"/>
  <c r="G7" i="10"/>
  <c r="G11" i="10"/>
  <c r="G10" i="10"/>
  <c r="G5" i="10"/>
  <c r="G4" i="10"/>
  <c r="G6" i="10"/>
  <c r="G8" i="10"/>
  <c r="G9" i="10"/>
  <c r="D42" i="5"/>
  <c r="D48" i="5" s="1"/>
  <c r="D54" i="5" s="1"/>
  <c r="D60" i="5" s="1"/>
  <c r="D66" i="5" s="1"/>
  <c r="F7" i="5" s="1"/>
  <c r="O7" i="5"/>
  <c r="E11" i="8"/>
  <c r="P12" i="13"/>
  <c r="J12" i="16"/>
  <c r="N9" i="2"/>
  <c r="D44" i="5"/>
  <c r="E44" i="5" s="1"/>
  <c r="N8" i="5"/>
  <c r="J13" i="16"/>
  <c r="P13" i="13"/>
  <c r="E12" i="8"/>
  <c r="N7" i="6"/>
  <c r="D43" i="6"/>
  <c r="E43" i="6" s="1"/>
  <c r="O25" i="4"/>
  <c r="D43" i="2"/>
  <c r="E43" i="2" s="1"/>
  <c r="N7" i="2"/>
  <c r="C46" i="7"/>
  <c r="E46" i="7" s="1"/>
  <c r="P12" i="7"/>
  <c r="J16" i="16"/>
  <c r="E15" i="8"/>
  <c r="N15" i="8" s="1"/>
  <c r="P16" i="13"/>
  <c r="C46" i="6"/>
  <c r="P12" i="6"/>
  <c r="J15" i="16"/>
  <c r="E14" i="8"/>
  <c r="N14" i="8" s="1"/>
  <c r="P15" i="13"/>
  <c r="P12" i="4"/>
  <c r="C46" i="4"/>
  <c r="E46" i="4" s="1"/>
  <c r="O25" i="7"/>
  <c r="N12" i="3"/>
  <c r="D46" i="3"/>
  <c r="E45" i="6"/>
  <c r="C42" i="4"/>
  <c r="Q7" i="4"/>
  <c r="C42" i="8"/>
  <c r="Q7" i="8"/>
  <c r="D16" i="1"/>
  <c r="N10" i="6"/>
  <c r="H4" i="10"/>
  <c r="H12" i="10"/>
  <c r="H7" i="10"/>
  <c r="H8" i="10"/>
  <c r="H6" i="10"/>
  <c r="H9" i="10"/>
  <c r="H11" i="10"/>
  <c r="H5" i="10"/>
  <c r="H10" i="10"/>
  <c r="H16" i="1"/>
  <c r="N11" i="4"/>
  <c r="D45" i="4"/>
  <c r="E45" i="4" s="1"/>
  <c r="D46" i="2"/>
  <c r="N12" i="2"/>
  <c r="K7" i="2" l="1"/>
  <c r="R7" i="5"/>
  <c r="S7" i="5" s="1"/>
  <c r="T7" i="5"/>
  <c r="E51" i="5"/>
  <c r="K7" i="5"/>
  <c r="E46" i="6"/>
  <c r="C49" i="2"/>
  <c r="B49" i="2"/>
  <c r="L49" i="2"/>
  <c r="D49" i="2"/>
  <c r="B51" i="7"/>
  <c r="L51" i="7"/>
  <c r="D51" i="7"/>
  <c r="C51" i="7"/>
  <c r="C51" i="3"/>
  <c r="L51" i="3"/>
  <c r="B51" i="3"/>
  <c r="D51" i="3"/>
  <c r="C51" i="4"/>
  <c r="L51" i="4"/>
  <c r="D51" i="4"/>
  <c r="B51" i="4"/>
  <c r="A11" i="17"/>
  <c r="K11" i="17" s="1"/>
  <c r="G11" i="17"/>
  <c r="C11" i="17"/>
  <c r="D11" i="17"/>
  <c r="E11" i="17"/>
  <c r="F11" i="17"/>
  <c r="B11" i="17"/>
  <c r="I11" i="17"/>
  <c r="E42" i="5"/>
  <c r="C48" i="5"/>
  <c r="K17" i="13"/>
  <c r="F16" i="9"/>
  <c r="G28" i="10" s="1"/>
  <c r="C48" i="8"/>
  <c r="O25" i="3"/>
  <c r="L52" i="4"/>
  <c r="C52" i="4"/>
  <c r="D52" i="4"/>
  <c r="B52" i="4"/>
  <c r="L14" i="17"/>
  <c r="L8" i="17"/>
  <c r="L13" i="17"/>
  <c r="L9" i="17"/>
  <c r="L11" i="17"/>
  <c r="L10" i="17"/>
  <c r="L7" i="17"/>
  <c r="L12" i="17"/>
  <c r="O25" i="5"/>
  <c r="E46" i="3"/>
  <c r="F23" i="10"/>
  <c r="D23" i="10"/>
  <c r="I23" i="10"/>
  <c r="E23" i="10"/>
  <c r="H23" i="10"/>
  <c r="G23" i="10"/>
  <c r="C23" i="10"/>
  <c r="E25" i="10"/>
  <c r="G25" i="10"/>
  <c r="C25" i="10"/>
  <c r="I25" i="10"/>
  <c r="D25" i="10"/>
  <c r="H25" i="10"/>
  <c r="F25" i="10"/>
  <c r="D50" i="2"/>
  <c r="C50" i="2"/>
  <c r="B50" i="2"/>
  <c r="L50" i="2"/>
  <c r="O25" i="6"/>
  <c r="T7" i="7"/>
  <c r="R7" i="7"/>
  <c r="S7" i="7" s="1"/>
  <c r="U7" i="7" s="1"/>
  <c r="J7" i="7" s="1"/>
  <c r="K7" i="7"/>
  <c r="Q17" i="13"/>
  <c r="K17" i="16"/>
  <c r="E42" i="3"/>
  <c r="C48" i="3"/>
  <c r="E22" i="10"/>
  <c r="I22" i="10"/>
  <c r="F22" i="10"/>
  <c r="H22" i="10"/>
  <c r="G22" i="10"/>
  <c r="C22" i="10"/>
  <c r="D22" i="10"/>
  <c r="E50" i="4"/>
  <c r="A7" i="17"/>
  <c r="K7" i="17" s="1"/>
  <c r="E7" i="17"/>
  <c r="I7" i="17"/>
  <c r="F7" i="17"/>
  <c r="D7" i="17"/>
  <c r="B7" i="17"/>
  <c r="G7" i="17"/>
  <c r="C7" i="17"/>
  <c r="O25" i="2"/>
  <c r="A8" i="17"/>
  <c r="K8" i="17" s="1"/>
  <c r="G8" i="17"/>
  <c r="C8" i="17"/>
  <c r="E8" i="17"/>
  <c r="B8" i="17"/>
  <c r="F8" i="17"/>
  <c r="I8" i="17"/>
  <c r="D8" i="17"/>
  <c r="E42" i="2"/>
  <c r="C48" i="2"/>
  <c r="D49" i="7"/>
  <c r="B49" i="7"/>
  <c r="L49" i="7"/>
  <c r="C49" i="7"/>
  <c r="B57" i="5"/>
  <c r="D57" i="5"/>
  <c r="L57" i="5"/>
  <c r="C57" i="5"/>
  <c r="C27" i="10"/>
  <c r="H27" i="10"/>
  <c r="D27" i="10"/>
  <c r="I27" i="10"/>
  <c r="E27" i="10"/>
  <c r="F27" i="10"/>
  <c r="G27" i="10"/>
  <c r="A13" i="17"/>
  <c r="K13" i="17" s="1"/>
  <c r="E13" i="17"/>
  <c r="I13" i="17"/>
  <c r="G13" i="17"/>
  <c r="D13" i="17"/>
  <c r="B13" i="17"/>
  <c r="F13" i="17"/>
  <c r="C13" i="17"/>
  <c r="L52" i="7"/>
  <c r="D52" i="7"/>
  <c r="B52" i="7"/>
  <c r="C52" i="7"/>
  <c r="K7" i="6"/>
  <c r="T7" i="6"/>
  <c r="R7" i="6"/>
  <c r="S7" i="6" s="1"/>
  <c r="U7" i="6" s="1"/>
  <c r="J7" i="6" s="1"/>
  <c r="T7" i="3"/>
  <c r="K7" i="3"/>
  <c r="R7" i="3"/>
  <c r="S7" i="3" s="1"/>
  <c r="D42" i="8"/>
  <c r="D48" i="8" s="1"/>
  <c r="D54" i="8" s="1"/>
  <c r="D60" i="8" s="1"/>
  <c r="D66" i="8" s="1"/>
  <c r="F7" i="8" s="1"/>
  <c r="O7" i="8"/>
  <c r="E42" i="7"/>
  <c r="C48" i="7"/>
  <c r="I19" i="10"/>
  <c r="F19" i="10"/>
  <c r="G19" i="10"/>
  <c r="C19" i="10"/>
  <c r="E19" i="10"/>
  <c r="D19" i="10"/>
  <c r="H19" i="10"/>
  <c r="E50" i="7"/>
  <c r="L51" i="2"/>
  <c r="B51" i="2"/>
  <c r="D51" i="2"/>
  <c r="C51" i="2"/>
  <c r="H14" i="17"/>
  <c r="D49" i="6"/>
  <c r="L49" i="6"/>
  <c r="C49" i="6"/>
  <c r="B49" i="6"/>
  <c r="U7" i="5"/>
  <c r="J7" i="5" s="1"/>
  <c r="N7" i="8"/>
  <c r="D43" i="8"/>
  <c r="E43" i="8" s="1"/>
  <c r="A9" i="17"/>
  <c r="K9" i="17" s="1"/>
  <c r="G9" i="17"/>
  <c r="C9" i="17"/>
  <c r="F9" i="17"/>
  <c r="D9" i="17"/>
  <c r="I9" i="17"/>
  <c r="B9" i="17"/>
  <c r="E9" i="17"/>
  <c r="T7" i="2"/>
  <c r="R7" i="2"/>
  <c r="S7" i="2" s="1"/>
  <c r="C5" i="10"/>
  <c r="C9" i="10"/>
  <c r="C12" i="10"/>
  <c r="C11" i="10"/>
  <c r="C6" i="10"/>
  <c r="C10" i="10"/>
  <c r="C4" i="10"/>
  <c r="C8" i="10"/>
  <c r="C7" i="10"/>
  <c r="L49" i="3"/>
  <c r="D49" i="3"/>
  <c r="B49" i="3"/>
  <c r="C49" i="3"/>
  <c r="K7" i="10"/>
  <c r="J22" i="10" s="1"/>
  <c r="K5" i="10"/>
  <c r="J20" i="10" s="1"/>
  <c r="K8" i="10"/>
  <c r="J23" i="10" s="1"/>
  <c r="K6" i="10"/>
  <c r="J21" i="10" s="1"/>
  <c r="K9" i="10"/>
  <c r="J24" i="10" s="1"/>
  <c r="K12" i="10"/>
  <c r="J27" i="10" s="1"/>
  <c r="K11" i="10"/>
  <c r="J26" i="10" s="1"/>
  <c r="K10" i="10"/>
  <c r="J25" i="10" s="1"/>
  <c r="K4" i="10"/>
  <c r="J19" i="10" s="1"/>
  <c r="D50" i="3"/>
  <c r="B50" i="3"/>
  <c r="L50" i="3"/>
  <c r="C50" i="3"/>
  <c r="N8" i="8"/>
  <c r="D44" i="8"/>
  <c r="E44" i="8" s="1"/>
  <c r="F21" i="10"/>
  <c r="C21" i="10"/>
  <c r="D21" i="10"/>
  <c r="H21" i="10"/>
  <c r="I21" i="10"/>
  <c r="G21" i="10"/>
  <c r="E21" i="10"/>
  <c r="E46" i="5"/>
  <c r="E42" i="4"/>
  <c r="C48" i="4"/>
  <c r="L50" i="5"/>
  <c r="C50" i="5"/>
  <c r="E50" i="5" s="1"/>
  <c r="B50" i="5"/>
  <c r="D50" i="5"/>
  <c r="A10" i="17"/>
  <c r="K10" i="17" s="1"/>
  <c r="E10" i="17"/>
  <c r="I10" i="17"/>
  <c r="G10" i="17"/>
  <c r="F10" i="17"/>
  <c r="C10" i="17"/>
  <c r="D10" i="17"/>
  <c r="B10" i="17"/>
  <c r="C17" i="16"/>
  <c r="C17" i="13"/>
  <c r="E49" i="5"/>
  <c r="D50" i="6"/>
  <c r="B50" i="6"/>
  <c r="C50" i="6"/>
  <c r="L50" i="6"/>
  <c r="B49" i="4"/>
  <c r="L49" i="4"/>
  <c r="D49" i="4"/>
  <c r="C49" i="4"/>
  <c r="I26" i="10"/>
  <c r="H26" i="10"/>
  <c r="E26" i="10"/>
  <c r="C26" i="10"/>
  <c r="G26" i="10"/>
  <c r="F26" i="10"/>
  <c r="D26" i="10"/>
  <c r="M17" i="13"/>
  <c r="G16" i="9"/>
  <c r="H28" i="10" s="1"/>
  <c r="E46" i="2"/>
  <c r="E24" i="10"/>
  <c r="I24" i="10"/>
  <c r="G24" i="10"/>
  <c r="D24" i="10"/>
  <c r="H24" i="10"/>
  <c r="C24" i="10"/>
  <c r="F24" i="10"/>
  <c r="D45" i="8"/>
  <c r="E45" i="8" s="1"/>
  <c r="N11" i="8"/>
  <c r="N10" i="8"/>
  <c r="E17" i="13"/>
  <c r="E17" i="16"/>
  <c r="C16" i="9"/>
  <c r="D28" i="10" s="1"/>
  <c r="C51" i="6"/>
  <c r="D51" i="6"/>
  <c r="L51" i="6"/>
  <c r="B51" i="6"/>
  <c r="L52" i="6"/>
  <c r="D52" i="6"/>
  <c r="B52" i="6"/>
  <c r="C52" i="6"/>
  <c r="E52" i="6" s="1"/>
  <c r="D46" i="8"/>
  <c r="E46" i="8" s="1"/>
  <c r="N12" i="8"/>
  <c r="D16" i="9"/>
  <c r="E28" i="10" s="1"/>
  <c r="G17" i="13"/>
  <c r="G17" i="16"/>
  <c r="A12" i="17"/>
  <c r="K12" i="17" s="1"/>
  <c r="I12" i="17"/>
  <c r="G12" i="17"/>
  <c r="C12" i="17"/>
  <c r="B12" i="17"/>
  <c r="D12" i="17"/>
  <c r="E12" i="17"/>
  <c r="F12" i="17"/>
  <c r="O17" i="13"/>
  <c r="H16" i="9"/>
  <c r="I28" i="10" s="1"/>
  <c r="N9" i="8"/>
  <c r="E42" i="6"/>
  <c r="C48" i="6"/>
  <c r="T7" i="4"/>
  <c r="K7" i="4"/>
  <c r="R7" i="4"/>
  <c r="S7" i="4" s="1"/>
  <c r="D20" i="10"/>
  <c r="C20" i="10"/>
  <c r="I20" i="10"/>
  <c r="G20" i="10"/>
  <c r="F20" i="10"/>
  <c r="H20" i="10"/>
  <c r="E20" i="10"/>
  <c r="E51" i="3" l="1"/>
  <c r="E50" i="6"/>
  <c r="E49" i="7"/>
  <c r="E49" i="4"/>
  <c r="E51" i="2"/>
  <c r="U7" i="3"/>
  <c r="J7" i="3" s="1"/>
  <c r="H12" i="17"/>
  <c r="E52" i="4"/>
  <c r="B58" i="4" s="1"/>
  <c r="E51" i="7"/>
  <c r="B57" i="7" s="1"/>
  <c r="U7" i="4"/>
  <c r="J7" i="4" s="1"/>
  <c r="M7" i="4" s="1"/>
  <c r="H10" i="17"/>
  <c r="E49" i="6"/>
  <c r="L56" i="5"/>
  <c r="C56" i="5"/>
  <c r="B56" i="5"/>
  <c r="D56" i="5"/>
  <c r="E48" i="4"/>
  <c r="C54" i="4"/>
  <c r="H13" i="17"/>
  <c r="C57" i="7"/>
  <c r="D57" i="7"/>
  <c r="O25" i="8"/>
  <c r="D52" i="8"/>
  <c r="B52" i="8"/>
  <c r="L52" i="8"/>
  <c r="C52" i="8"/>
  <c r="E51" i="6"/>
  <c r="D51" i="8"/>
  <c r="C51" i="8"/>
  <c r="B51" i="8"/>
  <c r="L51" i="8"/>
  <c r="C52" i="2"/>
  <c r="L52" i="2"/>
  <c r="D52" i="2"/>
  <c r="B52" i="2"/>
  <c r="E52" i="7"/>
  <c r="E50" i="2"/>
  <c r="E48" i="5"/>
  <c r="C54" i="5"/>
  <c r="H11" i="17"/>
  <c r="E51" i="4"/>
  <c r="E48" i="6"/>
  <c r="C54" i="6"/>
  <c r="C56" i="6"/>
  <c r="L56" i="6"/>
  <c r="B56" i="6"/>
  <c r="D56" i="6"/>
  <c r="C58" i="6"/>
  <c r="L58" i="6"/>
  <c r="D58" i="6"/>
  <c r="B58" i="6"/>
  <c r="B52" i="5"/>
  <c r="D52" i="5"/>
  <c r="L52" i="5"/>
  <c r="C52" i="5"/>
  <c r="U7" i="2"/>
  <c r="J7" i="2" s="1"/>
  <c r="D49" i="8"/>
  <c r="C49" i="8"/>
  <c r="E49" i="8" s="1"/>
  <c r="B49" i="8"/>
  <c r="L49" i="8"/>
  <c r="C54" i="2"/>
  <c r="E48" i="2"/>
  <c r="H7" i="17"/>
  <c r="L7" i="7"/>
  <c r="M7" i="7"/>
  <c r="G7" i="7" s="1"/>
  <c r="M7" i="3"/>
  <c r="L7" i="3"/>
  <c r="R7" i="8"/>
  <c r="S7" i="8" s="1"/>
  <c r="K7" i="8"/>
  <c r="T7" i="8"/>
  <c r="E57" i="5"/>
  <c r="H8" i="17"/>
  <c r="D57" i="3"/>
  <c r="C57" i="3"/>
  <c r="E57" i="3" s="1"/>
  <c r="L57" i="3"/>
  <c r="B57" i="3"/>
  <c r="B50" i="8"/>
  <c r="C50" i="8"/>
  <c r="D50" i="8"/>
  <c r="L50" i="8"/>
  <c r="B57" i="2"/>
  <c r="D57" i="2"/>
  <c r="L57" i="2"/>
  <c r="C57" i="2"/>
  <c r="E50" i="3"/>
  <c r="E49" i="3"/>
  <c r="H9" i="17"/>
  <c r="M7" i="5"/>
  <c r="G7" i="5" s="1"/>
  <c r="L7" i="5"/>
  <c r="C54" i="3"/>
  <c r="E48" i="3"/>
  <c r="E42" i="8"/>
  <c r="L55" i="4"/>
  <c r="B55" i="4"/>
  <c r="C55" i="4"/>
  <c r="D55" i="4"/>
  <c r="B55" i="5"/>
  <c r="C55" i="5"/>
  <c r="L55" i="5"/>
  <c r="D55" i="5"/>
  <c r="L7" i="6"/>
  <c r="M7" i="6"/>
  <c r="G7" i="6" s="1"/>
  <c r="D55" i="7"/>
  <c r="L55" i="7"/>
  <c r="C55" i="7"/>
  <c r="B55" i="7"/>
  <c r="E48" i="8"/>
  <c r="C54" i="8"/>
  <c r="L55" i="6"/>
  <c r="B55" i="6"/>
  <c r="D55" i="6"/>
  <c r="C55" i="6"/>
  <c r="B56" i="7"/>
  <c r="C56" i="7"/>
  <c r="D56" i="7"/>
  <c r="L56" i="7"/>
  <c r="E48" i="7"/>
  <c r="C54" i="7"/>
  <c r="C56" i="4"/>
  <c r="D56" i="4"/>
  <c r="B56" i="4"/>
  <c r="L56" i="4"/>
  <c r="L52" i="3"/>
  <c r="C52" i="3"/>
  <c r="D52" i="3"/>
  <c r="B52" i="3"/>
  <c r="E49" i="2"/>
  <c r="C58" i="4" l="1"/>
  <c r="E55" i="5"/>
  <c r="L58" i="4"/>
  <c r="D58" i="4"/>
  <c r="E55" i="4"/>
  <c r="L61" i="4" s="1"/>
  <c r="E56" i="4"/>
  <c r="L62" i="4" s="1"/>
  <c r="E51" i="8"/>
  <c r="L57" i="7"/>
  <c r="L63" i="7" s="1"/>
  <c r="E57" i="7"/>
  <c r="L7" i="4"/>
  <c r="B61" i="4"/>
  <c r="C61" i="4"/>
  <c r="B63" i="5"/>
  <c r="L63" i="5"/>
  <c r="C63" i="5"/>
  <c r="D63" i="5"/>
  <c r="B62" i="4"/>
  <c r="C60" i="3"/>
  <c r="E54" i="3"/>
  <c r="E54" i="7"/>
  <c r="C60" i="7"/>
  <c r="G7" i="9"/>
  <c r="M8" i="13"/>
  <c r="W8" i="13"/>
  <c r="O7" i="9"/>
  <c r="Q8" i="16"/>
  <c r="D57" i="4"/>
  <c r="B57" i="4"/>
  <c r="C57" i="4"/>
  <c r="L57" i="4"/>
  <c r="C60" i="4"/>
  <c r="E54" i="4"/>
  <c r="C55" i="2"/>
  <c r="L55" i="2"/>
  <c r="B55" i="2"/>
  <c r="D55" i="2"/>
  <c r="D63" i="3"/>
  <c r="C63" i="3"/>
  <c r="B63" i="3"/>
  <c r="L63" i="3"/>
  <c r="C60" i="2"/>
  <c r="E54" i="2"/>
  <c r="E52" i="3"/>
  <c r="P7" i="9"/>
  <c r="X8" i="13"/>
  <c r="R8" i="16"/>
  <c r="F7" i="9"/>
  <c r="K8" i="13"/>
  <c r="N7" i="9"/>
  <c r="P8" i="16"/>
  <c r="V8" i="13"/>
  <c r="O8" i="16"/>
  <c r="U8" i="13"/>
  <c r="M7" i="9"/>
  <c r="E52" i="2"/>
  <c r="C63" i="7"/>
  <c r="D63" i="7"/>
  <c r="B63" i="7"/>
  <c r="E54" i="8"/>
  <c r="C60" i="8"/>
  <c r="L55" i="8"/>
  <c r="B55" i="8"/>
  <c r="C55" i="8"/>
  <c r="D55" i="8"/>
  <c r="L55" i="3"/>
  <c r="C55" i="3"/>
  <c r="B55" i="3"/>
  <c r="D55" i="3"/>
  <c r="E50" i="8"/>
  <c r="H7" i="9"/>
  <c r="O8" i="13"/>
  <c r="E54" i="5"/>
  <c r="C60" i="5"/>
  <c r="C56" i="3"/>
  <c r="L56" i="3"/>
  <c r="B56" i="3"/>
  <c r="D56" i="3"/>
  <c r="S8" i="16"/>
  <c r="Q7" i="9"/>
  <c r="Y8" i="13"/>
  <c r="M7" i="2"/>
  <c r="L7" i="2"/>
  <c r="E58" i="6"/>
  <c r="B56" i="2"/>
  <c r="D56" i="2"/>
  <c r="C56" i="2"/>
  <c r="E56" i="2" s="1"/>
  <c r="L56" i="2"/>
  <c r="C57" i="8"/>
  <c r="B57" i="8"/>
  <c r="D57" i="8"/>
  <c r="L57" i="8"/>
  <c r="E56" i="5"/>
  <c r="E55" i="7"/>
  <c r="E57" i="2"/>
  <c r="U7" i="8"/>
  <c r="J7" i="8" s="1"/>
  <c r="E52" i="5"/>
  <c r="E56" i="6"/>
  <c r="D58" i="7"/>
  <c r="B58" i="7"/>
  <c r="C58" i="7"/>
  <c r="L58" i="7"/>
  <c r="E56" i="7"/>
  <c r="E55" i="6"/>
  <c r="C60" i="6"/>
  <c r="E54" i="6"/>
  <c r="C57" i="6"/>
  <c r="L57" i="6"/>
  <c r="D57" i="6"/>
  <c r="B57" i="6"/>
  <c r="D61" i="5"/>
  <c r="B61" i="5"/>
  <c r="L61" i="5"/>
  <c r="C61" i="5"/>
  <c r="E52" i="8"/>
  <c r="D62" i="4" l="1"/>
  <c r="C62" i="4"/>
  <c r="D61" i="4"/>
  <c r="E58" i="4"/>
  <c r="E58" i="7"/>
  <c r="D64" i="7" s="1"/>
  <c r="E61" i="4"/>
  <c r="E55" i="8"/>
  <c r="E57" i="4"/>
  <c r="C63" i="4" s="1"/>
  <c r="E55" i="2"/>
  <c r="C66" i="6"/>
  <c r="E60" i="6"/>
  <c r="C66" i="8"/>
  <c r="E60" i="8"/>
  <c r="C66" i="7"/>
  <c r="E60" i="7"/>
  <c r="D61" i="2"/>
  <c r="L61" i="2"/>
  <c r="C61" i="2"/>
  <c r="B61" i="2"/>
  <c r="E63" i="5"/>
  <c r="D58" i="5"/>
  <c r="L58" i="5"/>
  <c r="C58" i="5"/>
  <c r="B58" i="5"/>
  <c r="L62" i="2"/>
  <c r="B62" i="2"/>
  <c r="D62" i="2"/>
  <c r="C62" i="2"/>
  <c r="D58" i="3"/>
  <c r="C58" i="3"/>
  <c r="E58" i="3" s="1"/>
  <c r="L58" i="3"/>
  <c r="B58" i="3"/>
  <c r="E55" i="3"/>
  <c r="D61" i="7"/>
  <c r="B61" i="7"/>
  <c r="C61" i="7"/>
  <c r="L61" i="7"/>
  <c r="C66" i="3"/>
  <c r="E60" i="3"/>
  <c r="B62" i="5"/>
  <c r="L62" i="5"/>
  <c r="D62" i="5"/>
  <c r="C62" i="5"/>
  <c r="E63" i="7"/>
  <c r="C66" i="2"/>
  <c r="E60" i="2"/>
  <c r="L67" i="4"/>
  <c r="B67" i="4"/>
  <c r="D67" i="4"/>
  <c r="C67" i="4"/>
  <c r="M7" i="8"/>
  <c r="L7" i="8"/>
  <c r="L63" i="2"/>
  <c r="D63" i="2"/>
  <c r="C63" i="2"/>
  <c r="B63" i="2"/>
  <c r="B64" i="6"/>
  <c r="L64" i="6"/>
  <c r="C64" i="6"/>
  <c r="D64" i="6"/>
  <c r="L61" i="6"/>
  <c r="C61" i="6"/>
  <c r="B61" i="6"/>
  <c r="D61" i="6"/>
  <c r="D62" i="7"/>
  <c r="L62" i="7"/>
  <c r="C62" i="7"/>
  <c r="B62" i="7"/>
  <c r="C64" i="7"/>
  <c r="B64" i="7"/>
  <c r="L64" i="7"/>
  <c r="E57" i="8"/>
  <c r="N8" i="16"/>
  <c r="L7" i="9"/>
  <c r="T8" i="13"/>
  <c r="E56" i="3"/>
  <c r="C58" i="2"/>
  <c r="B58" i="2"/>
  <c r="D58" i="2"/>
  <c r="L58" i="2"/>
  <c r="C66" i="4"/>
  <c r="E60" i="4"/>
  <c r="E62" i="4"/>
  <c r="D61" i="8"/>
  <c r="L61" i="8"/>
  <c r="C61" i="8"/>
  <c r="B61" i="8"/>
  <c r="C58" i="8"/>
  <c r="D58" i="8"/>
  <c r="E58" i="8" s="1"/>
  <c r="B58" i="8"/>
  <c r="L58" i="8"/>
  <c r="E57" i="6"/>
  <c r="E61" i="5"/>
  <c r="B62" i="6"/>
  <c r="L62" i="6"/>
  <c r="C62" i="6"/>
  <c r="D62" i="6"/>
  <c r="E60" i="5"/>
  <c r="C66" i="5"/>
  <c r="D56" i="8"/>
  <c r="C56" i="8"/>
  <c r="B56" i="8"/>
  <c r="L56" i="8"/>
  <c r="E63" i="3"/>
  <c r="E56" i="8" l="1"/>
  <c r="B63" i="4"/>
  <c r="L64" i="4"/>
  <c r="C64" i="4"/>
  <c r="E64" i="4" s="1"/>
  <c r="B64" i="4"/>
  <c r="D64" i="4"/>
  <c r="D63" i="4"/>
  <c r="L63" i="4"/>
  <c r="E64" i="7"/>
  <c r="E64" i="6"/>
  <c r="E61" i="6"/>
  <c r="E58" i="2"/>
  <c r="E58" i="5"/>
  <c r="D68" i="4"/>
  <c r="L68" i="4"/>
  <c r="B68" i="4"/>
  <c r="C68" i="4"/>
  <c r="Z8" i="13"/>
  <c r="T8" i="16"/>
  <c r="R7" i="9"/>
  <c r="D69" i="7"/>
  <c r="L69" i="7"/>
  <c r="C69" i="7"/>
  <c r="B69" i="7"/>
  <c r="L61" i="3"/>
  <c r="C61" i="3"/>
  <c r="B61" i="3"/>
  <c r="D61" i="3"/>
  <c r="C62" i="8"/>
  <c r="B62" i="8"/>
  <c r="L62" i="8"/>
  <c r="D62" i="8"/>
  <c r="E61" i="8"/>
  <c r="E62" i="7"/>
  <c r="L70" i="6"/>
  <c r="C70" i="6"/>
  <c r="B70" i="6"/>
  <c r="D70" i="6"/>
  <c r="E62" i="5"/>
  <c r="O8" i="4"/>
  <c r="F8" i="4"/>
  <c r="D7" i="7"/>
  <c r="E66" i="7"/>
  <c r="D7" i="5"/>
  <c r="E66" i="5"/>
  <c r="M67" i="4"/>
  <c r="F28" i="4"/>
  <c r="D67" i="5"/>
  <c r="F8" i="5" s="1"/>
  <c r="C67" i="5"/>
  <c r="L67" i="5"/>
  <c r="B67" i="5"/>
  <c r="Q8" i="4"/>
  <c r="D8" i="4"/>
  <c r="E67" i="4"/>
  <c r="D64" i="3"/>
  <c r="B64" i="3"/>
  <c r="C64" i="3"/>
  <c r="E64" i="3" s="1"/>
  <c r="L64" i="3"/>
  <c r="E63" i="2"/>
  <c r="E61" i="7"/>
  <c r="E62" i="2"/>
  <c r="L69" i="5"/>
  <c r="D69" i="5"/>
  <c r="B69" i="5"/>
  <c r="C69" i="5"/>
  <c r="E66" i="8"/>
  <c r="D7" i="8"/>
  <c r="G7" i="8" s="1"/>
  <c r="D7" i="4"/>
  <c r="G7" i="4" s="1"/>
  <c r="E66" i="4"/>
  <c r="B64" i="2"/>
  <c r="D64" i="2"/>
  <c r="L64" i="2"/>
  <c r="C64" i="2"/>
  <c r="B70" i="7"/>
  <c r="C70" i="7"/>
  <c r="D70" i="7"/>
  <c r="C67" i="6"/>
  <c r="D8" i="6" s="1"/>
  <c r="B67" i="6"/>
  <c r="D67" i="6"/>
  <c r="L67" i="6"/>
  <c r="D7" i="3"/>
  <c r="G7" i="3" s="1"/>
  <c r="E66" i="3"/>
  <c r="D64" i="5"/>
  <c r="L64" i="5"/>
  <c r="B64" i="5"/>
  <c r="C64" i="5"/>
  <c r="L63" i="6"/>
  <c r="C63" i="6"/>
  <c r="B63" i="6"/>
  <c r="D63" i="6"/>
  <c r="L63" i="8"/>
  <c r="C63" i="8"/>
  <c r="B63" i="8"/>
  <c r="D63" i="8"/>
  <c r="B64" i="8"/>
  <c r="C64" i="8"/>
  <c r="L64" i="8"/>
  <c r="D64" i="8"/>
  <c r="D69" i="3"/>
  <c r="C69" i="3"/>
  <c r="B69" i="3"/>
  <c r="L69" i="3"/>
  <c r="E62" i="6"/>
  <c r="E63" i="4"/>
  <c r="B62" i="3"/>
  <c r="C62" i="3"/>
  <c r="L62" i="3"/>
  <c r="D62" i="3"/>
  <c r="E66" i="2"/>
  <c r="D7" i="2"/>
  <c r="G7" i="2" s="1"/>
  <c r="L70" i="7"/>
  <c r="E61" i="2"/>
  <c r="D7" i="6"/>
  <c r="E66" i="6"/>
  <c r="D70" i="4" l="1"/>
  <c r="L70" i="4"/>
  <c r="B70" i="4"/>
  <c r="C70" i="4"/>
  <c r="O12" i="3"/>
  <c r="E64" i="5"/>
  <c r="E62" i="3"/>
  <c r="E61" i="3"/>
  <c r="L67" i="3" s="1"/>
  <c r="Q8" i="6"/>
  <c r="E62" i="8"/>
  <c r="D68" i="8" s="1"/>
  <c r="E64" i="8"/>
  <c r="C70" i="8" s="1"/>
  <c r="O8" i="5"/>
  <c r="B70" i="3"/>
  <c r="C70" i="3"/>
  <c r="D70" i="3"/>
  <c r="L70" i="3"/>
  <c r="D67" i="8"/>
  <c r="C67" i="8"/>
  <c r="B67" i="8"/>
  <c r="L67" i="8"/>
  <c r="F15" i="7"/>
  <c r="O12" i="7"/>
  <c r="O15" i="7"/>
  <c r="F12" i="7"/>
  <c r="E67" i="6"/>
  <c r="O8" i="6"/>
  <c r="F8" i="6"/>
  <c r="I8" i="16"/>
  <c r="E7" i="9"/>
  <c r="I8" i="13"/>
  <c r="E64" i="2"/>
  <c r="D15" i="5"/>
  <c r="Q15" i="5"/>
  <c r="E69" i="5"/>
  <c r="D12" i="5"/>
  <c r="Q12" i="5"/>
  <c r="B67" i="2"/>
  <c r="L67" i="2"/>
  <c r="C67" i="2"/>
  <c r="D67" i="2"/>
  <c r="B69" i="4"/>
  <c r="D69" i="4"/>
  <c r="L69" i="4"/>
  <c r="C69" i="4"/>
  <c r="D70" i="8"/>
  <c r="E63" i="6"/>
  <c r="F35" i="5"/>
  <c r="M69" i="5"/>
  <c r="F32" i="5"/>
  <c r="F28" i="5"/>
  <c r="M67" i="5"/>
  <c r="O12" i="5"/>
  <c r="F15" i="5"/>
  <c r="O15" i="5"/>
  <c r="F12" i="5"/>
  <c r="B68" i="5"/>
  <c r="L68" i="5"/>
  <c r="C68" i="5"/>
  <c r="D68" i="5"/>
  <c r="D8" i="5"/>
  <c r="E67" i="5"/>
  <c r="Q8" i="5"/>
  <c r="O14" i="6"/>
  <c r="F13" i="6"/>
  <c r="F14" i="6"/>
  <c r="O13" i="6"/>
  <c r="D68" i="2"/>
  <c r="C68" i="2"/>
  <c r="B68" i="2"/>
  <c r="L68" i="2"/>
  <c r="R8" i="4"/>
  <c r="S8" i="4" s="1"/>
  <c r="K8" i="4"/>
  <c r="T8" i="4"/>
  <c r="F33" i="6"/>
  <c r="F34" i="6"/>
  <c r="M70" i="6"/>
  <c r="E68" i="4"/>
  <c r="Q9" i="4"/>
  <c r="Q10" i="4"/>
  <c r="D9" i="4"/>
  <c r="D10" i="4"/>
  <c r="D11" i="4"/>
  <c r="Q11" i="4"/>
  <c r="M69" i="3"/>
  <c r="F35" i="3"/>
  <c r="F32" i="3"/>
  <c r="D12" i="3"/>
  <c r="D15" i="3"/>
  <c r="Q15" i="3"/>
  <c r="E69" i="3"/>
  <c r="Q12" i="3"/>
  <c r="T12" i="3" s="1"/>
  <c r="E63" i="8"/>
  <c r="E70" i="7"/>
  <c r="F14" i="7"/>
  <c r="O13" i="7"/>
  <c r="O14" i="7"/>
  <c r="F13" i="7"/>
  <c r="G8" i="16"/>
  <c r="D7" i="9"/>
  <c r="G8" i="13"/>
  <c r="D67" i="7"/>
  <c r="C67" i="7"/>
  <c r="B67" i="7"/>
  <c r="L67" i="7"/>
  <c r="E70" i="6"/>
  <c r="D14" i="6"/>
  <c r="Q13" i="6"/>
  <c r="D13" i="6"/>
  <c r="Q14" i="6"/>
  <c r="F32" i="7"/>
  <c r="M69" i="7"/>
  <c r="F35" i="7"/>
  <c r="F31" i="4"/>
  <c r="M68" i="4"/>
  <c r="F29" i="4"/>
  <c r="F30" i="4"/>
  <c r="F15" i="3"/>
  <c r="F12" i="3"/>
  <c r="O15" i="3"/>
  <c r="Q14" i="7"/>
  <c r="D14" i="7"/>
  <c r="D13" i="7"/>
  <c r="Q13" i="7"/>
  <c r="K8" i="16"/>
  <c r="Q8" i="13"/>
  <c r="I7" i="9"/>
  <c r="C69" i="2"/>
  <c r="B69" i="2"/>
  <c r="L69" i="2"/>
  <c r="D69" i="2"/>
  <c r="D12" i="7"/>
  <c r="Q15" i="7"/>
  <c r="D15" i="7"/>
  <c r="Q12" i="7"/>
  <c r="E69" i="7"/>
  <c r="B68" i="6"/>
  <c r="L68" i="6"/>
  <c r="C68" i="6"/>
  <c r="D68" i="6"/>
  <c r="E8" i="16"/>
  <c r="E8" i="13"/>
  <c r="C7" i="9"/>
  <c r="L70" i="5"/>
  <c r="D70" i="5"/>
  <c r="B70" i="5"/>
  <c r="C70" i="5"/>
  <c r="M67" i="6"/>
  <c r="F28" i="6"/>
  <c r="B68" i="3"/>
  <c r="L68" i="3"/>
  <c r="C68" i="3"/>
  <c r="D68" i="3"/>
  <c r="F33" i="7"/>
  <c r="M70" i="7"/>
  <c r="F34" i="7"/>
  <c r="C68" i="7"/>
  <c r="L68" i="7"/>
  <c r="B68" i="7"/>
  <c r="D68" i="7"/>
  <c r="C67" i="3"/>
  <c r="O10" i="4"/>
  <c r="O9" i="4"/>
  <c r="O11" i="4"/>
  <c r="F10" i="4"/>
  <c r="F9" i="4"/>
  <c r="F11" i="4"/>
  <c r="B67" i="3" l="1"/>
  <c r="D14" i="4"/>
  <c r="Q14" i="4"/>
  <c r="E70" i="4"/>
  <c r="D13" i="4"/>
  <c r="Q13" i="4"/>
  <c r="D67" i="3"/>
  <c r="F8" i="3" s="1"/>
  <c r="F33" i="4"/>
  <c r="M70" i="4"/>
  <c r="F34" i="4"/>
  <c r="O13" i="4"/>
  <c r="F14" i="4"/>
  <c r="F13" i="4"/>
  <c r="O14" i="4"/>
  <c r="R8" i="5"/>
  <c r="S8" i="5" s="1"/>
  <c r="B68" i="8"/>
  <c r="M68" i="8" s="1"/>
  <c r="L70" i="8"/>
  <c r="K12" i="5"/>
  <c r="L68" i="8"/>
  <c r="O11" i="8" s="1"/>
  <c r="K8" i="5"/>
  <c r="C68" i="8"/>
  <c r="D10" i="8" s="1"/>
  <c r="B70" i="8"/>
  <c r="F34" i="8" s="1"/>
  <c r="D10" i="5"/>
  <c r="E68" i="5"/>
  <c r="Q10" i="5"/>
  <c r="D9" i="5"/>
  <c r="D11" i="5"/>
  <c r="Q11" i="5"/>
  <c r="Q9" i="5"/>
  <c r="D8" i="3"/>
  <c r="Q8" i="3"/>
  <c r="D14" i="5"/>
  <c r="D13" i="5"/>
  <c r="Q14" i="5"/>
  <c r="E70" i="5"/>
  <c r="Q13" i="5"/>
  <c r="T8" i="5"/>
  <c r="U8" i="5" s="1"/>
  <c r="J8" i="5" s="1"/>
  <c r="B69" i="8"/>
  <c r="L69" i="8"/>
  <c r="C69" i="8"/>
  <c r="D69" i="8"/>
  <c r="T14" i="6"/>
  <c r="R14" i="6"/>
  <c r="S14" i="6" s="1"/>
  <c r="K14" i="6"/>
  <c r="M67" i="8"/>
  <c r="F28" i="8"/>
  <c r="F33" i="5"/>
  <c r="F34" i="5"/>
  <c r="M70" i="5"/>
  <c r="O15" i="4"/>
  <c r="F12" i="4"/>
  <c r="O12" i="4"/>
  <c r="F15" i="4"/>
  <c r="T8" i="6"/>
  <c r="K8" i="6"/>
  <c r="R8" i="6"/>
  <c r="S8" i="6" s="1"/>
  <c r="O10" i="3"/>
  <c r="O9" i="3"/>
  <c r="O11" i="3"/>
  <c r="F11" i="3"/>
  <c r="F9" i="3"/>
  <c r="F10" i="3"/>
  <c r="F31" i="2"/>
  <c r="F29" i="2"/>
  <c r="M68" i="2"/>
  <c r="F30" i="2"/>
  <c r="D69" i="6"/>
  <c r="B69" i="6"/>
  <c r="C69" i="6"/>
  <c r="L69" i="6"/>
  <c r="M69" i="4"/>
  <c r="F32" i="4"/>
  <c r="F35" i="4"/>
  <c r="O8" i="8"/>
  <c r="F8" i="8"/>
  <c r="F31" i="5"/>
  <c r="M68" i="5"/>
  <c r="F30" i="5"/>
  <c r="F29" i="5"/>
  <c r="F10" i="7"/>
  <c r="O9" i="7"/>
  <c r="O10" i="7"/>
  <c r="O11" i="7"/>
  <c r="F9" i="7"/>
  <c r="F11" i="7"/>
  <c r="D9" i="3"/>
  <c r="Q9" i="3"/>
  <c r="Q10" i="3"/>
  <c r="E68" i="3"/>
  <c r="D10" i="3"/>
  <c r="D11" i="3"/>
  <c r="Q11" i="3"/>
  <c r="Q12" i="2"/>
  <c r="D11" i="2"/>
  <c r="E68" i="2"/>
  <c r="Q10" i="2"/>
  <c r="Q9" i="2"/>
  <c r="D10" i="2"/>
  <c r="Q11" i="2"/>
  <c r="D9" i="2"/>
  <c r="K15" i="5"/>
  <c r="T15" i="5"/>
  <c r="R15" i="5"/>
  <c r="S15" i="5" s="1"/>
  <c r="E68" i="8"/>
  <c r="D11" i="8"/>
  <c r="O8" i="2"/>
  <c r="F8" i="2"/>
  <c r="E67" i="8"/>
  <c r="Q8" i="8"/>
  <c r="D8" i="8"/>
  <c r="O13" i="5"/>
  <c r="O14" i="5"/>
  <c r="F13" i="5"/>
  <c r="F14" i="5"/>
  <c r="Q10" i="6"/>
  <c r="D11" i="6"/>
  <c r="E68" i="6"/>
  <c r="Q11" i="6"/>
  <c r="Q9" i="6"/>
  <c r="D10" i="6"/>
  <c r="D9" i="6"/>
  <c r="F12" i="2"/>
  <c r="O15" i="2"/>
  <c r="O12" i="2"/>
  <c r="F15" i="2"/>
  <c r="R11" i="4"/>
  <c r="S11" i="4" s="1"/>
  <c r="K11" i="4"/>
  <c r="T11" i="4"/>
  <c r="M68" i="7"/>
  <c r="F29" i="7"/>
  <c r="F30" i="7"/>
  <c r="F31" i="7"/>
  <c r="F31" i="6"/>
  <c r="F30" i="6"/>
  <c r="M68" i="6"/>
  <c r="F29" i="6"/>
  <c r="M69" i="2"/>
  <c r="F35" i="2"/>
  <c r="F32" i="2"/>
  <c r="T14" i="7"/>
  <c r="K14" i="7"/>
  <c r="R14" i="7"/>
  <c r="S14" i="7" s="1"/>
  <c r="O11" i="2"/>
  <c r="O9" i="2"/>
  <c r="O10" i="2"/>
  <c r="F10" i="2"/>
  <c r="F9" i="2"/>
  <c r="F11" i="2"/>
  <c r="K12" i="3"/>
  <c r="O10" i="8"/>
  <c r="O9" i="8"/>
  <c r="F10" i="8"/>
  <c r="F9" i="8"/>
  <c r="F11" i="8"/>
  <c r="D14" i="8"/>
  <c r="E70" i="8"/>
  <c r="Q13" i="8"/>
  <c r="Q14" i="8"/>
  <c r="D13" i="8"/>
  <c r="D8" i="2"/>
  <c r="Q8" i="2"/>
  <c r="E67" i="2"/>
  <c r="D70" i="2"/>
  <c r="C70" i="2"/>
  <c r="B70" i="2"/>
  <c r="L70" i="2"/>
  <c r="R15" i="7"/>
  <c r="S15" i="7" s="1"/>
  <c r="T15" i="7"/>
  <c r="K15" i="7"/>
  <c r="O13" i="3"/>
  <c r="F14" i="3"/>
  <c r="O14" i="3"/>
  <c r="F13" i="3"/>
  <c r="F29" i="8"/>
  <c r="K9" i="4"/>
  <c r="R9" i="4"/>
  <c r="S9" i="4" s="1"/>
  <c r="T9" i="4"/>
  <c r="F30" i="3"/>
  <c r="M68" i="3"/>
  <c r="F31" i="3"/>
  <c r="F29" i="3"/>
  <c r="D12" i="2"/>
  <c r="D15" i="2"/>
  <c r="Q15" i="2"/>
  <c r="E69" i="2"/>
  <c r="T10" i="4"/>
  <c r="T13" i="6"/>
  <c r="R13" i="6"/>
  <c r="S13" i="6" s="1"/>
  <c r="U13" i="6" s="1"/>
  <c r="J13" i="6" s="1"/>
  <c r="K13" i="6"/>
  <c r="R12" i="3"/>
  <c r="S12" i="3" s="1"/>
  <c r="U12" i="3" s="1"/>
  <c r="J12" i="3" s="1"/>
  <c r="T12" i="5"/>
  <c r="R12" i="5"/>
  <c r="S12" i="5" s="1"/>
  <c r="F13" i="8"/>
  <c r="O13" i="8"/>
  <c r="F14" i="8"/>
  <c r="O14" i="8"/>
  <c r="R12" i="7"/>
  <c r="S12" i="7" s="1"/>
  <c r="U12" i="7" s="1"/>
  <c r="J12" i="7" s="1"/>
  <c r="T12" i="7"/>
  <c r="K12" i="7"/>
  <c r="D13" i="3"/>
  <c r="D14" i="3"/>
  <c r="E70" i="3"/>
  <c r="Q14" i="3"/>
  <c r="Q13" i="3"/>
  <c r="F8" i="7"/>
  <c r="O8" i="7"/>
  <c r="D12" i="4"/>
  <c r="E69" i="4"/>
  <c r="D15" i="4"/>
  <c r="Q12" i="4"/>
  <c r="Q15" i="4"/>
  <c r="F28" i="3"/>
  <c r="M67" i="3"/>
  <c r="O11" i="6"/>
  <c r="O9" i="6"/>
  <c r="O10" i="6"/>
  <c r="F11" i="6"/>
  <c r="F10" i="6"/>
  <c r="F9" i="6"/>
  <c r="R15" i="3"/>
  <c r="S15" i="3" s="1"/>
  <c r="K15" i="3"/>
  <c r="T15" i="3"/>
  <c r="M67" i="7"/>
  <c r="F28" i="7"/>
  <c r="T13" i="7"/>
  <c r="R13" i="7"/>
  <c r="S13" i="7" s="1"/>
  <c r="K13" i="7"/>
  <c r="K10" i="4"/>
  <c r="R10" i="4"/>
  <c r="S10" i="4" s="1"/>
  <c r="D11" i="7"/>
  <c r="D10" i="7"/>
  <c r="Q11" i="7"/>
  <c r="D9" i="7"/>
  <c r="E68" i="7"/>
  <c r="Q10" i="7"/>
  <c r="Q9" i="7"/>
  <c r="D8" i="7"/>
  <c r="Q8" i="7"/>
  <c r="E67" i="7"/>
  <c r="U8" i="4"/>
  <c r="J8" i="4" s="1"/>
  <c r="F9" i="5"/>
  <c r="O9" i="5"/>
  <c r="O10" i="5"/>
  <c r="O11" i="5"/>
  <c r="F11" i="5"/>
  <c r="F10" i="5"/>
  <c r="F28" i="2"/>
  <c r="M67" i="2"/>
  <c r="M70" i="3"/>
  <c r="F34" i="3"/>
  <c r="F33" i="3"/>
  <c r="F30" i="8" l="1"/>
  <c r="K14" i="4"/>
  <c r="R14" i="4"/>
  <c r="S14" i="4" s="1"/>
  <c r="T14" i="4"/>
  <c r="O8" i="3"/>
  <c r="K8" i="3" s="1"/>
  <c r="K13" i="4"/>
  <c r="R13" i="4"/>
  <c r="S13" i="4" s="1"/>
  <c r="T13" i="4"/>
  <c r="F31" i="8"/>
  <c r="F33" i="8"/>
  <c r="E67" i="3"/>
  <c r="U10" i="4"/>
  <c r="J10" i="4" s="1"/>
  <c r="M70" i="8"/>
  <c r="U15" i="5"/>
  <c r="J15" i="5" s="1"/>
  <c r="T8" i="3"/>
  <c r="U15" i="3"/>
  <c r="J15" i="3" s="1"/>
  <c r="L15" i="3" s="1"/>
  <c r="Q11" i="8"/>
  <c r="T11" i="8" s="1"/>
  <c r="Q9" i="8"/>
  <c r="Q10" i="8"/>
  <c r="T10" i="8" s="1"/>
  <c r="D9" i="8"/>
  <c r="R8" i="3"/>
  <c r="S8" i="3" s="1"/>
  <c r="M8" i="5"/>
  <c r="G8" i="5" s="1"/>
  <c r="L8" i="5"/>
  <c r="M8" i="4"/>
  <c r="G8" i="4" s="1"/>
  <c r="L8" i="4"/>
  <c r="K10" i="6"/>
  <c r="T10" i="6"/>
  <c r="R10" i="6"/>
  <c r="S10" i="6" s="1"/>
  <c r="U12" i="5"/>
  <c r="J12" i="5" s="1"/>
  <c r="U9" i="4"/>
  <c r="J9" i="4" s="1"/>
  <c r="F14" i="2"/>
  <c r="F13" i="2"/>
  <c r="O14" i="2"/>
  <c r="O13" i="2"/>
  <c r="T15" i="2"/>
  <c r="K15" i="2"/>
  <c r="R15" i="2"/>
  <c r="S15" i="2" s="1"/>
  <c r="M69" i="6"/>
  <c r="F35" i="6"/>
  <c r="F32" i="6"/>
  <c r="U14" i="6"/>
  <c r="J14" i="6" s="1"/>
  <c r="R11" i="6"/>
  <c r="S11" i="6" s="1"/>
  <c r="K11" i="6"/>
  <c r="T11" i="6"/>
  <c r="R8" i="7"/>
  <c r="S8" i="7" s="1"/>
  <c r="K8" i="7"/>
  <c r="T8" i="7"/>
  <c r="M12" i="3"/>
  <c r="G12" i="3" s="1"/>
  <c r="L12" i="3"/>
  <c r="T10" i="2"/>
  <c r="R10" i="2"/>
  <c r="S10" i="2" s="1"/>
  <c r="K10" i="2"/>
  <c r="R8" i="2"/>
  <c r="S8" i="2" s="1"/>
  <c r="K8" i="2"/>
  <c r="T8" i="2"/>
  <c r="T10" i="7"/>
  <c r="K10" i="7"/>
  <c r="R10" i="7"/>
  <c r="S10" i="7" s="1"/>
  <c r="K8" i="8"/>
  <c r="T8" i="8"/>
  <c r="R8" i="8"/>
  <c r="S8" i="8" s="1"/>
  <c r="R11" i="8"/>
  <c r="S11" i="8" s="1"/>
  <c r="U11" i="8" s="1"/>
  <c r="J11" i="8" s="1"/>
  <c r="K12" i="4"/>
  <c r="R12" i="4"/>
  <c r="S12" i="4" s="1"/>
  <c r="T12" i="4"/>
  <c r="R14" i="3"/>
  <c r="S14" i="3" s="1"/>
  <c r="T14" i="3"/>
  <c r="K14" i="3"/>
  <c r="L12" i="7"/>
  <c r="M12" i="7"/>
  <c r="G12" i="7" s="1"/>
  <c r="R9" i="2"/>
  <c r="S9" i="2" s="1"/>
  <c r="T9" i="2"/>
  <c r="K9" i="2"/>
  <c r="R14" i="5"/>
  <c r="S14" i="5" s="1"/>
  <c r="K14" i="5"/>
  <c r="T14" i="5"/>
  <c r="T9" i="7"/>
  <c r="K9" i="7"/>
  <c r="R9" i="7"/>
  <c r="S9" i="7" s="1"/>
  <c r="K11" i="8"/>
  <c r="T11" i="3"/>
  <c r="K11" i="3"/>
  <c r="R11" i="3"/>
  <c r="S11" i="3" s="1"/>
  <c r="F15" i="8"/>
  <c r="F12" i="8"/>
  <c r="O12" i="8"/>
  <c r="O15" i="8"/>
  <c r="D13" i="2"/>
  <c r="D14" i="2"/>
  <c r="E70" i="2"/>
  <c r="Q14" i="2"/>
  <c r="Q13" i="2"/>
  <c r="K12" i="2"/>
  <c r="T12" i="2"/>
  <c r="R12" i="2"/>
  <c r="S12" i="2" s="1"/>
  <c r="D12" i="6"/>
  <c r="E69" i="6"/>
  <c r="Q12" i="6"/>
  <c r="Q15" i="6"/>
  <c r="D15" i="6"/>
  <c r="T11" i="5"/>
  <c r="R11" i="5"/>
  <c r="S11" i="5" s="1"/>
  <c r="K11" i="5"/>
  <c r="R14" i="8"/>
  <c r="S14" i="8" s="1"/>
  <c r="K14" i="8"/>
  <c r="T14" i="8"/>
  <c r="M13" i="6"/>
  <c r="G13" i="6" s="1"/>
  <c r="L13" i="6"/>
  <c r="U15" i="7"/>
  <c r="J15" i="7" s="1"/>
  <c r="T9" i="8"/>
  <c r="K9" i="8"/>
  <c r="R9" i="8"/>
  <c r="S9" i="8" s="1"/>
  <c r="K11" i="2"/>
  <c r="T11" i="2"/>
  <c r="R11" i="2"/>
  <c r="S11" i="2" s="1"/>
  <c r="T13" i="5"/>
  <c r="R13" i="5"/>
  <c r="S13" i="5" s="1"/>
  <c r="K13" i="5"/>
  <c r="R9" i="3"/>
  <c r="S9" i="3" s="1"/>
  <c r="T9" i="3"/>
  <c r="K9" i="3"/>
  <c r="T15" i="4"/>
  <c r="R15" i="4"/>
  <c r="S15" i="4" s="1"/>
  <c r="K15" i="4"/>
  <c r="D15" i="8"/>
  <c r="Q15" i="8"/>
  <c r="Q12" i="8"/>
  <c r="E69" i="8"/>
  <c r="D12" i="8"/>
  <c r="R9" i="6"/>
  <c r="S9" i="6" s="1"/>
  <c r="T9" i="6"/>
  <c r="K9" i="6"/>
  <c r="T11" i="7"/>
  <c r="K11" i="7"/>
  <c r="R11" i="7"/>
  <c r="S11" i="7" s="1"/>
  <c r="R10" i="5"/>
  <c r="S10" i="5" s="1"/>
  <c r="K10" i="5"/>
  <c r="T10" i="5"/>
  <c r="K10" i="8"/>
  <c r="R10" i="8"/>
  <c r="S10" i="8" s="1"/>
  <c r="U14" i="7"/>
  <c r="J14" i="7" s="1"/>
  <c r="U11" i="4"/>
  <c r="J11" i="4" s="1"/>
  <c r="M15" i="5"/>
  <c r="G15" i="5" s="1"/>
  <c r="L15" i="5"/>
  <c r="T10" i="3"/>
  <c r="K10" i="3"/>
  <c r="R10" i="3"/>
  <c r="S10" i="3" s="1"/>
  <c r="K13" i="3"/>
  <c r="R13" i="3"/>
  <c r="S13" i="3" s="1"/>
  <c r="T13" i="3"/>
  <c r="F12" i="6"/>
  <c r="F15" i="6"/>
  <c r="O15" i="6"/>
  <c r="L10" i="4"/>
  <c r="M10" i="4"/>
  <c r="G10" i="4" s="1"/>
  <c r="K9" i="5"/>
  <c r="T9" i="5"/>
  <c r="R9" i="5"/>
  <c r="S9" i="5" s="1"/>
  <c r="U13" i="7"/>
  <c r="J13" i="7" s="1"/>
  <c r="R13" i="8"/>
  <c r="S13" i="8" s="1"/>
  <c r="K13" i="8"/>
  <c r="T13" i="8"/>
  <c r="F33" i="2"/>
  <c r="M70" i="2"/>
  <c r="F34" i="2"/>
  <c r="O12" i="6"/>
  <c r="U8" i="6"/>
  <c r="J8" i="6" s="1"/>
  <c r="F35" i="8"/>
  <c r="M69" i="8"/>
  <c r="F32" i="8"/>
  <c r="U13" i="4" l="1"/>
  <c r="J13" i="4" s="1"/>
  <c r="U15" i="4"/>
  <c r="J15" i="4" s="1"/>
  <c r="U11" i="2"/>
  <c r="J11" i="2" s="1"/>
  <c r="U14" i="4"/>
  <c r="J14" i="4" s="1"/>
  <c r="U11" i="7"/>
  <c r="J11" i="7" s="1"/>
  <c r="M15" i="3"/>
  <c r="G15" i="3" s="1"/>
  <c r="I16" i="13" s="1"/>
  <c r="U9" i="5"/>
  <c r="J9" i="5" s="1"/>
  <c r="U11" i="3"/>
  <c r="J11" i="3" s="1"/>
  <c r="M11" i="3" s="1"/>
  <c r="G11" i="3" s="1"/>
  <c r="U9" i="3"/>
  <c r="J9" i="3" s="1"/>
  <c r="U8" i="3"/>
  <c r="J8" i="3" s="1"/>
  <c r="U13" i="8"/>
  <c r="J13" i="8" s="1"/>
  <c r="U10" i="7"/>
  <c r="J10" i="7" s="1"/>
  <c r="U11" i="6"/>
  <c r="J11" i="6" s="1"/>
  <c r="M11" i="6" s="1"/>
  <c r="G11" i="6" s="1"/>
  <c r="U15" i="2"/>
  <c r="J15" i="2" s="1"/>
  <c r="L15" i="2" s="1"/>
  <c r="U10" i="5"/>
  <c r="J10" i="5" s="1"/>
  <c r="U9" i="6"/>
  <c r="J9" i="6" s="1"/>
  <c r="M9" i="6" s="1"/>
  <c r="G9" i="6" s="1"/>
  <c r="U10" i="8"/>
  <c r="J10" i="8" s="1"/>
  <c r="U10" i="3"/>
  <c r="J10" i="3" s="1"/>
  <c r="M10" i="3" s="1"/>
  <c r="G10" i="3" s="1"/>
  <c r="U8" i="8"/>
  <c r="J8" i="8" s="1"/>
  <c r="U8" i="2"/>
  <c r="J8" i="2" s="1"/>
  <c r="U8" i="7"/>
  <c r="J8" i="7" s="1"/>
  <c r="L8" i="7" s="1"/>
  <c r="M13" i="7"/>
  <c r="G13" i="7" s="1"/>
  <c r="L13" i="7"/>
  <c r="U10" i="6"/>
  <c r="J10" i="6" s="1"/>
  <c r="U13" i="3"/>
  <c r="J13" i="3" s="1"/>
  <c r="L14" i="7"/>
  <c r="N30" i="7"/>
  <c r="M14" i="7"/>
  <c r="G14" i="7" s="1"/>
  <c r="U9" i="8"/>
  <c r="J9" i="8" s="1"/>
  <c r="U14" i="8"/>
  <c r="J14" i="8" s="1"/>
  <c r="K12" i="6"/>
  <c r="U14" i="5"/>
  <c r="J14" i="5" s="1"/>
  <c r="U14" i="3"/>
  <c r="J14" i="3" s="1"/>
  <c r="K13" i="2"/>
  <c r="R13" i="2"/>
  <c r="S13" i="2" s="1"/>
  <c r="T13" i="2"/>
  <c r="M13" i="8"/>
  <c r="G13" i="8" s="1"/>
  <c r="L13" i="8"/>
  <c r="Q16" i="16"/>
  <c r="O15" i="9"/>
  <c r="W16" i="13"/>
  <c r="L15" i="4"/>
  <c r="M15" i="4"/>
  <c r="G15" i="4" s="1"/>
  <c r="Q12" i="9"/>
  <c r="S13" i="16"/>
  <c r="Y13" i="13"/>
  <c r="M9" i="5"/>
  <c r="G9" i="5" s="1"/>
  <c r="L9" i="5"/>
  <c r="E12" i="9"/>
  <c r="I13" i="16"/>
  <c r="I13" i="13"/>
  <c r="M9" i="3"/>
  <c r="G9" i="3" s="1"/>
  <c r="L9" i="3"/>
  <c r="E15" i="9"/>
  <c r="I16" i="16"/>
  <c r="L11" i="8"/>
  <c r="M11" i="8"/>
  <c r="G11" i="8" s="1"/>
  <c r="K14" i="2"/>
  <c r="T14" i="2"/>
  <c r="R14" i="2"/>
  <c r="S14" i="2" s="1"/>
  <c r="M8" i="9"/>
  <c r="U9" i="13"/>
  <c r="O9" i="16"/>
  <c r="G13" i="9"/>
  <c r="M14" i="13"/>
  <c r="L10" i="7"/>
  <c r="M10" i="7"/>
  <c r="G10" i="7" s="1"/>
  <c r="L12" i="5"/>
  <c r="M12" i="5"/>
  <c r="G12" i="5" s="1"/>
  <c r="L10" i="5"/>
  <c r="M10" i="5"/>
  <c r="G10" i="5" s="1"/>
  <c r="T12" i="6"/>
  <c r="R12" i="6"/>
  <c r="S12" i="6" s="1"/>
  <c r="M11" i="4"/>
  <c r="G11" i="4" s="1"/>
  <c r="L11" i="4"/>
  <c r="M8" i="8"/>
  <c r="G8" i="8" s="1"/>
  <c r="L8" i="8"/>
  <c r="M8" i="2"/>
  <c r="G8" i="2" s="1"/>
  <c r="L8" i="2"/>
  <c r="D8" i="9"/>
  <c r="G9" i="13"/>
  <c r="G9" i="16"/>
  <c r="M11" i="2"/>
  <c r="G11" i="2" s="1"/>
  <c r="L11" i="2"/>
  <c r="K16" i="13"/>
  <c r="F15" i="9"/>
  <c r="N12" i="9"/>
  <c r="V13" i="13"/>
  <c r="P13" i="16"/>
  <c r="L10" i="8"/>
  <c r="M10" i="8"/>
  <c r="G10" i="8" s="1"/>
  <c r="D10" i="9"/>
  <c r="G11" i="16"/>
  <c r="G11" i="13"/>
  <c r="P16" i="16"/>
  <c r="N15" i="9"/>
  <c r="V16" i="13"/>
  <c r="U11" i="13"/>
  <c r="M10" i="9"/>
  <c r="O11" i="16"/>
  <c r="U13" i="5"/>
  <c r="J13" i="5" s="1"/>
  <c r="M15" i="7"/>
  <c r="G15" i="7" s="1"/>
  <c r="L15" i="7"/>
  <c r="U12" i="2"/>
  <c r="J12" i="2" s="1"/>
  <c r="T15" i="8"/>
  <c r="R15" i="8"/>
  <c r="S15" i="8" s="1"/>
  <c r="K15" i="8"/>
  <c r="U9" i="7"/>
  <c r="J9" i="7" s="1"/>
  <c r="U9" i="2"/>
  <c r="J9" i="2" s="1"/>
  <c r="Q9" i="16"/>
  <c r="O8" i="9"/>
  <c r="W9" i="13"/>
  <c r="M8" i="6"/>
  <c r="G8" i="6" s="1"/>
  <c r="L8" i="6"/>
  <c r="L14" i="6"/>
  <c r="M14" i="6"/>
  <c r="G14" i="6" s="1"/>
  <c r="N30" i="6"/>
  <c r="M11" i="7"/>
  <c r="G11" i="7" s="1"/>
  <c r="L11" i="7"/>
  <c r="U12" i="4"/>
  <c r="J12" i="4" s="1"/>
  <c r="K15" i="6"/>
  <c r="R15" i="6"/>
  <c r="S15" i="6" s="1"/>
  <c r="T15" i="6"/>
  <c r="L9" i="6"/>
  <c r="X14" i="13"/>
  <c r="R14" i="16"/>
  <c r="P13" i="9"/>
  <c r="U11" i="5"/>
  <c r="J11" i="5" s="1"/>
  <c r="R12" i="8"/>
  <c r="S12" i="8" s="1"/>
  <c r="K12" i="8"/>
  <c r="T12" i="8"/>
  <c r="O13" i="13"/>
  <c r="H12" i="9"/>
  <c r="U10" i="2"/>
  <c r="J10" i="2" s="1"/>
  <c r="M9" i="4"/>
  <c r="G9" i="4" s="1"/>
  <c r="L9" i="4"/>
  <c r="K9" i="13"/>
  <c r="F8" i="9"/>
  <c r="M15" i="2" l="1"/>
  <c r="G15" i="2" s="1"/>
  <c r="M14" i="4"/>
  <c r="G14" i="4" s="1"/>
  <c r="N30" i="4"/>
  <c r="L14" i="4"/>
  <c r="L11" i="3"/>
  <c r="V12" i="13" s="1"/>
  <c r="L13" i="4"/>
  <c r="M13" i="4"/>
  <c r="G13" i="4" s="1"/>
  <c r="M8" i="7"/>
  <c r="G8" i="7" s="1"/>
  <c r="H8" i="9" s="1"/>
  <c r="L11" i="6"/>
  <c r="U13" i="2"/>
  <c r="J13" i="2" s="1"/>
  <c r="L13" i="2" s="1"/>
  <c r="L8" i="3"/>
  <c r="M8" i="3"/>
  <c r="G8" i="3" s="1"/>
  <c r="U12" i="6"/>
  <c r="J12" i="6" s="1"/>
  <c r="U15" i="8"/>
  <c r="J15" i="8" s="1"/>
  <c r="L15" i="8" s="1"/>
  <c r="L10" i="3"/>
  <c r="V11" i="13" s="1"/>
  <c r="I13" i="9"/>
  <c r="Q14" i="13"/>
  <c r="K14" i="16"/>
  <c r="S16" i="16"/>
  <c r="Y16" i="13"/>
  <c r="Q15" i="9"/>
  <c r="N9" i="16"/>
  <c r="L8" i="9"/>
  <c r="T9" i="13"/>
  <c r="I11" i="16"/>
  <c r="E10" i="9"/>
  <c r="I11" i="13"/>
  <c r="W13" i="13"/>
  <c r="Q13" i="16"/>
  <c r="O12" i="9"/>
  <c r="U14" i="2"/>
  <c r="J14" i="2" s="1"/>
  <c r="P12" i="16"/>
  <c r="N11" i="9"/>
  <c r="O15" i="13"/>
  <c r="H14" i="9"/>
  <c r="F12" i="9"/>
  <c r="K13" i="13"/>
  <c r="G14" i="9"/>
  <c r="M15" i="13"/>
  <c r="O11" i="13"/>
  <c r="H10" i="9"/>
  <c r="M13" i="2"/>
  <c r="G13" i="2" s="1"/>
  <c r="M9" i="2"/>
  <c r="G9" i="2" s="1"/>
  <c r="L9" i="2"/>
  <c r="L13" i="5"/>
  <c r="M13" i="5"/>
  <c r="G13" i="5" s="1"/>
  <c r="K11" i="16"/>
  <c r="I10" i="9"/>
  <c r="Q11" i="13"/>
  <c r="E12" i="16"/>
  <c r="E12" i="13"/>
  <c r="C11" i="9"/>
  <c r="Z9" i="13"/>
  <c r="R8" i="9"/>
  <c r="T9" i="16"/>
  <c r="D11" i="9"/>
  <c r="G12" i="13"/>
  <c r="G12" i="16"/>
  <c r="Q10" i="9"/>
  <c r="S11" i="16"/>
  <c r="Y11" i="13"/>
  <c r="W10" i="13"/>
  <c r="Q10" i="16"/>
  <c r="O9" i="9"/>
  <c r="M15" i="9"/>
  <c r="O16" i="16"/>
  <c r="U16" i="13"/>
  <c r="Y15" i="13"/>
  <c r="S15" i="16"/>
  <c r="Q14" i="9"/>
  <c r="E9" i="16"/>
  <c r="C8" i="9"/>
  <c r="E9" i="13"/>
  <c r="U12" i="8"/>
  <c r="J12" i="8" s="1"/>
  <c r="M9" i="7"/>
  <c r="G9" i="7" s="1"/>
  <c r="L9" i="7"/>
  <c r="Z11" i="13"/>
  <c r="T11" i="16"/>
  <c r="R10" i="9"/>
  <c r="Q9" i="13"/>
  <c r="K9" i="16"/>
  <c r="I8" i="9"/>
  <c r="M12" i="6"/>
  <c r="G12" i="6" s="1"/>
  <c r="L12" i="6"/>
  <c r="Q12" i="13"/>
  <c r="I11" i="9"/>
  <c r="K12" i="16"/>
  <c r="V10" i="13"/>
  <c r="P10" i="16"/>
  <c r="N9" i="9"/>
  <c r="K10" i="13"/>
  <c r="F9" i="9"/>
  <c r="N30" i="3"/>
  <c r="L14" i="3"/>
  <c r="M14" i="3"/>
  <c r="G14" i="3" s="1"/>
  <c r="M13" i="3"/>
  <c r="G13" i="3" s="1"/>
  <c r="L13" i="3"/>
  <c r="H11" i="9"/>
  <c r="O12" i="13"/>
  <c r="N10" i="9"/>
  <c r="G9" i="9"/>
  <c r="M10" i="13"/>
  <c r="G16" i="16"/>
  <c r="D15" i="9"/>
  <c r="G16" i="13"/>
  <c r="X15" i="13"/>
  <c r="R15" i="16"/>
  <c r="P14" i="9"/>
  <c r="U15" i="6"/>
  <c r="J15" i="6" s="1"/>
  <c r="R9" i="16"/>
  <c r="P8" i="9"/>
  <c r="X9" i="13"/>
  <c r="U10" i="13"/>
  <c r="M9" i="9"/>
  <c r="O10" i="16"/>
  <c r="M11" i="5"/>
  <c r="G11" i="5" s="1"/>
  <c r="L11" i="5"/>
  <c r="G8" i="9"/>
  <c r="M9" i="13"/>
  <c r="T12" i="16"/>
  <c r="Z12" i="13"/>
  <c r="R11" i="9"/>
  <c r="I10" i="13"/>
  <c r="I10" i="16"/>
  <c r="E9" i="9"/>
  <c r="E16" i="13"/>
  <c r="E16" i="16"/>
  <c r="C15" i="9"/>
  <c r="M14" i="5"/>
  <c r="G14" i="5" s="1"/>
  <c r="L14" i="5"/>
  <c r="N30" i="5"/>
  <c r="M10" i="6"/>
  <c r="G10" i="6" s="1"/>
  <c r="L10" i="6"/>
  <c r="L12" i="2"/>
  <c r="M12" i="2"/>
  <c r="G12" i="2" s="1"/>
  <c r="Y9" i="13"/>
  <c r="Q8" i="9"/>
  <c r="S9" i="16"/>
  <c r="M9" i="8"/>
  <c r="G9" i="8" s="1"/>
  <c r="L9" i="8"/>
  <c r="X10" i="13"/>
  <c r="R10" i="16"/>
  <c r="P9" i="9"/>
  <c r="O16" i="13"/>
  <c r="H15" i="9"/>
  <c r="N12" i="16"/>
  <c r="T12" i="13"/>
  <c r="L11" i="9"/>
  <c r="O12" i="16"/>
  <c r="M11" i="9"/>
  <c r="U12" i="13"/>
  <c r="E11" i="9"/>
  <c r="I12" i="16"/>
  <c r="I12" i="13"/>
  <c r="L12" i="4"/>
  <c r="M12" i="4"/>
  <c r="G12" i="4" s="1"/>
  <c r="X12" i="13"/>
  <c r="R12" i="16"/>
  <c r="P11" i="9"/>
  <c r="M15" i="8"/>
  <c r="G15" i="8" s="1"/>
  <c r="F10" i="9"/>
  <c r="K11" i="13"/>
  <c r="N16" i="16"/>
  <c r="T16" i="13"/>
  <c r="L15" i="9"/>
  <c r="Y14" i="13"/>
  <c r="S14" i="16"/>
  <c r="Q13" i="9"/>
  <c r="G10" i="16"/>
  <c r="G10" i="13"/>
  <c r="D9" i="9"/>
  <c r="L10" i="2"/>
  <c r="M10" i="2"/>
  <c r="G10" i="2" s="1"/>
  <c r="Q11" i="9"/>
  <c r="Y12" i="13"/>
  <c r="S12" i="16"/>
  <c r="M12" i="13"/>
  <c r="G11" i="9"/>
  <c r="O9" i="13"/>
  <c r="Q11" i="16"/>
  <c r="W11" i="13"/>
  <c r="O10" i="9"/>
  <c r="T14" i="16"/>
  <c r="R13" i="9"/>
  <c r="Z14" i="13"/>
  <c r="N30" i="8"/>
  <c r="L14" i="8"/>
  <c r="M14" i="8"/>
  <c r="G14" i="8" s="1"/>
  <c r="O14" i="13"/>
  <c r="H13" i="9"/>
  <c r="D13" i="9" l="1"/>
  <c r="G14" i="16"/>
  <c r="G14" i="13"/>
  <c r="U14" i="13"/>
  <c r="M13" i="9"/>
  <c r="O14" i="16"/>
  <c r="O15" i="16"/>
  <c r="U15" i="13"/>
  <c r="M14" i="9"/>
  <c r="D14" i="9"/>
  <c r="G15" i="13"/>
  <c r="G15" i="16"/>
  <c r="P11" i="16"/>
  <c r="I9" i="13"/>
  <c r="E8" i="9"/>
  <c r="I9" i="16"/>
  <c r="N8" i="9"/>
  <c r="V9" i="13"/>
  <c r="P9" i="16"/>
  <c r="O13" i="9"/>
  <c r="Q14" i="16"/>
  <c r="W14" i="13"/>
  <c r="N30" i="2"/>
  <c r="M14" i="2"/>
  <c r="G14" i="2" s="1"/>
  <c r="L14" i="2"/>
  <c r="O14" i="9"/>
  <c r="W15" i="13"/>
  <c r="Q15" i="16"/>
  <c r="R13" i="16"/>
  <c r="X13" i="13"/>
  <c r="P12" i="9"/>
  <c r="Y10" i="13"/>
  <c r="Q9" i="9"/>
  <c r="S10" i="16"/>
  <c r="T10" i="13"/>
  <c r="L9" i="9"/>
  <c r="N10" i="16"/>
  <c r="K10" i="16"/>
  <c r="I9" i="9"/>
  <c r="Q10" i="13"/>
  <c r="G12" i="9"/>
  <c r="M13" i="13"/>
  <c r="C9" i="9"/>
  <c r="E10" i="16"/>
  <c r="E10" i="13"/>
  <c r="T16" i="16"/>
  <c r="Z16" i="13"/>
  <c r="R15" i="9"/>
  <c r="L12" i="8"/>
  <c r="M12" i="8"/>
  <c r="G12" i="8" s="1"/>
  <c r="T14" i="13"/>
  <c r="N14" i="16"/>
  <c r="L13" i="9"/>
  <c r="C12" i="9"/>
  <c r="E13" i="16"/>
  <c r="E13" i="13"/>
  <c r="V14" i="13"/>
  <c r="P14" i="16"/>
  <c r="N13" i="9"/>
  <c r="E14" i="13"/>
  <c r="C13" i="9"/>
  <c r="E14" i="16"/>
  <c r="I15" i="9"/>
  <c r="Q16" i="13"/>
  <c r="K16" i="16"/>
  <c r="F14" i="9"/>
  <c r="K15" i="13"/>
  <c r="H9" i="9"/>
  <c r="O10" i="13"/>
  <c r="Q15" i="13"/>
  <c r="K15" i="16"/>
  <c r="I14" i="9"/>
  <c r="E11" i="16"/>
  <c r="E11" i="13"/>
  <c r="C10" i="9"/>
  <c r="L12" i="9"/>
  <c r="T13" i="13"/>
  <c r="N13" i="16"/>
  <c r="I14" i="13"/>
  <c r="E13" i="9"/>
  <c r="I14" i="16"/>
  <c r="Q12" i="16"/>
  <c r="O11" i="9"/>
  <c r="W12" i="13"/>
  <c r="M12" i="9"/>
  <c r="O13" i="16"/>
  <c r="U13" i="13"/>
  <c r="Z15" i="13"/>
  <c r="T15" i="16"/>
  <c r="R14" i="9"/>
  <c r="L10" i="9"/>
  <c r="N11" i="16"/>
  <c r="T11" i="13"/>
  <c r="X11" i="13"/>
  <c r="R11" i="16"/>
  <c r="P10" i="9"/>
  <c r="M15" i="6"/>
  <c r="G15" i="6" s="1"/>
  <c r="L15" i="6"/>
  <c r="I15" i="13"/>
  <c r="E14" i="9"/>
  <c r="I15" i="16"/>
  <c r="G13" i="13"/>
  <c r="D12" i="9"/>
  <c r="G13" i="16"/>
  <c r="Z10" i="13"/>
  <c r="T10" i="16"/>
  <c r="R9" i="9"/>
  <c r="M11" i="13"/>
  <c r="G10" i="9"/>
  <c r="F11" i="9"/>
  <c r="K12" i="13"/>
  <c r="N14" i="9"/>
  <c r="P15" i="16"/>
  <c r="V15" i="13"/>
  <c r="K14" i="13"/>
  <c r="F13" i="9"/>
  <c r="R16" i="16" l="1"/>
  <c r="X16" i="13"/>
  <c r="P15" i="9"/>
  <c r="K13" i="16"/>
  <c r="Q13" i="13"/>
  <c r="I12" i="9"/>
  <c r="G15" i="9"/>
  <c r="M16" i="13"/>
  <c r="N15" i="16"/>
  <c r="T15" i="13"/>
  <c r="L14" i="9"/>
  <c r="C14" i="9"/>
  <c r="E15" i="13"/>
  <c r="E15" i="16"/>
  <c r="T13" i="16"/>
  <c r="Z13" i="13"/>
  <c r="R12" i="9"/>
</calcChain>
</file>

<file path=xl/sharedStrings.xml><?xml version="1.0" encoding="utf-8"?>
<sst xmlns="http://schemas.openxmlformats.org/spreadsheetml/2006/main" count="661" uniqueCount="145">
  <si>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</si>
  <si>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</si>
  <si>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</si>
  <si>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</si>
  <si>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</si>
  <si>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</si>
  <si>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</si>
  <si>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</si>
  <si>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</si>
  <si>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</si>
  <si>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</si>
  <si>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</si>
  <si>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</si>
  <si>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</si>
  <si>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</si>
  <si>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</si>
  <si>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</si>
  <si>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</si>
  <si>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</si>
  <si>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</si>
  <si>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</si>
  <si>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</si>
  <si>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</si>
  <si>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</si>
  <si>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</si>
  <si>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</si>
  <si>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</si>
  <si>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</si>
  <si>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</si>
  <si>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</si>
  <si>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</si>
  <si>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</si>
  <si>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</si>
  <si>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</si>
  <si>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</si>
  <si>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</si>
  <si>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</si>
  <si>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</si>
  <si>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</si>
  <si>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</si>
  <si>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</si>
  <si>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</si>
  <si>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</si>
  <si>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</si>
  <si>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</si>
  <si>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</si>
  <si>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</si>
  <si>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</si>
  <si>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</si>
  <si>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</si>
  <si>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</si>
  <si>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release 10/17/05</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</si>
  <si>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</si>
  <si>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</si>
  <si>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</si>
  <si>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</si>
  <si>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</si>
  <si>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</si>
  <si>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</si>
  <si>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</si>
  <si>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</si>
  <si>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</si>
  <si>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</si>
  <si>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</si>
  <si>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</si>
  <si>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</si>
  <si>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</si>
  <si>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</si>
  <si>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</si>
  <si>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</si>
  <si>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</si>
  <si>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</si>
  <si>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</si>
  <si>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</si>
  <si>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</si>
  <si>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</si>
  <si>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</si>
  <si>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</si>
  <si>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</si>
  <si>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</si>
  <si>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</si>
  <si>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</si>
  <si>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</si>
  <si>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</si>
  <si>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</si>
  <si>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</si>
  <si>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</si>
  <si>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</si>
  <si>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</si>
  <si>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</si>
  <si>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</si>
  <si>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</si>
  <si>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</si>
  <si>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release 10/3/05</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</si>
  <si>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</si>
  <si>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</si>
  <si>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</si>
  <si>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</si>
  <si>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</si>
  <si>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</si>
  <si>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</si>
  <si>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</si>
  <si>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</si>
  <si>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</si>
  <si>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</si>
  <si>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</si>
  <si>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</si>
  <si>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</si>
  <si>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</si>
  <si>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</si>
  <si>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</si>
  <si>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</si>
  <si>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</si>
  <si>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</si>
  <si>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</si>
  <si>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</si>
  <si>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</si>
  <si>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</si>
  <si>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</si>
  <si>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</si>
  <si>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</si>
  <si>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</si>
  <si>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</si>
  <si>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</si>
  <si>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</si>
  <si>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</si>
  <si>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</si>
  <si>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</si>
  <si>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</si>
  <si>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</si>
  <si>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</si>
  <si>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</si>
  <si>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</si>
  <si>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</si>
  <si>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</si>
  <si>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</si>
  <si>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</si>
  <si>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</si>
  <si>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All Reporting Counties</t>
  </si>
  <si>
    <t>Note: The non-reporting counties for 2012 (for decision points 3-10) were Clinton, Emmet, Antrim, Lake, Tuscola, Berrien, Branch, Delta, Ingham, Kalamazoo, Kent, Macomb, Oakland, Ottawa, and Wayne.</t>
  </si>
  <si>
    <t>Item 2.Arrest: Michigan State Police</t>
  </si>
  <si>
    <t>2. Juvenile Arrests</t>
  </si>
  <si>
    <t xml:space="preserve">1. Population at Risk (age 10-17) </t>
  </si>
  <si>
    <t>Item 1. Population: U.S. Census estimate (from C. Puzzanchera, A. Sladky, and W. Kang (2024), "Easy Access to Juvenile Populations: 1990-2022," Online, accessed November 19, 2024 from http://www.ojjdp.gov/ojstatbb/ezapop/)</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</si>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</sst>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6">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3">
    <xf numFmtId="0" fontId="0" fillId="0" borderId="0"/>
    <xf numFmtId="0" fontId="16" fillId="4" borderId="0" applyNumberFormat="0" applyBorder="0" applyAlignment="0" applyProtection="0"/>
    <xf numFmtId="0" fontId="1" fillId="5" borderId="0" applyNumberFormat="0" applyBorder="0" applyAlignment="0" applyProtection="0"/>
  </cellStyleXfs>
  <cellXfs count="218">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30" fillId="0" borderId="1" xfId="0" applyNumberFormat="1" applyFont="1" applyBorder="1" applyAlignment="1">
      <alignment vertical="top" wrapText="1"/>
    </xf>
    <xf numFmtId="3" fontId="5" fillId="0" borderId="2" xfId="0" applyNumberFormat="1" applyFont="1" applyBorder="1" applyAlignment="1">
      <alignment horizontal="right" vertical="center"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2" fillId="0" borderId="0" xfId="0" applyNumberFormat="1" applyFont="1" applyAlignment="1">
      <alignment wrapText="1"/>
    </xf>
    <xf numFmtId="0" fontId="0" fillId="0" borderId="0" xfId="0"/>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cellXfs>
  <cellStyles count="3">
    <cellStyle name="40% - Accent1" xfId="2" builtinId="31"/>
    <cellStyle name="Accent1" xfId="1" builtinId="29"/>
    <cellStyle name="Normal" xfId="0" builtinId="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All Reporting Counties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N=40</c:v>
                </c:pt>
                <c:pt idx="1">
                  <c:v>Confinement, total N=953</c:v>
                </c:pt>
                <c:pt idx="2">
                  <c:v>Delinquent Findings, total N=4995</c:v>
                </c:pt>
                <c:pt idx="3">
                  <c:v>Petitions, total N=10922</c:v>
                </c:pt>
                <c:pt idx="4">
                  <c:v>Detentions, total N=2847</c:v>
                </c:pt>
                <c:pt idx="5">
                  <c:v>Referrals, total N=18455</c:v>
                </c:pt>
                <c:pt idx="6">
                  <c:v>Arrests, total N=9165</c:v>
                </c:pt>
                <c:pt idx="7">
                  <c:v>Population, total N=991532</c:v>
                </c:pt>
              </c:strCache>
            </c:strRef>
          </c:cat>
          <c:val>
            <c:numRef>
              <c:f>'Stacked 100%'!$B$7:$B$14</c:f>
              <c:numCache>
                <c:formatCode>0%</c:formatCode>
                <c:ptCount val="8"/>
                <c:pt idx="0">
                  <c:v>0.67500000000000004</c:v>
                </c:pt>
                <c:pt idx="1">
                  <c:v>0.34942287513116477</c:v>
                </c:pt>
                <c:pt idx="2">
                  <c:v>0.32412412412412411</c:v>
                </c:pt>
                <c:pt idx="3">
                  <c:v>0.24977110419337117</c:v>
                </c:pt>
                <c:pt idx="4">
                  <c:v>0.49525816649104321</c:v>
                </c:pt>
                <c:pt idx="5">
                  <c:v>0.25429422920617717</c:v>
                </c:pt>
                <c:pt idx="6">
                  <c:v>0.45313693398799781</c:v>
                </c:pt>
                <c:pt idx="7">
                  <c:v>0.17652279502829965</c:v>
                </c:pt>
              </c:numCache>
            </c:numRef>
          </c:val>
          <c:extLst>
            <c:ext xmlns:c16="http://schemas.microsoft.com/office/drawing/2014/chart" uri="{C3380CC4-5D6E-409C-BE32-E72D297353CC}">
              <c16:uniqueId val="{00000000-FA19-4927-880B-8FC4A6B96E0C}"/>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N=40</c:v>
                </c:pt>
                <c:pt idx="1">
                  <c:v>Confinement, total N=953</c:v>
                </c:pt>
                <c:pt idx="2">
                  <c:v>Delinquent Findings, total N=4995</c:v>
                </c:pt>
                <c:pt idx="3">
                  <c:v>Petitions, total N=10922</c:v>
                </c:pt>
                <c:pt idx="4">
                  <c:v>Detentions, total N=2847</c:v>
                </c:pt>
                <c:pt idx="5">
                  <c:v>Referrals, total N=18455</c:v>
                </c:pt>
                <c:pt idx="6">
                  <c:v>Arrests, total N=9165</c:v>
                </c:pt>
                <c:pt idx="7">
                  <c:v>Population, total N=991532</c:v>
                </c:pt>
              </c:strCache>
            </c:strRef>
          </c:cat>
          <c:val>
            <c:numRef>
              <c:f>'Stacked 100%'!$C$7:$C$14</c:f>
              <c:numCache>
                <c:formatCode>0%</c:formatCode>
                <c:ptCount val="8"/>
                <c:pt idx="0">
                  <c:v>0.1</c:v>
                </c:pt>
                <c:pt idx="1">
                  <c:v>1.049317943336831E-2</c:v>
                </c:pt>
                <c:pt idx="2">
                  <c:v>4.7647647647647645E-2</c:v>
                </c:pt>
                <c:pt idx="3">
                  <c:v>3.5890862479399377E-2</c:v>
                </c:pt>
                <c:pt idx="4">
                  <c:v>6.4629434492448193E-2</c:v>
                </c:pt>
                <c:pt idx="5">
                  <c:v>2.9964779192630724E-2</c:v>
                </c:pt>
                <c:pt idx="6">
                  <c:v>2.8696126568466995E-2</c:v>
                </c:pt>
                <c:pt idx="7">
                  <c:v>9.0623398942242916E-2</c:v>
                </c:pt>
              </c:numCache>
            </c:numRef>
          </c:val>
          <c:extLst>
            <c:ext xmlns:c16="http://schemas.microsoft.com/office/drawing/2014/chart" uri="{C3380CC4-5D6E-409C-BE32-E72D297353CC}">
              <c16:uniqueId val="{00000001-FA19-4927-880B-8FC4A6B96E0C}"/>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N=40</c:v>
                </c:pt>
                <c:pt idx="1">
                  <c:v>Confinement, total N=953</c:v>
                </c:pt>
                <c:pt idx="2">
                  <c:v>Delinquent Findings, total N=4995</c:v>
                </c:pt>
                <c:pt idx="3">
                  <c:v>Petitions, total N=10922</c:v>
                </c:pt>
                <c:pt idx="4">
                  <c:v>Detentions, total N=2847</c:v>
                </c:pt>
                <c:pt idx="5">
                  <c:v>Referrals, total N=18455</c:v>
                </c:pt>
                <c:pt idx="6">
                  <c:v>Arrests, total N=9165</c:v>
                </c:pt>
                <c:pt idx="7">
                  <c:v>Population, total N=991532</c:v>
                </c:pt>
              </c:strCache>
            </c:strRef>
          </c:cat>
          <c:val>
            <c:numRef>
              <c:f>'Stacked 100%'!$H$7:$H$14</c:f>
              <c:numCache>
                <c:formatCode>0%</c:formatCode>
                <c:ptCount val="8"/>
                <c:pt idx="0">
                  <c:v>1.25E-3</c:v>
                </c:pt>
                <c:pt idx="1">
                  <c:v>5.9457679895266399E-5</c:v>
                </c:pt>
                <c:pt idx="2">
                  <c:v>1.170339508677847E-5</c:v>
                </c:pt>
                <c:pt idx="3">
                  <c:v>4.6441412515058667E-6</c:v>
                </c:pt>
                <c:pt idx="4">
                  <c:v>3.08436008596235E-5</c:v>
                </c:pt>
                <c:pt idx="5">
                  <c:v>2.4076078646859787E-6</c:v>
                </c:pt>
                <c:pt idx="6">
                  <c:v>1.5476701760087908E-6</c:v>
                </c:pt>
                <c:pt idx="7">
                  <c:v>4.7715691399310376E-8</c:v>
                </c:pt>
              </c:numCache>
            </c:numRef>
          </c:val>
          <c:extLst>
            <c:ext xmlns:c16="http://schemas.microsoft.com/office/drawing/2014/chart" uri="{C3380CC4-5D6E-409C-BE32-E72D297353CC}">
              <c16:uniqueId val="{00000002-FA19-4927-880B-8FC4A6B96E0C}"/>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N=40</c:v>
                </c:pt>
                <c:pt idx="1">
                  <c:v>Confinement, total N=953</c:v>
                </c:pt>
                <c:pt idx="2">
                  <c:v>Delinquent Findings, total N=4995</c:v>
                </c:pt>
                <c:pt idx="3">
                  <c:v>Petitions, total N=10922</c:v>
                </c:pt>
                <c:pt idx="4">
                  <c:v>Detentions, total N=2847</c:v>
                </c:pt>
                <c:pt idx="5">
                  <c:v>Referrals, total N=18455</c:v>
                </c:pt>
                <c:pt idx="6">
                  <c:v>Arrests, total N=9165</c:v>
                </c:pt>
                <c:pt idx="7">
                  <c:v>Population, total N=991532</c:v>
                </c:pt>
              </c:strCache>
            </c:strRef>
          </c:cat>
          <c:val>
            <c:numRef>
              <c:f>'Stacked 100%'!$I$7:$I$14</c:f>
              <c:numCache>
                <c:formatCode>0%</c:formatCode>
                <c:ptCount val="8"/>
                <c:pt idx="0">
                  <c:v>7.4999999999999997E-2</c:v>
                </c:pt>
                <c:pt idx="1">
                  <c:v>0.44386149003147951</c:v>
                </c:pt>
                <c:pt idx="2">
                  <c:v>0.46726726726726725</c:v>
                </c:pt>
                <c:pt idx="3">
                  <c:v>0.34471708478300678</c:v>
                </c:pt>
                <c:pt idx="4">
                  <c:v>0.30909729539866526</c:v>
                </c:pt>
                <c:pt idx="5">
                  <c:v>0.38347331346518559</c:v>
                </c:pt>
                <c:pt idx="6">
                  <c:v>0.46590289143480634</c:v>
                </c:pt>
                <c:pt idx="7">
                  <c:v>0.68554217110491644</c:v>
                </c:pt>
              </c:numCache>
            </c:numRef>
          </c:val>
          <c:extLst>
            <c:ext xmlns:c16="http://schemas.microsoft.com/office/drawing/2014/chart" uri="{C3380CC4-5D6E-409C-BE32-E72D297353CC}">
              <c16:uniqueId val="{00000003-FA19-4927-880B-8FC4A6B96E0C}"/>
            </c:ext>
          </c:extLst>
        </c:ser>
        <c:dLbls>
          <c:showLegendKey val="0"/>
          <c:showVal val="0"/>
          <c:showCatName val="0"/>
          <c:showSerName val="0"/>
          <c:showPercent val="0"/>
          <c:showBubbleSize val="0"/>
        </c:dLbls>
        <c:gapWidth val="150"/>
        <c:overlap val="100"/>
        <c:axId val="126325504"/>
        <c:axId val="12632704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N=40</c:v>
                </c:pt>
                <c:pt idx="1">
                  <c:v>Confinement, total N=953</c:v>
                </c:pt>
                <c:pt idx="2">
                  <c:v>Delinquent Findings, total N=4995</c:v>
                </c:pt>
                <c:pt idx="3">
                  <c:v>Petitions, total N=10922</c:v>
                </c:pt>
                <c:pt idx="4">
                  <c:v>Detentions, total N=2847</c:v>
                </c:pt>
                <c:pt idx="5">
                  <c:v>Referrals, total N=18455</c:v>
                </c:pt>
                <c:pt idx="6">
                  <c:v>Arrests, total N=9165</c:v>
                </c:pt>
                <c:pt idx="7">
                  <c:v>Population, total N=991532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FA19-4927-880B-8FC4A6B96E0C}"/>
            </c:ext>
          </c:extLst>
        </c:ser>
        <c:dLbls>
          <c:showLegendKey val="0"/>
          <c:showVal val="0"/>
          <c:showCatName val="0"/>
          <c:showSerName val="0"/>
          <c:showPercent val="0"/>
          <c:showBubbleSize val="0"/>
        </c:dLbls>
        <c:gapWidth val="150"/>
        <c:overlap val="100"/>
        <c:axId val="126330368"/>
        <c:axId val="126328832"/>
      </c:barChart>
      <c:catAx>
        <c:axId val="126325504"/>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26327040"/>
        <c:crosses val="autoZero"/>
        <c:auto val="1"/>
        <c:lblAlgn val="ctr"/>
        <c:lblOffset val="100"/>
        <c:noMultiLvlLbl val="0"/>
      </c:catAx>
      <c:valAx>
        <c:axId val="12632704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26325504"/>
        <c:crosses val="autoZero"/>
        <c:crossBetween val="between"/>
      </c:valAx>
      <c:valAx>
        <c:axId val="126328832"/>
        <c:scaling>
          <c:orientation val="minMax"/>
        </c:scaling>
        <c:delete val="1"/>
        <c:axPos val="t"/>
        <c:numFmt formatCode="0%" sourceLinked="1"/>
        <c:majorTickMark val="out"/>
        <c:minorTickMark val="none"/>
        <c:tickLblPos val="nextTo"/>
        <c:crossAx val="126330368"/>
        <c:crosses val="max"/>
        <c:crossBetween val="between"/>
      </c:valAx>
      <c:catAx>
        <c:axId val="126330368"/>
        <c:scaling>
          <c:orientation val="minMax"/>
        </c:scaling>
        <c:delete val="1"/>
        <c:axPos val="l"/>
        <c:numFmt formatCode="General" sourceLinked="1"/>
        <c:majorTickMark val="out"/>
        <c:minorTickMark val="none"/>
        <c:tickLblPos val="nextTo"/>
        <c:crossAx val="126328832"/>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9" sqref="D19:I19"/>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124</v>
      </c>
      <c r="B2" s="4"/>
      <c r="C2" s="4"/>
      <c r="D2" s="4"/>
      <c r="E2" s="4"/>
      <c r="F2" s="4"/>
    </row>
    <row r="3" spans="1:11" ht="15" customHeight="1">
      <c r="A3" s="134" t="s">
        <v>138</v>
      </c>
      <c r="B3" s="4"/>
      <c r="C3" s="5" t="s">
        <v>109</v>
      </c>
      <c r="D3" s="6"/>
      <c r="E3" s="6"/>
      <c r="F3" s="6"/>
      <c r="G3" s="7"/>
      <c r="H3" s="7"/>
    </row>
    <row r="4" spans="1:11" ht="15" customHeight="1">
      <c r="A4" s="4"/>
      <c r="B4" s="4"/>
      <c r="C4" s="171" t="s">
        <v>144</v>
      </c>
      <c r="D4" s="171"/>
      <c r="E4" s="171"/>
      <c r="F4" s="171"/>
      <c r="G4" s="8"/>
    </row>
    <row r="5" spans="1:11" ht="65.25" customHeight="1" thickBot="1">
      <c r="A5" s="8"/>
      <c r="B5" s="9" t="s">
        <v>2</v>
      </c>
      <c r="C5" s="9" t="s">
        <v>3</v>
      </c>
      <c r="D5" s="9" t="s">
        <v>134</v>
      </c>
      <c r="E5" s="9" t="s">
        <v>4</v>
      </c>
      <c r="F5" s="9" t="s">
        <v>5</v>
      </c>
      <c r="G5" s="9" t="s">
        <v>137</v>
      </c>
      <c r="H5" s="9" t="s">
        <v>6</v>
      </c>
      <c r="I5" s="9" t="s">
        <v>126</v>
      </c>
      <c r="J5" s="9" t="s">
        <v>7</v>
      </c>
      <c r="K5" s="9" t="s">
        <v>118</v>
      </c>
    </row>
    <row r="6" spans="1:11" ht="15.75" customHeight="1" thickBot="1">
      <c r="A6" s="10" t="s">
        <v>142</v>
      </c>
      <c r="B6" s="11">
        <v>991532</v>
      </c>
      <c r="C6" s="11">
        <v>679737</v>
      </c>
      <c r="D6" s="11">
        <v>175028</v>
      </c>
      <c r="E6" s="11">
        <v>89856</v>
      </c>
      <c r="F6" s="11">
        <v>39232</v>
      </c>
      <c r="G6" s="11">
        <v>0</v>
      </c>
      <c r="H6" s="11">
        <v>7679</v>
      </c>
      <c r="I6" s="11">
        <v>0</v>
      </c>
      <c r="J6" s="168">
        <v>311795</v>
      </c>
      <c r="K6" s="11">
        <v>0</v>
      </c>
    </row>
    <row r="7" spans="1:11" ht="15.75" customHeight="1" thickBot="1">
      <c r="A7" s="167" t="s">
        <v>141</v>
      </c>
      <c r="B7" s="11">
        <v>9165</v>
      </c>
      <c r="C7" s="11">
        <v>4270</v>
      </c>
      <c r="D7" s="11">
        <v>4153</v>
      </c>
      <c r="E7" s="11">
        <v>263</v>
      </c>
      <c r="F7" s="11">
        <v>45</v>
      </c>
      <c r="G7" s="11">
        <v>5</v>
      </c>
      <c r="H7" s="11">
        <v>80</v>
      </c>
      <c r="I7" s="11">
        <v>0</v>
      </c>
      <c r="J7" s="168">
        <v>4546</v>
      </c>
      <c r="K7" s="11">
        <v>349</v>
      </c>
    </row>
    <row r="8" spans="1:11" ht="15.75" customHeight="1" thickBot="1">
      <c r="A8" s="10" t="s">
        <v>9</v>
      </c>
      <c r="B8" s="11">
        <v>18455</v>
      </c>
      <c r="C8" s="11">
        <v>7077</v>
      </c>
      <c r="D8" s="11">
        <v>4693</v>
      </c>
      <c r="E8" s="11">
        <v>553</v>
      </c>
      <c r="F8" s="11">
        <v>76</v>
      </c>
      <c r="G8" s="11">
        <v>4</v>
      </c>
      <c r="H8" s="11">
        <v>98</v>
      </c>
      <c r="I8" s="11">
        <v>642</v>
      </c>
      <c r="J8" s="168">
        <v>6066</v>
      </c>
      <c r="K8" s="11">
        <v>5312</v>
      </c>
    </row>
    <row r="9" spans="1:11" ht="15.75" customHeight="1" thickBot="1">
      <c r="A9" s="10" t="s">
        <v>10</v>
      </c>
      <c r="B9" s="11">
        <v>3428</v>
      </c>
      <c r="C9" s="11">
        <v>1540</v>
      </c>
      <c r="D9" s="11">
        <v>1335</v>
      </c>
      <c r="E9" s="11">
        <v>157</v>
      </c>
      <c r="F9" s="11">
        <v>22</v>
      </c>
      <c r="G9" s="11">
        <v>1</v>
      </c>
      <c r="H9" s="11">
        <v>16</v>
      </c>
      <c r="I9" s="11">
        <v>190</v>
      </c>
      <c r="J9" s="168">
        <v>1721</v>
      </c>
      <c r="K9" s="11">
        <v>167</v>
      </c>
    </row>
    <row r="10" spans="1:11" ht="15.75" customHeight="1" thickBot="1">
      <c r="A10" s="10" t="s">
        <v>11</v>
      </c>
      <c r="B10" s="11">
        <v>2847</v>
      </c>
      <c r="C10" s="11">
        <v>880</v>
      </c>
      <c r="D10" s="11">
        <v>1410</v>
      </c>
      <c r="E10" s="11">
        <v>184</v>
      </c>
      <c r="F10" s="11">
        <v>18</v>
      </c>
      <c r="G10" s="11">
        <v>0</v>
      </c>
      <c r="H10" s="11">
        <v>10</v>
      </c>
      <c r="I10" s="11">
        <v>222</v>
      </c>
      <c r="J10" s="168">
        <v>1844</v>
      </c>
      <c r="K10" s="11">
        <v>123</v>
      </c>
    </row>
    <row r="11" spans="1:11" ht="15.75" customHeight="1" thickBot="1">
      <c r="A11" s="10" t="s">
        <v>12</v>
      </c>
      <c r="B11" s="11">
        <v>10922</v>
      </c>
      <c r="C11" s="11">
        <v>3765</v>
      </c>
      <c r="D11" s="11">
        <v>2728</v>
      </c>
      <c r="E11" s="11">
        <v>392</v>
      </c>
      <c r="F11" s="11">
        <v>42</v>
      </c>
      <c r="G11" s="11">
        <v>2</v>
      </c>
      <c r="H11" s="11">
        <v>74</v>
      </c>
      <c r="I11" s="11">
        <v>436</v>
      </c>
      <c r="J11" s="168">
        <v>3674</v>
      </c>
      <c r="K11" s="11">
        <v>3483</v>
      </c>
    </row>
    <row r="12" spans="1:11" ht="15.75" customHeight="1" thickBot="1">
      <c r="A12" s="10" t="s">
        <v>13</v>
      </c>
      <c r="B12" s="11">
        <v>4995</v>
      </c>
      <c r="C12" s="11">
        <v>2334</v>
      </c>
      <c r="D12" s="11">
        <v>1619</v>
      </c>
      <c r="E12" s="11">
        <v>238</v>
      </c>
      <c r="F12" s="11">
        <v>24</v>
      </c>
      <c r="G12" s="11">
        <v>1</v>
      </c>
      <c r="H12" s="11">
        <v>39</v>
      </c>
      <c r="I12" s="11">
        <v>228</v>
      </c>
      <c r="J12" s="168">
        <v>2149</v>
      </c>
      <c r="K12" s="11">
        <v>512</v>
      </c>
    </row>
    <row r="13" spans="1:11" ht="15.75" customHeight="1" thickBot="1">
      <c r="A13" s="10" t="s">
        <v>135</v>
      </c>
      <c r="B13" s="11">
        <v>4967</v>
      </c>
      <c r="C13" s="11">
        <v>2458</v>
      </c>
      <c r="D13" s="11">
        <v>1645</v>
      </c>
      <c r="E13" s="11">
        <v>220</v>
      </c>
      <c r="F13" s="11">
        <v>19</v>
      </c>
      <c r="G13" s="11">
        <v>3</v>
      </c>
      <c r="H13" s="11">
        <v>41</v>
      </c>
      <c r="I13" s="11">
        <v>199</v>
      </c>
      <c r="J13" s="168">
        <v>2127</v>
      </c>
      <c r="K13" s="11">
        <v>382</v>
      </c>
    </row>
    <row r="14" spans="1:11" ht="26.25" customHeight="1" thickBot="1">
      <c r="A14" s="10" t="s">
        <v>125</v>
      </c>
      <c r="B14" s="11">
        <v>953</v>
      </c>
      <c r="C14" s="11">
        <v>423</v>
      </c>
      <c r="D14" s="11">
        <v>333</v>
      </c>
      <c r="E14" s="11">
        <v>10</v>
      </c>
      <c r="F14" s="11">
        <v>15</v>
      </c>
      <c r="G14" s="11">
        <v>0</v>
      </c>
      <c r="H14" s="11">
        <v>7</v>
      </c>
      <c r="I14" s="11">
        <v>32</v>
      </c>
      <c r="J14" s="168">
        <v>397</v>
      </c>
      <c r="K14" s="11">
        <v>133</v>
      </c>
    </row>
    <row r="15" spans="1:11" ht="15.75" customHeight="1" thickBot="1">
      <c r="A15" s="10" t="s">
        <v>16</v>
      </c>
      <c r="B15" s="11">
        <v>40</v>
      </c>
      <c r="C15" s="11">
        <v>3</v>
      </c>
      <c r="D15" s="11">
        <v>27</v>
      </c>
      <c r="E15" s="11">
        <v>4</v>
      </c>
      <c r="F15" s="11">
        <v>0</v>
      </c>
      <c r="G15" s="11">
        <v>0</v>
      </c>
      <c r="H15" s="11">
        <v>0</v>
      </c>
      <c r="I15" s="11">
        <v>2</v>
      </c>
      <c r="J15" s="168">
        <v>33</v>
      </c>
      <c r="K15" s="11">
        <v>4</v>
      </c>
    </row>
    <row r="16" spans="1:11" s="14" customFormat="1" ht="15" customHeight="1">
      <c r="A16" s="12" t="s">
        <v>17</v>
      </c>
      <c r="B16" s="13" t="str">
        <f>IF((B6 &gt; ($B6/100)),"Yes","No")</f>
        <v>Yes</v>
      </c>
      <c r="C16" s="13" t="str">
        <f>IF((C6 &gt; ($B6/100)),"Yes","No")</f>
        <v>Yes</v>
      </c>
      <c r="D16" s="13" t="str">
        <f t="shared" ref="D16:J16" si="0">IF((D6 &gt; ($B6/100)),"Yes","No")</f>
        <v>Yes</v>
      </c>
      <c r="E16" s="13" t="str">
        <f t="shared" si="0"/>
        <v>Yes</v>
      </c>
      <c r="F16" s="13" t="str">
        <f t="shared" si="0"/>
        <v>Yes</v>
      </c>
      <c r="G16" s="13" t="str">
        <f t="shared" si="0"/>
        <v>No</v>
      </c>
      <c r="H16" s="13" t="str">
        <f t="shared" si="0"/>
        <v>No</v>
      </c>
      <c r="I16" s="13" t="str">
        <f t="shared" si="0"/>
        <v>No</v>
      </c>
      <c r="J16" s="13" t="str">
        <f t="shared" si="0"/>
        <v>Yes</v>
      </c>
    </row>
    <row r="17" spans="1:9" ht="15" customHeight="1">
      <c r="A17" s="15"/>
    </row>
    <row r="18" spans="1:9" ht="15" customHeight="1">
      <c r="A18" s="16" t="s">
        <v>18</v>
      </c>
      <c r="B18" s="16"/>
      <c r="C18" s="16"/>
      <c r="D18" s="16"/>
      <c r="E18" s="16"/>
      <c r="F18" s="16"/>
      <c r="G18" s="16"/>
    </row>
    <row r="19" spans="1:9" ht="15" customHeight="1">
      <c r="A19" s="170" t="s">
        <v>143</v>
      </c>
      <c r="B19" s="170"/>
      <c r="C19" s="8"/>
      <c r="D19" s="170" t="s">
        <v>140</v>
      </c>
      <c r="E19" s="170"/>
      <c r="F19" s="170"/>
      <c r="G19" s="170"/>
      <c r="H19" s="170"/>
      <c r="I19" s="170"/>
    </row>
    <row r="20" spans="1:9" ht="15" customHeight="1">
      <c r="A20" s="170" t="s">
        <v>110</v>
      </c>
      <c r="B20" s="170"/>
      <c r="C20" s="8"/>
      <c r="D20" s="170" t="s">
        <v>111</v>
      </c>
      <c r="E20" s="170"/>
      <c r="F20" s="170"/>
      <c r="G20" s="170"/>
      <c r="H20" s="170"/>
      <c r="I20" s="170"/>
    </row>
    <row r="21" spans="1:9" ht="15" customHeight="1">
      <c r="A21" s="170" t="s">
        <v>112</v>
      </c>
      <c r="B21" s="170"/>
      <c r="C21" s="8"/>
      <c r="D21" s="170" t="s">
        <v>113</v>
      </c>
      <c r="E21" s="170"/>
      <c r="F21" s="170"/>
      <c r="G21" s="170"/>
      <c r="H21" s="170"/>
      <c r="I21" s="170"/>
    </row>
    <row r="22" spans="1:9" ht="15" customHeight="1">
      <c r="A22" s="170" t="s">
        <v>114</v>
      </c>
      <c r="B22" s="170"/>
      <c r="C22" s="8"/>
      <c r="D22" s="170" t="s">
        <v>115</v>
      </c>
      <c r="E22" s="170"/>
      <c r="F22" s="170"/>
      <c r="G22" s="170"/>
      <c r="H22" s="170"/>
      <c r="I22" s="170"/>
    </row>
    <row r="23" spans="1:9" ht="15" customHeight="1">
      <c r="A23" s="170" t="s">
        <v>116</v>
      </c>
      <c r="B23" s="170"/>
      <c r="C23" s="8"/>
      <c r="D23" s="170" t="s">
        <v>117</v>
      </c>
      <c r="E23" s="170"/>
      <c r="F23" s="170"/>
      <c r="G23" s="170"/>
      <c r="H23" s="170"/>
      <c r="I23" s="170"/>
    </row>
    <row r="24" spans="1:9" ht="15" customHeight="1">
      <c r="A24" s="8"/>
      <c r="B24" s="8"/>
      <c r="C24" s="8"/>
      <c r="D24" s="8"/>
      <c r="E24" s="8"/>
      <c r="F24" s="8"/>
      <c r="G24" s="8"/>
      <c r="H24" s="8"/>
      <c r="I24" s="8"/>
    </row>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G11" sqref="G11"/>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4" t="str">
        <f>'Data Entry'!I5</f>
        <v>Biracial or Other</v>
      </c>
      <c r="G1" s="214"/>
      <c r="H1" s="214"/>
      <c r="I1" s="214"/>
      <c r="J1" s="214"/>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All Reporting Counties</v>
      </c>
      <c r="C3" s="22"/>
      <c r="D3" s="22"/>
      <c r="E3" s="22"/>
      <c r="F3" s="22"/>
      <c r="G3" s="7"/>
      <c r="H3" s="7"/>
      <c r="I3" s="7"/>
      <c r="J3" s="7"/>
      <c r="K3" s="7"/>
      <c r="N3" s="213" t="s">
        <v>31</v>
      </c>
      <c r="O3" s="213"/>
      <c r="P3" s="213"/>
      <c r="Q3" s="213"/>
      <c r="R3" s="213"/>
      <c r="S3" s="213"/>
      <c r="T3" s="213"/>
      <c r="U3" s="213"/>
    </row>
    <row r="4" spans="2:21" ht="8.25" customHeight="1">
      <c r="B4" s="4"/>
      <c r="C4" s="23"/>
      <c r="D4" s="23"/>
      <c r="E4" s="23"/>
      <c r="F4" s="23"/>
      <c r="G4" s="8"/>
      <c r="H4" s="8"/>
      <c r="I4" s="8"/>
      <c r="N4" s="213"/>
      <c r="O4" s="213"/>
      <c r="P4" s="213"/>
      <c r="Q4" s="213"/>
      <c r="R4" s="213"/>
      <c r="S4" s="213"/>
      <c r="T4" s="213"/>
      <c r="U4" s="213"/>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10-17) </v>
      </c>
      <c r="C6" s="33">
        <f>'Data Entry'!C6</f>
        <v>679737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2. Juvenile Arrests</v>
      </c>
      <c r="C7" s="33">
        <f>'Data Entry'!C7</f>
        <v>4270</v>
      </c>
      <c r="D7" s="34">
        <f>IF((AND(C66&gt;0,C7&gt;0)),(C7/C66),0)</f>
        <v>6.2818413592315858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4270</v>
      </c>
      <c r="Q7" s="42">
        <f>C6-C7</f>
        <v>675467</v>
      </c>
      <c r="R7" s="42">
        <f t="shared" ref="R7:R15" si="5">SUM(N7:Q7)</f>
        <v>679737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7077</v>
      </c>
      <c r="D8" s="34">
        <f>IF((AND(C67&gt;0,C8&gt;0)),(C8/C67),0)</f>
        <v>165.73770491803276</v>
      </c>
      <c r="E8" s="33">
        <f>'Data Entry'!I8</f>
        <v>642</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642</v>
      </c>
      <c r="O8" s="42">
        <f>((D67*L67)-E8)+0.05</f>
        <v>-641.95000000000005</v>
      </c>
      <c r="P8" s="42">
        <f t="shared" si="4"/>
        <v>7077</v>
      </c>
      <c r="Q8" s="42">
        <f>(C$67*L67)-C8</f>
        <v>-2807</v>
      </c>
      <c r="R8" s="42">
        <f t="shared" si="5"/>
        <v>4270.05</v>
      </c>
      <c r="S8" s="30">
        <f t="shared" si="6"/>
        <v>3.2080907318333816E+16</v>
      </c>
      <c r="T8" s="30">
        <f t="shared" si="7"/>
        <v>-5683892018.1698303</v>
      </c>
      <c r="U8" s="31">
        <f t="shared" si="8"/>
        <v>-5644179.5895805256</v>
      </c>
    </row>
    <row r="9" spans="2:21" ht="18" customHeight="1">
      <c r="B9" s="32" t="str">
        <f>'Data Entry'!A9</f>
        <v xml:space="preserve">4. Cases Diverted </v>
      </c>
      <c r="C9" s="33">
        <f>'Data Entry'!C9</f>
        <v>1540</v>
      </c>
      <c r="D9" s="34">
        <f>IF((AND(C68&gt;0,C9&gt;0)),((C9/C68)),0)</f>
        <v>21.760633036597429</v>
      </c>
      <c r="E9" s="33">
        <f>'Data Entry'!I9</f>
        <v>190</v>
      </c>
      <c r="F9" s="34">
        <f>IF((AND($E$9&gt;0,$D$68&gt;0)),(($E$9/$D$68)),0)</f>
        <v>29.595015576323988</v>
      </c>
      <c r="G9" s="39" t="str">
        <f t="shared" si="0"/>
        <v>*</v>
      </c>
      <c r="H9" s="40"/>
      <c r="I9" s="41"/>
      <c r="J9" s="40">
        <f>IF((ABS($U9)&gt;Defaults!D$7),1,2)</f>
        <v>1</v>
      </c>
      <c r="K9" s="39">
        <f>IF((AND(N9&gt;Defaults!B$12,(N9+O9)&gt;Defaults!B$13, P9 &gt; Defaults!B$12, (P9+Q9) &gt; Defaults!B$13)),1,20)</f>
        <v>1</v>
      </c>
      <c r="L9" s="1">
        <f t="shared" si="1"/>
        <v>100</v>
      </c>
      <c r="M9" s="1" t="b">
        <f t="shared" si="2"/>
        <v>1</v>
      </c>
      <c r="N9" s="42">
        <f t="shared" si="3"/>
        <v>190</v>
      </c>
      <c r="O9" s="42">
        <f>(D$68*L68)-E9</f>
        <v>452</v>
      </c>
      <c r="P9" s="42">
        <f t="shared" si="4"/>
        <v>1540</v>
      </c>
      <c r="Q9" s="42">
        <f>(C$68*L68)-C9</f>
        <v>5537</v>
      </c>
      <c r="R9" s="42">
        <f t="shared" si="5"/>
        <v>7719</v>
      </c>
      <c r="S9" s="30">
        <f t="shared" si="6"/>
        <v>978000406897500</v>
      </c>
      <c r="T9" s="30">
        <f t="shared" si="7"/>
        <v>47074383370980</v>
      </c>
      <c r="U9" s="31">
        <f t="shared" si="8"/>
        <v>20.775639251398225</v>
      </c>
    </row>
    <row r="10" spans="2:21" ht="18" customHeight="1">
      <c r="B10" s="32" t="str">
        <f>'Data Entry'!A10</f>
        <v>5. Cases Involving Secure Detention</v>
      </c>
      <c r="C10" s="33">
        <f>'Data Entry'!C10</f>
        <v>880</v>
      </c>
      <c r="D10" s="34">
        <f>IF(((AND(C68&gt;0,C10&gt;0))),(C10/(C68)),0)</f>
        <v>12.434647449484245</v>
      </c>
      <c r="E10" s="33">
        <f>'Data Entry'!I10</f>
        <v>222</v>
      </c>
      <c r="F10" s="34">
        <f>IF(((AND($E$10&gt;0,$D$68&gt;0))),($E$10/($D$68)),0)</f>
        <v>34.579439252336449</v>
      </c>
      <c r="G10" s="39" t="str">
        <f t="shared" si="0"/>
        <v>*</v>
      </c>
      <c r="H10" s="40"/>
      <c r="I10" s="41"/>
      <c r="J10" s="40">
        <f>IF((ABS($U10)&gt;Defaults!D$7),1,2)</f>
        <v>1</v>
      </c>
      <c r="K10" s="39">
        <f>IF((AND(N10&gt;Defaults!B$12,(N10+O10)&gt;Defaults!B$13, P10 &gt; Defaults!B$12, (P10+Q10) &gt; Defaults!B$13)),1,20)</f>
        <v>1</v>
      </c>
      <c r="L10" s="1">
        <f t="shared" si="1"/>
        <v>100</v>
      </c>
      <c r="M10" s="1" t="b">
        <f t="shared" si="2"/>
        <v>1</v>
      </c>
      <c r="N10" s="42">
        <f t="shared" si="3"/>
        <v>222</v>
      </c>
      <c r="O10" s="42">
        <f>(D$68*L68)-E10</f>
        <v>420</v>
      </c>
      <c r="P10" s="42">
        <f t="shared" si="4"/>
        <v>880</v>
      </c>
      <c r="Q10" s="42">
        <f>(C$68*L68)-C10</f>
        <v>6197</v>
      </c>
      <c r="R10" s="42">
        <f t="shared" si="5"/>
        <v>7719</v>
      </c>
      <c r="S10" s="30">
        <f t="shared" si="6"/>
        <v>7813987126754364</v>
      </c>
      <c r="T10" s="30">
        <f t="shared" si="7"/>
        <v>33130420861356</v>
      </c>
      <c r="U10" s="31">
        <f t="shared" si="8"/>
        <v>235.85535358739611</v>
      </c>
    </row>
    <row r="11" spans="2:21" ht="18" customHeight="1">
      <c r="B11" s="32" t="str">
        <f>'Data Entry'!A11</f>
        <v>6. Cases Petitioned (Charge Filed)</v>
      </c>
      <c r="C11" s="33">
        <f>'Data Entry'!C11</f>
        <v>3765</v>
      </c>
      <c r="D11" s="34">
        <f>IF(((AND(C68&gt;0,C11&gt;0))),(C11/(C68)),0)</f>
        <v>53.200508690122938</v>
      </c>
      <c r="E11" s="33">
        <f>'Data Entry'!I11</f>
        <v>436</v>
      </c>
      <c r="F11" s="34">
        <f>IF(((AND($E$11&gt;0,$D$68&gt;0))),($E$11/($D$68)),0)</f>
        <v>67.912772585669785</v>
      </c>
      <c r="G11" s="39" t="str">
        <f t="shared" si="0"/>
        <v>*</v>
      </c>
      <c r="H11" s="40"/>
      <c r="I11" s="41"/>
      <c r="J11" s="40">
        <f>IF((ABS($U11)&gt;Defaults!D$7),1,2)</f>
        <v>1</v>
      </c>
      <c r="K11" s="39">
        <f>IF((AND(N11&gt;Defaults!B$12,(N11+O11)&gt;Defaults!B$13, P11 &gt; Defaults!B$12, (P11+Q11) &gt; Defaults!B$13)),1,20)</f>
        <v>1</v>
      </c>
      <c r="L11" s="1">
        <f t="shared" si="1"/>
        <v>100</v>
      </c>
      <c r="M11" s="1" t="b">
        <f t="shared" si="2"/>
        <v>1</v>
      </c>
      <c r="N11" s="42">
        <f t="shared" si="3"/>
        <v>436</v>
      </c>
      <c r="O11" s="42">
        <f>(D$68*L68)-E11</f>
        <v>206</v>
      </c>
      <c r="P11" s="42">
        <f t="shared" si="4"/>
        <v>3765</v>
      </c>
      <c r="Q11" s="42">
        <f>(C$68*L68)-C11</f>
        <v>3312</v>
      </c>
      <c r="R11" s="42">
        <f t="shared" si="5"/>
        <v>7719</v>
      </c>
      <c r="S11" s="30">
        <f t="shared" si="6"/>
        <v>3448962726142716</v>
      </c>
      <c r="T11" s="30">
        <f t="shared" si="7"/>
        <v>67147947211212</v>
      </c>
      <c r="U11" s="31">
        <f t="shared" si="8"/>
        <v>51.363636110782352</v>
      </c>
    </row>
    <row r="12" spans="2:21" ht="18" customHeight="1">
      <c r="B12" s="32" t="str">
        <f>'Data Entry'!A12</f>
        <v>7. Cases Resulting in Delinquent Findings</v>
      </c>
      <c r="C12" s="33">
        <f>'Data Entry'!C12</f>
        <v>2334</v>
      </c>
      <c r="D12" s="34">
        <f>IF(((AND(C69&gt;0,C12&gt;0))),(C12/(C69)),0)</f>
        <v>61.992031872509962</v>
      </c>
      <c r="E12" s="33">
        <f>'Data Entry'!I12</f>
        <v>228</v>
      </c>
      <c r="F12" s="34">
        <f>IF(((AND($D$69&gt;0,$E$12&gt;0))),(E12/(D69)),0)</f>
        <v>52.293577981651374</v>
      </c>
      <c r="G12" s="39" t="str">
        <f t="shared" si="0"/>
        <v>*</v>
      </c>
      <c r="H12" s="40"/>
      <c r="I12" s="41"/>
      <c r="J12" s="40">
        <f>IF((ABS($U12)&gt;Defaults!D$7),1,2)</f>
        <v>1</v>
      </c>
      <c r="K12" s="39">
        <f>IF((AND(N12&gt;Defaults!B$12,(N12+O12)&gt;Defaults!B$13, P12 &gt; Defaults!B$12, (P12+Q12) &gt; Defaults!B$13)),1,20)</f>
        <v>1</v>
      </c>
      <c r="L12" s="1">
        <f t="shared" si="1"/>
        <v>100</v>
      </c>
      <c r="M12" s="1" t="b">
        <f t="shared" si="2"/>
        <v>1</v>
      </c>
      <c r="N12" s="42">
        <f t="shared" si="3"/>
        <v>228</v>
      </c>
      <c r="O12" s="42">
        <f>(D69*L69)-E12</f>
        <v>208.00000000000006</v>
      </c>
      <c r="P12" s="42">
        <f t="shared" si="4"/>
        <v>2334</v>
      </c>
      <c r="Q12" s="42">
        <f>(C69*L69)-C12</f>
        <v>1431</v>
      </c>
      <c r="R12" s="42">
        <f t="shared" si="5"/>
        <v>4201</v>
      </c>
      <c r="S12" s="30">
        <f t="shared" si="6"/>
        <v>106478183100816.16</v>
      </c>
      <c r="T12" s="30">
        <f t="shared" si="7"/>
        <v>6893020161720.001</v>
      </c>
      <c r="U12" s="31">
        <f t="shared" si="8"/>
        <v>15.447246722436233</v>
      </c>
    </row>
    <row r="13" spans="2:21" ht="18" customHeight="1">
      <c r="B13" s="32" t="str">
        <f>'Data Entry'!A13</f>
        <v>8. Cases Resulting in Probation Placement</v>
      </c>
      <c r="C13" s="33">
        <f>'Data Entry'!C13</f>
        <v>2458</v>
      </c>
      <c r="D13" s="34">
        <f>IF(((AND(C70&gt;0,C13&gt;0))),(C13/(C70)),0)</f>
        <v>105.3127677806341</v>
      </c>
      <c r="E13" s="33">
        <f>'Data Entry'!I13</f>
        <v>199</v>
      </c>
      <c r="F13" s="34">
        <f>IF(((AND($D$70&gt;0,$E$13&gt;0))),($E$13/($D$70)),0)</f>
        <v>87.280701754385973</v>
      </c>
      <c r="G13" s="39" t="str">
        <f t="shared" si="0"/>
        <v>*</v>
      </c>
      <c r="H13" s="40"/>
      <c r="I13" s="41"/>
      <c r="J13" s="40">
        <f>IF((ABS($U13)&gt;Defaults!D$7),1,2)</f>
        <v>1</v>
      </c>
      <c r="K13" s="39">
        <f>IF((AND(N13&gt;Defaults!B$12,(N13+O13)&gt;Defaults!B$13, P13 &gt; Defaults!B$12, (P13+Q13) &gt; Defaults!B$13)),1,20)</f>
        <v>1</v>
      </c>
      <c r="L13" s="1">
        <f t="shared" si="1"/>
        <v>100</v>
      </c>
      <c r="M13" s="1" t="b">
        <f t="shared" si="2"/>
        <v>1</v>
      </c>
      <c r="N13" s="42">
        <f t="shared" si="3"/>
        <v>199</v>
      </c>
      <c r="O13" s="42">
        <f>(D70*L70)-E13</f>
        <v>28.999999999999972</v>
      </c>
      <c r="P13" s="42">
        <f t="shared" si="4"/>
        <v>2458</v>
      </c>
      <c r="Q13" s="42">
        <f>(C70*L70)-C13</f>
        <v>-124</v>
      </c>
      <c r="R13" s="42">
        <f t="shared" si="5"/>
        <v>2562</v>
      </c>
      <c r="S13" s="30">
        <f t="shared" si="6"/>
        <v>23590736551367.965</v>
      </c>
      <c r="T13" s="30">
        <f t="shared" si="7"/>
        <v>-134323147080.00002</v>
      </c>
      <c r="U13" s="31">
        <f t="shared" si="8"/>
        <v>-175.62674091694578</v>
      </c>
    </row>
    <row r="14" spans="2:21" ht="30.75" customHeight="1">
      <c r="B14" s="32" t="str">
        <f>'Data Entry'!A14</f>
        <v xml:space="preserve">9. Cases Resulting in Confinement in Secure Juvenile Correctional Facilities </v>
      </c>
      <c r="C14" s="33">
        <f>'Data Entry'!C14</f>
        <v>423</v>
      </c>
      <c r="D14" s="34">
        <f>IF(((AND(C70&gt;0,C14&gt;0))), ((C14/(C70))),0)</f>
        <v>18.123393316195372</v>
      </c>
      <c r="E14" s="33">
        <f>'Data Entry'!I14</f>
        <v>32</v>
      </c>
      <c r="F14" s="34">
        <f>IF(((AND($D$70&gt;0,$E$14&gt;0))), (($E$14/($D$70))),0)</f>
        <v>14.035087719298247</v>
      </c>
      <c r="G14" s="39" t="str">
        <f t="shared" si="0"/>
        <v>*</v>
      </c>
      <c r="H14" s="40"/>
      <c r="I14" s="41"/>
      <c r="J14" s="40">
        <f>IF((ABS($U14)&gt;Defaults!D$7),1,2)</f>
        <v>2</v>
      </c>
      <c r="K14" s="39">
        <f>IF((AND(N14&gt;Defaults!B$12,(N14+O14)&gt;Defaults!B$13, P14 &gt; Defaults!B$12, (P14+Q14) &gt; Defaults!B$13)),1,20)</f>
        <v>1</v>
      </c>
      <c r="L14" s="1">
        <f t="shared" si="1"/>
        <v>101</v>
      </c>
      <c r="M14" s="1" t="b">
        <f t="shared" si="2"/>
        <v>1</v>
      </c>
      <c r="N14" s="42">
        <f t="shared" si="3"/>
        <v>32</v>
      </c>
      <c r="O14" s="42">
        <f>(D70*L70)-E14</f>
        <v>195.99999999999997</v>
      </c>
      <c r="P14" s="42">
        <f t="shared" si="4"/>
        <v>423</v>
      </c>
      <c r="Q14" s="42">
        <f>(C70*L70)-C14</f>
        <v>1911</v>
      </c>
      <c r="R14" s="42">
        <f t="shared" si="5"/>
        <v>2562</v>
      </c>
      <c r="S14" s="30">
        <f t="shared" si="6"/>
        <v>1212654899231.9983</v>
      </c>
      <c r="T14" s="30">
        <f t="shared" si="7"/>
        <v>510166140119.99988</v>
      </c>
      <c r="U14" s="31">
        <f t="shared" si="8"/>
        <v>2.3769803675068695</v>
      </c>
    </row>
    <row r="15" spans="2:21" ht="15.75" customHeight="1">
      <c r="B15" s="32" t="str">
        <f>'Data Entry'!A15</f>
        <v xml:space="preserve">10. Cases Transferred to Adult Court </v>
      </c>
      <c r="C15" s="33">
        <f>'Data Entry'!C15</f>
        <v>3</v>
      </c>
      <c r="D15" s="34">
        <f>IF(((AND(C69&gt;0,C15&gt;0))),((C15/(C69))),0)</f>
        <v>7.9681274900398405E-2</v>
      </c>
      <c r="E15" s="33">
        <f>'Data Entry'!I15</f>
        <v>2</v>
      </c>
      <c r="F15" s="34">
        <f>IF(((AND($D$69&gt;0,$E$15&gt;0))),(($E$15/($D$69))),0)</f>
        <v>0.4587155963302752</v>
      </c>
      <c r="G15" s="39" t="str">
        <f t="shared" si="0"/>
        <v>*</v>
      </c>
      <c r="H15" s="40"/>
      <c r="I15" s="41"/>
      <c r="J15" s="40">
        <f>IF((ABS($U15)&gt;Defaults!D$7),1,2)</f>
        <v>1</v>
      </c>
      <c r="K15" s="39">
        <f>IF((AND(N15&gt;Defaults!B$12,(N15+O15)&gt;Defaults!B$13, P15 &gt; Defaults!B$12, (P15+Q15) &gt; Defaults!B$13)),1,20)</f>
        <v>20</v>
      </c>
      <c r="L15" s="1">
        <f t="shared" si="1"/>
        <v>119</v>
      </c>
      <c r="M15" s="1" t="b">
        <f t="shared" si="2"/>
        <v>1</v>
      </c>
      <c r="N15" s="42">
        <f t="shared" si="3"/>
        <v>2</v>
      </c>
      <c r="O15" s="42">
        <f>(D69*L69)-E15</f>
        <v>434.00000000000006</v>
      </c>
      <c r="P15" s="42">
        <f t="shared" si="4"/>
        <v>3</v>
      </c>
      <c r="Q15" s="42">
        <f>(C69*L69)-C15</f>
        <v>3762</v>
      </c>
      <c r="R15" s="42">
        <f t="shared" si="5"/>
        <v>4201</v>
      </c>
      <c r="S15" s="30">
        <f t="shared" si="6"/>
        <v>162634506084</v>
      </c>
      <c r="T15" s="30">
        <f t="shared" si="7"/>
        <v>34439509200.000008</v>
      </c>
      <c r="U15" s="31">
        <f t="shared" si="8"/>
        <v>4.7223235714404419</v>
      </c>
    </row>
    <row r="16" spans="2:21" ht="12" customHeight="1">
      <c r="B16" s="43" t="s">
        <v>93</v>
      </c>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94</v>
      </c>
      <c r="L17" s="1" t="s">
        <v>95</v>
      </c>
      <c r="N17" s="21"/>
      <c r="O17" s="21"/>
      <c r="P17" s="21"/>
      <c r="Q17" s="21"/>
      <c r="R17" s="21"/>
      <c r="S17" s="30"/>
      <c r="T17" s="30"/>
      <c r="U17" s="31"/>
    </row>
    <row r="18" spans="2:21" ht="15" customHeight="1">
      <c r="B18" s="1" t="s">
        <v>52</v>
      </c>
    </row>
    <row r="19" spans="2:21" ht="15" customHeight="1">
      <c r="B19" s="1" t="s">
        <v>53</v>
      </c>
      <c r="D19" s="45" t="s">
        <v>54</v>
      </c>
    </row>
    <row r="20" spans="2:21" ht="15" customHeight="1">
      <c r="B20" s="1" t="s">
        <v>55</v>
      </c>
      <c r="D20" s="1" t="s">
        <v>56</v>
      </c>
    </row>
    <row r="21" spans="2:21" ht="15" customHeight="1">
      <c r="B21" s="1" t="s">
        <v>57</v>
      </c>
      <c r="D21" s="1" t="s">
        <v>58</v>
      </c>
    </row>
    <row r="22" spans="2:21" ht="15" customHeight="1">
      <c r="B22" s="1" t="s">
        <v>59</v>
      </c>
      <c r="D22" s="1" t="s">
        <v>60</v>
      </c>
    </row>
    <row r="23" spans="2:21" ht="15" customHeight="1">
      <c r="B23" s="1" t="s">
        <v>61</v>
      </c>
      <c r="D23" s="1" t="s">
        <v>62</v>
      </c>
    </row>
    <row r="24" spans="2:21" ht="26.25" customHeight="1">
      <c r="B24" s="62"/>
      <c r="C24" s="62"/>
      <c r="D24" s="62"/>
      <c r="E24" s="62"/>
      <c r="F24" s="62"/>
      <c r="G24" s="62"/>
      <c r="H24" s="62"/>
      <c r="I24" s="62"/>
      <c r="N24" s="21"/>
      <c r="O24" s="21"/>
      <c r="P24" s="21"/>
      <c r="Q24" s="21"/>
      <c r="R24" s="21"/>
      <c r="S24" s="30"/>
      <c r="T24" s="30"/>
      <c r="U24" s="31"/>
    </row>
    <row r="25" spans="2:21" ht="15" customHeight="1">
      <c r="B25" s="46" t="s">
        <v>63</v>
      </c>
      <c r="K25" s="1" t="s">
        <v>64</v>
      </c>
      <c r="L25" s="1" t="s">
        <v>65</v>
      </c>
      <c r="N25" s="21"/>
      <c r="O25" s="21" t="b">
        <f>ISBLANK(N12)</f>
        <v>0</v>
      </c>
      <c r="P25" s="21"/>
      <c r="Q25" s="21"/>
      <c r="R25" s="21"/>
    </row>
    <row r="26" spans="2:21" ht="15" customHeight="1">
      <c r="B26" s="47" t="s">
        <v>66</v>
      </c>
      <c r="F26" s="47" t="s">
        <v>67</v>
      </c>
      <c r="G26" s="47"/>
      <c r="H26" s="47"/>
      <c r="I26" s="47"/>
      <c r="J26" s="47"/>
      <c r="K26" s="48" t="s">
        <v>62</v>
      </c>
      <c r="L26" s="48" t="s">
        <v>68</v>
      </c>
      <c r="M26" s="48"/>
      <c r="R26" s="49"/>
    </row>
    <row r="27" spans="2:21" ht="15" customHeight="1">
      <c r="B27" s="50" t="s">
        <v>69</v>
      </c>
      <c r="C27" s="50"/>
      <c r="D27" s="50"/>
      <c r="E27" s="50"/>
      <c r="F27" s="50" t="str">
        <f>B66</f>
        <v>per 1000 youth</v>
      </c>
      <c r="G27" s="50"/>
      <c r="H27" s="50"/>
      <c r="I27" s="50"/>
      <c r="J27" s="50">
        <f>F66</f>
        <v>0</v>
      </c>
      <c r="K27" s="50" t="s">
        <v>60</v>
      </c>
      <c r="L27" s="51" t="s">
        <v>70</v>
      </c>
      <c r="R27" s="49"/>
    </row>
    <row r="28" spans="2:21" ht="15" customHeight="1">
      <c r="B28" s="50" t="s">
        <v>71</v>
      </c>
      <c r="C28" s="50"/>
      <c r="D28" s="50"/>
      <c r="E28" s="50"/>
      <c r="F28" s="52" t="str">
        <f>B67</f>
        <v>per 100 arrests</v>
      </c>
      <c r="G28" s="52"/>
      <c r="H28" s="52"/>
      <c r="I28" s="52"/>
      <c r="J28" s="52"/>
      <c r="K28" s="52" t="s">
        <v>58</v>
      </c>
      <c r="L28" s="53" t="s">
        <v>72</v>
      </c>
      <c r="R28" s="49"/>
    </row>
    <row r="29" spans="2:21" ht="15" customHeight="1">
      <c r="B29" s="52" t="s">
        <v>73</v>
      </c>
      <c r="C29" s="52"/>
      <c r="D29" s="52"/>
      <c r="E29" s="52"/>
      <c r="F29" s="52" t="str">
        <f>B68</f>
        <v>per 100 referrals</v>
      </c>
      <c r="G29" s="52"/>
      <c r="H29" s="52"/>
      <c r="I29" s="52"/>
      <c r="J29" s="52"/>
      <c r="K29" s="52"/>
      <c r="L29" s="53"/>
      <c r="R29" s="49"/>
    </row>
    <row r="30" spans="2:21" ht="15" customHeight="1">
      <c r="B30" s="52" t="s">
        <v>74</v>
      </c>
      <c r="C30" s="52"/>
      <c r="D30" s="52"/>
      <c r="E30" s="52"/>
      <c r="F30" s="52" t="str">
        <f>B68</f>
        <v>per 100 referrals</v>
      </c>
      <c r="G30" s="52"/>
      <c r="H30" s="52"/>
      <c r="I30" s="52"/>
      <c r="J30" s="52"/>
      <c r="K30" s="52"/>
      <c r="L30" s="53"/>
      <c r="N30" s="1" t="b">
        <f>ISNUMBER(J14)</f>
        <v>1</v>
      </c>
      <c r="R30" s="49"/>
    </row>
    <row r="31" spans="2:21" ht="15" customHeight="1">
      <c r="B31" s="52" t="s">
        <v>75</v>
      </c>
      <c r="C31" s="52"/>
      <c r="D31" s="52"/>
      <c r="E31" s="52"/>
      <c r="F31" s="52" t="str">
        <f>B68</f>
        <v>per 100 referrals</v>
      </c>
      <c r="G31" s="52"/>
      <c r="H31" s="52"/>
      <c r="I31" s="52"/>
      <c r="J31" s="52"/>
      <c r="K31" s="52"/>
      <c r="L31" s="53"/>
      <c r="R31" s="49"/>
    </row>
    <row r="32" spans="2:21" ht="15" customHeight="1">
      <c r="B32" s="52" t="s">
        <v>76</v>
      </c>
      <c r="C32" s="52"/>
      <c r="D32" s="52"/>
      <c r="E32" s="52"/>
      <c r="F32" s="52" t="str">
        <f>B69</f>
        <v>per 100 youth petitioned</v>
      </c>
      <c r="G32" s="52"/>
      <c r="H32" s="52"/>
      <c r="I32" s="52"/>
      <c r="J32" s="52"/>
      <c r="K32" s="52"/>
      <c r="L32" s="53"/>
      <c r="R32" s="49"/>
    </row>
    <row r="33" spans="2:18" ht="15" customHeight="1">
      <c r="B33" s="52" t="s">
        <v>77</v>
      </c>
      <c r="C33" s="52"/>
      <c r="D33" s="52"/>
      <c r="E33" s="52"/>
      <c r="F33" s="52" t="str">
        <f>B70</f>
        <v>per 100 youth found delinquent</v>
      </c>
      <c r="G33" s="52"/>
      <c r="H33" s="52"/>
      <c r="I33" s="52"/>
      <c r="J33" s="52"/>
      <c r="K33" s="52"/>
      <c r="L33" s="53"/>
      <c r="R33" s="49"/>
    </row>
    <row r="34" spans="2:18" ht="15" customHeight="1">
      <c r="B34" s="52" t="s">
        <v>78</v>
      </c>
      <c r="C34" s="52"/>
      <c r="D34" s="52"/>
      <c r="E34" s="52"/>
      <c r="F34" s="52" t="str">
        <f>B70</f>
        <v>per 100 youth found delinquent</v>
      </c>
      <c r="G34" s="52"/>
      <c r="H34" s="52"/>
      <c r="I34" s="52"/>
      <c r="J34" s="52"/>
      <c r="K34" s="52"/>
      <c r="L34" s="53"/>
      <c r="R34" s="49"/>
    </row>
    <row r="35" spans="2:18" ht="15" customHeight="1">
      <c r="B35" s="52" t="s">
        <v>79</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2" t="s">
        <v>80</v>
      </c>
      <c r="C40" s="212"/>
      <c r="D40" s="212"/>
      <c r="E40" s="212"/>
      <c r="F40" s="212"/>
      <c r="G40" s="212"/>
      <c r="H40" s="212"/>
      <c r="I40" s="212"/>
      <c r="J40" s="212"/>
      <c r="K40" s="8"/>
      <c r="R40" s="49"/>
    </row>
    <row r="41" spans="2:18" ht="15" hidden="1" customHeight="1">
      <c r="B41" s="54" t="s">
        <v>81</v>
      </c>
      <c r="C41" s="54" t="s">
        <v>82</v>
      </c>
      <c r="D41" s="55" t="s">
        <v>83</v>
      </c>
      <c r="E41" s="54" t="s">
        <v>84</v>
      </c>
      <c r="G41" s="54" t="s">
        <v>85</v>
      </c>
      <c r="H41" s="54"/>
      <c r="I41" s="54"/>
      <c r="L41" s="1" t="s">
        <v>86</v>
      </c>
      <c r="R41" s="49"/>
    </row>
    <row r="42" spans="2:18" ht="15" hidden="1" customHeight="1">
      <c r="B42" s="49" t="s">
        <v>87</v>
      </c>
      <c r="C42" s="56">
        <f>C6/1000</f>
        <v>679.73699999999997</v>
      </c>
      <c r="D42" s="56">
        <f>E6/1000</f>
        <v>0</v>
      </c>
      <c r="E42" s="56">
        <f>MAX(C42:D42)</f>
        <v>679.73699999999997</v>
      </c>
      <c r="G42" s="1" t="str">
        <f>B42</f>
        <v>per 1000 youth</v>
      </c>
      <c r="L42" s="57">
        <v>1000</v>
      </c>
      <c r="M42" s="57"/>
      <c r="R42" s="49"/>
    </row>
    <row r="43" spans="2:18" ht="15" hidden="1" customHeight="1">
      <c r="B43" s="49" t="s">
        <v>88</v>
      </c>
      <c r="C43" s="56">
        <f>C7/100</f>
        <v>42.7</v>
      </c>
      <c r="D43" s="56">
        <f>E7/100</f>
        <v>0</v>
      </c>
      <c r="E43" s="56">
        <f>MAX(C43:D43,0)</f>
        <v>42.7</v>
      </c>
      <c r="G43" s="1" t="str">
        <f>B43</f>
        <v>per 100 arrests</v>
      </c>
      <c r="L43" s="57">
        <v>100</v>
      </c>
      <c r="M43" s="57"/>
      <c r="R43" s="49"/>
    </row>
    <row r="44" spans="2:18" ht="15" hidden="1" customHeight="1">
      <c r="B44" s="49" t="s">
        <v>89</v>
      </c>
      <c r="C44" s="56">
        <f>C8/100</f>
        <v>70.77</v>
      </c>
      <c r="D44" s="56">
        <f>E8/100</f>
        <v>6.42</v>
      </c>
      <c r="E44" s="56">
        <f>MAX(C44:D44,0)</f>
        <v>70.77</v>
      </c>
      <c r="G44" s="1" t="str">
        <f>B44</f>
        <v>per 100 referrals</v>
      </c>
      <c r="L44" s="57">
        <v>100</v>
      </c>
      <c r="M44" s="57"/>
      <c r="R44" s="49"/>
    </row>
    <row r="45" spans="2:18" ht="15" hidden="1" customHeight="1">
      <c r="B45" s="49" t="s">
        <v>90</v>
      </c>
      <c r="C45" s="49">
        <f>C11/100</f>
        <v>37.65</v>
      </c>
      <c r="D45" s="49">
        <f>E11/100</f>
        <v>4.3600000000000003</v>
      </c>
      <c r="E45" s="56">
        <f>MAX(C45:D45,0)</f>
        <v>37.65</v>
      </c>
      <c r="G45" s="1" t="str">
        <f>B45</f>
        <v>per 100 youth petitioned</v>
      </c>
      <c r="L45" s="57">
        <v>100</v>
      </c>
      <c r="M45" s="57"/>
      <c r="R45" s="49"/>
    </row>
    <row r="46" spans="2:18" ht="15" hidden="1" customHeight="1">
      <c r="B46" s="49" t="s">
        <v>91</v>
      </c>
      <c r="C46" s="49">
        <f>C12/100</f>
        <v>23.34</v>
      </c>
      <c r="D46" s="49">
        <f>E12/100</f>
        <v>2.2799999999999998</v>
      </c>
      <c r="E46" s="56">
        <f>MAX(C46:D46)</f>
        <v>23.34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679.73699999999997</v>
      </c>
      <c r="D48" s="56">
        <f>D42</f>
        <v>0</v>
      </c>
      <c r="E48" s="56">
        <f>MAX(C48:D48)</f>
        <v>679.73699999999997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42.7</v>
      </c>
      <c r="D49" s="49">
        <f t="shared" si="9"/>
        <v>0</v>
      </c>
      <c r="E49" s="49">
        <f>MAX(C49:D49)</f>
        <v>42.7</v>
      </c>
      <c r="G49" s="1" t="str">
        <f>G43</f>
        <v>per 100 arrests</v>
      </c>
      <c r="L49" s="58">
        <f>IF(($E43&gt;0),L43,L42)</f>
        <v>100</v>
      </c>
      <c r="M49" s="58"/>
      <c r="N49" s="21"/>
      <c r="O49" s="21"/>
      <c r="P49" s="21"/>
      <c r="Q49" s="21"/>
      <c r="R49" s="21"/>
    </row>
    <row r="50" spans="2:18" ht="15" hidden="1" customHeight="1">
      <c r="B50" s="49" t="str">
        <f t="shared" si="9"/>
        <v>per 100 referrals</v>
      </c>
      <c r="C50" s="49">
        <f t="shared" si="9"/>
        <v>70.77</v>
      </c>
      <c r="D50" s="49">
        <f t="shared" si="9"/>
        <v>6.42</v>
      </c>
      <c r="E50" s="49">
        <f>MAX(C50:D50)</f>
        <v>70.77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37.65</v>
      </c>
      <c r="D51" s="49">
        <f>IF(($E45&gt;0),D45,D44)</f>
        <v>4.3600000000000003</v>
      </c>
      <c r="E51" s="49">
        <f>MAX(C51:D51)</f>
        <v>37.65</v>
      </c>
      <c r="G51" s="1" t="str">
        <f>G45</f>
        <v>per 100 youth petitioned</v>
      </c>
      <c r="L51" s="58">
        <f>IF(($E45&gt;0),L45,L44)</f>
        <v>100</v>
      </c>
      <c r="M51" s="58"/>
    </row>
    <row r="52" spans="2:18" ht="15" hidden="1" customHeight="1">
      <c r="B52" s="49" t="str">
        <f>IF(($E46&gt;0),B46,B45)</f>
        <v>per 100 youth found delinquent</v>
      </c>
      <c r="C52" s="49">
        <f>IF(($E46&gt;0),C46,C45)</f>
        <v>23.34</v>
      </c>
      <c r="D52" s="49">
        <f>IF(($E46&gt;0),D46,D45)</f>
        <v>2.2799999999999998</v>
      </c>
      <c r="E52" s="56">
        <f>MAX(C52:D52)</f>
        <v>23.34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679.73699999999997</v>
      </c>
      <c r="D54" s="56">
        <f>D48</f>
        <v>0</v>
      </c>
      <c r="E54" s="56">
        <f>MAX(C54:D54)</f>
        <v>679.73699999999997</v>
      </c>
      <c r="G54" s="1" t="str">
        <f>G48</f>
        <v>per 1000 youth</v>
      </c>
      <c r="L54" s="58">
        <f>L48</f>
        <v>1000</v>
      </c>
      <c r="M54" s="58"/>
    </row>
    <row r="55" spans="2:18" ht="15" hidden="1" customHeight="1">
      <c r="B55" s="49" t="str">
        <f t="shared" ref="B55:D56" si="10">IF(($E49&gt;0),B49,B48)</f>
        <v>per 100 arrests</v>
      </c>
      <c r="C55" s="49">
        <f t="shared" si="10"/>
        <v>42.7</v>
      </c>
      <c r="D55" s="49">
        <f t="shared" si="10"/>
        <v>0</v>
      </c>
      <c r="E55" s="49">
        <f>MAX(C55:D55)</f>
        <v>42.7</v>
      </c>
      <c r="G55" s="1" t="str">
        <f>G49</f>
        <v>per 100 arrests</v>
      </c>
      <c r="L55" s="58">
        <f>IF(($E49&gt;0),L49,L48)</f>
        <v>100</v>
      </c>
      <c r="M55" s="58"/>
    </row>
    <row r="56" spans="2:18" ht="15" hidden="1" customHeight="1">
      <c r="B56" s="49" t="str">
        <f t="shared" si="10"/>
        <v>per 100 referrals</v>
      </c>
      <c r="C56" s="49">
        <f t="shared" si="10"/>
        <v>70.77</v>
      </c>
      <c r="D56" s="49">
        <f t="shared" si="10"/>
        <v>6.42</v>
      </c>
      <c r="E56" s="49">
        <f>MAX(C56:D56)</f>
        <v>70.77</v>
      </c>
      <c r="G56" s="1" t="str">
        <f>G50</f>
        <v>per 100 referrals</v>
      </c>
      <c r="L56" s="58">
        <f>IF(($E50&gt;0),L50,L49)</f>
        <v>100</v>
      </c>
      <c r="M56" s="58"/>
    </row>
    <row r="57" spans="2:18" ht="15" hidden="1" customHeight="1">
      <c r="B57" s="49" t="str">
        <f>IF(($E51&gt;0),B51,B49)</f>
        <v>per 100 youth petitioned</v>
      </c>
      <c r="C57" s="49">
        <f>IF(($E51&gt;0),C51,C50)</f>
        <v>37.65</v>
      </c>
      <c r="D57" s="49">
        <f>IF(($E51&gt;0),D51,D50)</f>
        <v>4.3600000000000003</v>
      </c>
      <c r="E57" s="49">
        <f>MAX(C57:D57)</f>
        <v>37.65</v>
      </c>
      <c r="G57" s="1" t="str">
        <f>G51</f>
        <v>per 100 youth petitioned</v>
      </c>
      <c r="L57" s="58">
        <f>IF(($E51&gt;0),L51,L50)</f>
        <v>100</v>
      </c>
      <c r="M57" s="58"/>
    </row>
    <row r="58" spans="2:18" ht="15" hidden="1" customHeight="1">
      <c r="B58" s="49" t="str">
        <f>IF(($E52&gt;0),B52,B51)</f>
        <v>per 100 youth found delinquent</v>
      </c>
      <c r="C58" s="49">
        <f>IF(($E52&gt;0),C52,C51)</f>
        <v>23.34</v>
      </c>
      <c r="D58" s="49">
        <f>IF(($E52&gt;0),D52,D51)</f>
        <v>2.2799999999999998</v>
      </c>
      <c r="E58" s="56">
        <f>MAX(C58:D58)</f>
        <v>23.34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679.73699999999997</v>
      </c>
      <c r="D60" s="56">
        <f>D54</f>
        <v>0</v>
      </c>
      <c r="E60" s="56">
        <f>MAX(C60:D60)</f>
        <v>679.73699999999997</v>
      </c>
      <c r="G60" s="1" t="str">
        <f>G54</f>
        <v>per 1000 youth</v>
      </c>
      <c r="L60" s="58">
        <f>L54</f>
        <v>1000</v>
      </c>
      <c r="M60" s="58"/>
    </row>
    <row r="61" spans="2:18" ht="15" hidden="1" customHeight="1">
      <c r="B61" s="49" t="str">
        <f t="shared" ref="B61:D62" si="11">IF(($E55&gt;0),B55,B54)</f>
        <v>per 100 arrests</v>
      </c>
      <c r="C61" s="49">
        <f t="shared" si="11"/>
        <v>42.7</v>
      </c>
      <c r="D61" s="49">
        <f t="shared" si="11"/>
        <v>0</v>
      </c>
      <c r="E61" s="49">
        <f>MAX(C61:D61)</f>
        <v>42.7</v>
      </c>
      <c r="G61" s="1" t="str">
        <f>G55</f>
        <v>per 100 arrests</v>
      </c>
      <c r="L61" s="58">
        <f>IF(($E55&gt;0),L55,L54)</f>
        <v>100</v>
      </c>
      <c r="M61" s="58"/>
    </row>
    <row r="62" spans="2:18" ht="15" hidden="1" customHeight="1">
      <c r="B62" s="49" t="str">
        <f t="shared" si="11"/>
        <v>per 100 referrals</v>
      </c>
      <c r="C62" s="49">
        <f t="shared" si="11"/>
        <v>70.77</v>
      </c>
      <c r="D62" s="49">
        <f t="shared" si="11"/>
        <v>6.42</v>
      </c>
      <c r="E62" s="49">
        <f>MAX(C62:D62)</f>
        <v>70.77</v>
      </c>
      <c r="G62" s="1" t="str">
        <f>G56</f>
        <v>per 100 referrals</v>
      </c>
      <c r="L62" s="58">
        <f>IF(($E56&gt;0),L56,L55)</f>
        <v>100</v>
      </c>
      <c r="M62" s="58"/>
    </row>
    <row r="63" spans="2:18" ht="15" hidden="1" customHeight="1">
      <c r="B63" s="49" t="str">
        <f>IF(($E57&gt;0),B57,B55)</f>
        <v>per 100 youth petitioned</v>
      </c>
      <c r="C63" s="49">
        <f>IF(($E57&gt;0),C57,C56)</f>
        <v>37.65</v>
      </c>
      <c r="D63" s="49">
        <f>IF(($E57&gt;0),D57,D56)</f>
        <v>4.3600000000000003</v>
      </c>
      <c r="E63" s="49">
        <f>MAX(C63:D63)</f>
        <v>37.65</v>
      </c>
      <c r="G63" s="1" t="str">
        <f>G57</f>
        <v>per 100 youth petitioned</v>
      </c>
      <c r="L63" s="58">
        <f>IF(($E57&gt;0),L57,L56)</f>
        <v>100</v>
      </c>
      <c r="M63" s="58"/>
    </row>
    <row r="64" spans="2:18" ht="15" hidden="1" customHeight="1">
      <c r="B64" s="49" t="str">
        <f>IF(($E58&gt;0),B58,B57)</f>
        <v>per 100 youth found delinquent</v>
      </c>
      <c r="C64" s="49">
        <f>IF(($E58&gt;0),C58,C57)</f>
        <v>23.34</v>
      </c>
      <c r="D64" s="49">
        <f>IF(($E58&gt;0),D58,D57)</f>
        <v>2.2799999999999998</v>
      </c>
      <c r="E64" s="56">
        <f>MAX(C64:D64)</f>
        <v>23.34</v>
      </c>
      <c r="G64" s="1" t="str">
        <f>G58</f>
        <v>per 100 youth found delinquent</v>
      </c>
      <c r="L64" s="58">
        <f>IF(($E58&gt;0),L58,L57)</f>
        <v>100</v>
      </c>
      <c r="M64" s="58"/>
    </row>
    <row r="65" spans="2:13" ht="15" hidden="1" customHeight="1">
      <c r="B65" s="59" t="s">
        <v>92</v>
      </c>
      <c r="L65" s="57"/>
      <c r="M65" s="57"/>
    </row>
    <row r="66" spans="2:13" ht="15" hidden="1" customHeight="1">
      <c r="B66" s="49" t="str">
        <f>B60</f>
        <v>per 1000 youth</v>
      </c>
      <c r="C66" s="56">
        <f>C60</f>
        <v>679.73699999999997</v>
      </c>
      <c r="D66" s="56">
        <f>D60</f>
        <v>0</v>
      </c>
      <c r="E66" s="56">
        <f>MAX(C66:D66)</f>
        <v>679.73699999999997</v>
      </c>
      <c r="G66" s="1" t="str">
        <f>G60</f>
        <v>per 1000 youth</v>
      </c>
      <c r="L66" s="58">
        <f>L60</f>
        <v>1000</v>
      </c>
      <c r="M66" s="58">
        <f>IF((B66=G66),1,2)</f>
        <v>1</v>
      </c>
    </row>
    <row r="67" spans="2:13" ht="15" hidden="1" customHeight="1">
      <c r="B67" s="49" t="str">
        <f t="shared" ref="B67:D68" si="12">IF(($E61&gt;0),B61,B60)</f>
        <v>per 100 arrests</v>
      </c>
      <c r="C67" s="49">
        <f t="shared" si="12"/>
        <v>42.7</v>
      </c>
      <c r="D67" s="49">
        <f t="shared" si="12"/>
        <v>0</v>
      </c>
      <c r="E67" s="49">
        <f>MAX(C67:D67)</f>
        <v>42.7</v>
      </c>
      <c r="G67" s="1" t="str">
        <f>G61</f>
        <v>per 100 arrests</v>
      </c>
      <c r="L67" s="58">
        <f>IF(($E61&gt;0),L61,L60)</f>
        <v>100</v>
      </c>
      <c r="M67" s="58">
        <f>IF((B67=G67),1,2)</f>
        <v>1</v>
      </c>
    </row>
    <row r="68" spans="2:13" ht="15" hidden="1" customHeight="1">
      <c r="B68" s="49" t="str">
        <f t="shared" si="12"/>
        <v>per 100 referrals</v>
      </c>
      <c r="C68" s="49">
        <f t="shared" si="12"/>
        <v>70.77</v>
      </c>
      <c r="D68" s="49">
        <f t="shared" si="12"/>
        <v>6.42</v>
      </c>
      <c r="E68" s="49">
        <f>MAX(C68:D68)</f>
        <v>70.77</v>
      </c>
      <c r="G68" s="1" t="str">
        <f>G62</f>
        <v>per 100 referrals</v>
      </c>
      <c r="L68" s="58">
        <f>IF(($E62&gt;0),L62,L61)</f>
        <v>100</v>
      </c>
      <c r="M68" s="58">
        <f>IF((B68=G68),1,2)</f>
        <v>1</v>
      </c>
    </row>
    <row r="69" spans="2:13" ht="15" hidden="1" customHeight="1">
      <c r="B69" s="49" t="str">
        <f>IF(($E63&gt;0),B63,B61)</f>
        <v>per 100 youth petitioned</v>
      </c>
      <c r="C69" s="49">
        <f>IF(($E63&gt;0),C63,C62)</f>
        <v>37.65</v>
      </c>
      <c r="D69" s="49">
        <f>IF(($E63&gt;0),D63,D62)</f>
        <v>4.3600000000000003</v>
      </c>
      <c r="E69" s="49">
        <f>MAX(C69:D69)</f>
        <v>37.65</v>
      </c>
      <c r="G69" s="1" t="str">
        <f>G63</f>
        <v>per 100 youth petitioned</v>
      </c>
      <c r="L69" s="58">
        <f>IF(($E63&gt;0),L63,L62)</f>
        <v>100</v>
      </c>
      <c r="M69" s="58">
        <f>IF((B69=G69),1,2)</f>
        <v>1</v>
      </c>
    </row>
    <row r="70" spans="2:13" ht="15" hidden="1" customHeight="1">
      <c r="B70" s="49" t="str">
        <f>IF(($E64&gt;0),B64,B63)</f>
        <v>per 100 youth found delinquent</v>
      </c>
      <c r="C70" s="49">
        <f>IF(($E64&gt;0),C64,C63)</f>
        <v>23.34</v>
      </c>
      <c r="D70" s="49">
        <f>IF(($E64&gt;0),D64,D63)</f>
        <v>2.2799999999999998</v>
      </c>
      <c r="E70" s="56">
        <f>MAX(C70:D70)</f>
        <v>23.34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I5" sqref="I5"/>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4" t="str">
        <f>'Data Entry'!J5</f>
        <v>All Minorities</v>
      </c>
      <c r="G1" s="214"/>
      <c r="H1" s="214"/>
      <c r="I1" s="214"/>
      <c r="J1" s="214"/>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All Reporting Counties</v>
      </c>
      <c r="C3" s="22"/>
      <c r="D3" s="22"/>
      <c r="E3" s="22"/>
      <c r="F3" s="22"/>
      <c r="G3" s="7"/>
      <c r="H3" s="7"/>
      <c r="I3" s="7"/>
      <c r="J3" s="7"/>
      <c r="K3" s="7"/>
      <c r="N3" s="213" t="s">
        <v>31</v>
      </c>
      <c r="O3" s="213"/>
      <c r="P3" s="213"/>
      <c r="Q3" s="213"/>
      <c r="R3" s="213"/>
      <c r="S3" s="213"/>
      <c r="T3" s="213"/>
      <c r="U3" s="213"/>
    </row>
    <row r="4" spans="2:21" ht="8.25" customHeight="1">
      <c r="B4" s="4"/>
      <c r="C4" s="23"/>
      <c r="D4" s="23"/>
      <c r="E4" s="23"/>
      <c r="F4" s="23"/>
      <c r="G4" s="8"/>
      <c r="H4" s="8"/>
      <c r="I4" s="8"/>
      <c r="N4" s="213"/>
      <c r="O4" s="213"/>
      <c r="P4" s="213"/>
      <c r="Q4" s="213"/>
      <c r="R4" s="213"/>
      <c r="S4" s="213"/>
      <c r="T4" s="213"/>
      <c r="U4" s="213"/>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10-17) </v>
      </c>
      <c r="C6" s="33">
        <f>'Data Entry'!C6</f>
        <v>679737</v>
      </c>
      <c r="D6" s="34"/>
      <c r="E6" s="33">
        <f>'Data Entry'!J6</f>
        <v>311795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2. Juvenile Arrests</v>
      </c>
      <c r="C7" s="33">
        <f>'Data Entry'!C7</f>
        <v>4270</v>
      </c>
      <c r="D7" s="34">
        <f>IF((AND(C66&gt;0,C7&gt;0)),(C7/C66),0)</f>
        <v>6.2818413592315858</v>
      </c>
      <c r="E7" s="33">
        <f>'Data Entry'!J7</f>
        <v>4546</v>
      </c>
      <c r="F7" s="34">
        <f>IF((AND($E$7&gt;0,$D$66&gt;0)),($E$7/$D$66),0)</f>
        <v>14.580092689106623</v>
      </c>
      <c r="G7" s="39">
        <f t="shared" ref="G7:G15" si="0">IF(L$6=100,"*",IF(M7=FALSE,"--",IF(K7=20,"**",($F7/$D7))))</f>
        <v>2.3209902726499454</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4546</v>
      </c>
      <c r="O7" s="42">
        <f>E6-E7</f>
        <v>307249</v>
      </c>
      <c r="P7" s="42">
        <f t="shared" ref="P7:P15" si="4">C7</f>
        <v>4270</v>
      </c>
      <c r="Q7" s="42">
        <f>C6-C7</f>
        <v>675467</v>
      </c>
      <c r="R7" s="42">
        <f t="shared" ref="R7:R15" si="5">SUM(N7:Q7)</f>
        <v>991532</v>
      </c>
      <c r="S7" s="30">
        <f t="shared" ref="S7:S15" si="6">R7*((((N7*Q7)-(O7*P7))^2))</f>
        <v>3.0669028362086187E+24</v>
      </c>
      <c r="T7" s="30">
        <f t="shared" ref="T7:T15" si="7">(N7+O7)*(P7+Q7)*(N7+P7)*(O7+Q7)</f>
        <v>1.8361563776790251E+21</v>
      </c>
      <c r="U7" s="31">
        <f t="shared" ref="U7:U15" si="8">IF((S7&gt;0),S7/T7,"- -")</f>
        <v>1670.2841182216223</v>
      </c>
    </row>
    <row r="8" spans="2:21" ht="18" customHeight="1">
      <c r="B8" s="32" t="str">
        <f>'Data Entry'!A8</f>
        <v>3. Refer to Juvenile Court</v>
      </c>
      <c r="C8" s="33">
        <f>'Data Entry'!C8</f>
        <v>7077</v>
      </c>
      <c r="D8" s="34">
        <f>IF((AND(C67&gt;0,C8&gt;0)),(C8/C67),0)</f>
        <v>165.73770491803276</v>
      </c>
      <c r="E8" s="33">
        <f>'Data Entry'!J8</f>
        <v>6066</v>
      </c>
      <c r="F8" s="34">
        <f>IF((AND($E$8&gt;0,$D$67&gt;0)),($E8/$D67),0)</f>
        <v>133.43598768147822</v>
      </c>
      <c r="G8" s="39">
        <f t="shared" si="0"/>
        <v>0.80510338759348887</v>
      </c>
      <c r="H8" s="40"/>
      <c r="I8" s="41"/>
      <c r="J8" s="40">
        <f>IF((ABS($U8)&gt;Defaults!D$7),1,2)</f>
        <v>1</v>
      </c>
      <c r="K8" s="39">
        <f>IF((AND(N8&gt;Defaults!B$12,(N8+O8)&gt;Defaults!B$13, P8 &gt; Defaults!B$12, (P8+Q8) &gt; Defaults!B$13)),1,20)</f>
        <v>1</v>
      </c>
      <c r="L8" s="1">
        <f t="shared" si="1"/>
        <v>1</v>
      </c>
      <c r="M8" s="1" t="b">
        <f t="shared" si="2"/>
        <v>1</v>
      </c>
      <c r="N8" s="42">
        <f t="shared" si="3"/>
        <v>6066</v>
      </c>
      <c r="O8" s="42">
        <f>((D67*L67)-E8)+0.05</f>
        <v>-1519.95</v>
      </c>
      <c r="P8" s="42">
        <f t="shared" si="4"/>
        <v>7077</v>
      </c>
      <c r="Q8" s="42">
        <f>(C$67*L67)-C8</f>
        <v>-2807</v>
      </c>
      <c r="R8" s="42">
        <f t="shared" si="5"/>
        <v>8816.0499999999993</v>
      </c>
      <c r="S8" s="30">
        <f t="shared" si="6"/>
        <v>3.4664815706723245E+17</v>
      </c>
      <c r="T8" s="30">
        <f t="shared" si="7"/>
        <v>-1103922201409638.9</v>
      </c>
      <c r="U8" s="31">
        <f t="shared" si="8"/>
        <v>-314.01502445062221</v>
      </c>
    </row>
    <row r="9" spans="2:21" ht="18" customHeight="1">
      <c r="B9" s="32" t="str">
        <f>'Data Entry'!A9</f>
        <v xml:space="preserve">4. Cases Diverted </v>
      </c>
      <c r="C9" s="33">
        <f>'Data Entry'!C9</f>
        <v>1540</v>
      </c>
      <c r="D9" s="34">
        <f>IF((AND(C68&gt;0,C9&gt;0)),((C9/C68)),0)</f>
        <v>21.760633036597429</v>
      </c>
      <c r="E9" s="33">
        <f>'Data Entry'!J9</f>
        <v>1721</v>
      </c>
      <c r="F9" s="34">
        <f>IF((AND($E$9&gt;0,$D$68&gt;0)),(($E$9/$D$68)),0)</f>
        <v>28.371249587866799</v>
      </c>
      <c r="G9" s="39">
        <f t="shared" si="0"/>
        <v>1.3037878787878787</v>
      </c>
      <c r="H9" s="40"/>
      <c r="I9" s="41"/>
      <c r="J9" s="40">
        <f>IF((ABS($U9)&gt;Defaults!D$7),1,2)</f>
        <v>1</v>
      </c>
      <c r="K9" s="39">
        <f>IF((AND(N9&gt;Defaults!B$12,(N9+O9)&gt;Defaults!B$13, P9 &gt; Defaults!B$12, (P9+Q9) &gt; Defaults!B$13)),1,20)</f>
        <v>1</v>
      </c>
      <c r="L9" s="1">
        <f t="shared" si="1"/>
        <v>1</v>
      </c>
      <c r="M9" s="1" t="b">
        <f t="shared" si="2"/>
        <v>1</v>
      </c>
      <c r="N9" s="42">
        <f t="shared" si="3"/>
        <v>1721</v>
      </c>
      <c r="O9" s="42">
        <f>(D$68*L68)-E9</f>
        <v>4345</v>
      </c>
      <c r="P9" s="42">
        <f t="shared" si="4"/>
        <v>1540</v>
      </c>
      <c r="Q9" s="42">
        <f>(C$68*L68)-C9</f>
        <v>5537</v>
      </c>
      <c r="R9" s="42">
        <f t="shared" si="5"/>
        <v>13143</v>
      </c>
      <c r="S9" s="30">
        <f t="shared" si="6"/>
        <v>1.0584775333167645E+17</v>
      </c>
      <c r="T9" s="30">
        <f t="shared" si="7"/>
        <v>1383398339124564</v>
      </c>
      <c r="U9" s="31">
        <f t="shared" si="8"/>
        <v>76.512852689022708</v>
      </c>
    </row>
    <row r="10" spans="2:21" ht="18" customHeight="1">
      <c r="B10" s="32" t="str">
        <f>'Data Entry'!A10</f>
        <v>5. Cases Involving Secure Detention</v>
      </c>
      <c r="C10" s="33">
        <f>'Data Entry'!C10</f>
        <v>880</v>
      </c>
      <c r="D10" s="34">
        <f>IF(((AND(C68&gt;0,C10&gt;0))),(C10/(C68)),0)</f>
        <v>12.434647449484245</v>
      </c>
      <c r="E10" s="33">
        <f>'Data Entry'!J10</f>
        <v>1844</v>
      </c>
      <c r="F10" s="34">
        <f>IF(((AND($E$10&gt;0,$D$68&gt;0))),($E$10/($D$68)),0)</f>
        <v>30.398944939004288</v>
      </c>
      <c r="G10" s="39">
        <f t="shared" si="0"/>
        <v>2.4446969696969698</v>
      </c>
      <c r="H10" s="40"/>
      <c r="I10" s="41"/>
      <c r="J10" s="40">
        <f>IF((ABS($U10)&gt;Defaults!D$7),1,2)</f>
        <v>1</v>
      </c>
      <c r="K10" s="39">
        <f>IF((AND(N10&gt;Defaults!B$12,(N10+O10)&gt;Defaults!B$13, P10 &gt; Defaults!B$12, (P10+Q10) &gt; Defaults!B$13)),1,20)</f>
        <v>1</v>
      </c>
      <c r="L10" s="1">
        <f t="shared" si="1"/>
        <v>1</v>
      </c>
      <c r="M10" s="1" t="b">
        <f t="shared" si="2"/>
        <v>1</v>
      </c>
      <c r="N10" s="42">
        <f t="shared" si="3"/>
        <v>1844</v>
      </c>
      <c r="O10" s="42">
        <f>(D$68*L68)-E10</f>
        <v>4222</v>
      </c>
      <c r="P10" s="42">
        <f t="shared" si="4"/>
        <v>880</v>
      </c>
      <c r="Q10" s="42">
        <f>(C$68*L68)-C10</f>
        <v>6197</v>
      </c>
      <c r="R10" s="42">
        <f t="shared" si="5"/>
        <v>13143</v>
      </c>
      <c r="S10" s="30">
        <f t="shared" si="6"/>
        <v>7.8166053908109837E+17</v>
      </c>
      <c r="T10" s="30">
        <f t="shared" si="7"/>
        <v>1218385558995192</v>
      </c>
      <c r="U10" s="31">
        <f t="shared" si="8"/>
        <v>641.5543366467158</v>
      </c>
    </row>
    <row r="11" spans="2:21" ht="18" customHeight="1">
      <c r="B11" s="32" t="str">
        <f>'Data Entry'!A11</f>
        <v>6. Cases Petitioned (Charge Filed)</v>
      </c>
      <c r="C11" s="33">
        <f>'Data Entry'!C11</f>
        <v>3765</v>
      </c>
      <c r="D11" s="34">
        <f>IF(((AND(C68&gt;0,C11&gt;0))),(C11/(C68)),0)</f>
        <v>53.200508690122938</v>
      </c>
      <c r="E11" s="33">
        <f>'Data Entry'!J11</f>
        <v>3674</v>
      </c>
      <c r="F11" s="34">
        <f>IF(((AND($E$11&gt;0,$D$68&gt;0))),($E$11/($D$68)),0)</f>
        <v>60.567095285196181</v>
      </c>
      <c r="G11" s="39">
        <f t="shared" si="0"/>
        <v>1.1384683488269145</v>
      </c>
      <c r="H11" s="40"/>
      <c r="I11" s="41"/>
      <c r="J11" s="40">
        <f>IF((ABS($U11)&gt;Defaults!D$7),1,2)</f>
        <v>1</v>
      </c>
      <c r="K11" s="39">
        <f>IF((AND(N11&gt;Defaults!B$12,(N11+O11)&gt;Defaults!B$13, P11 &gt; Defaults!B$12, (P11+Q11) &gt; Defaults!B$13)),1,20)</f>
        <v>1</v>
      </c>
      <c r="L11" s="1">
        <f t="shared" si="1"/>
        <v>1</v>
      </c>
      <c r="M11" s="1" t="b">
        <f t="shared" si="2"/>
        <v>1</v>
      </c>
      <c r="N11" s="42">
        <f t="shared" si="3"/>
        <v>3674</v>
      </c>
      <c r="O11" s="42">
        <f>(D$68*L68)-E11</f>
        <v>2392</v>
      </c>
      <c r="P11" s="42">
        <f t="shared" si="4"/>
        <v>3765</v>
      </c>
      <c r="Q11" s="42">
        <f>(C$68*L68)-C11</f>
        <v>3312</v>
      </c>
      <c r="R11" s="42">
        <f t="shared" si="5"/>
        <v>13143</v>
      </c>
      <c r="S11" s="30">
        <f t="shared" si="6"/>
        <v>1.3144083454329235E+17</v>
      </c>
      <c r="T11" s="30">
        <f t="shared" si="7"/>
        <v>1821569211452592</v>
      </c>
      <c r="U11" s="31">
        <f t="shared" si="8"/>
        <v>72.158023816441315</v>
      </c>
    </row>
    <row r="12" spans="2:21" ht="18" customHeight="1">
      <c r="B12" s="32" t="str">
        <f>'Data Entry'!A12</f>
        <v>7. Cases Resulting in Delinquent Findings</v>
      </c>
      <c r="C12" s="33">
        <f>'Data Entry'!C12</f>
        <v>2334</v>
      </c>
      <c r="D12" s="34">
        <f>IF(((AND(C69&gt;0,C12&gt;0))),(C12/(C69)),0)</f>
        <v>61.992031872509962</v>
      </c>
      <c r="E12" s="33">
        <f>'Data Entry'!J12</f>
        <v>2149</v>
      </c>
      <c r="F12" s="34">
        <f>IF(((AND($D$69&gt;0,$E$12&gt;0))),(E12/(D69)),0)</f>
        <v>58.492106695699505</v>
      </c>
      <c r="G12" s="39">
        <f t="shared" si="0"/>
        <v>0.94354233808615517</v>
      </c>
      <c r="H12" s="40"/>
      <c r="I12" s="41"/>
      <c r="J12" s="40">
        <f>IF((ABS($U12)&gt;Defaults!D$7),1,2)</f>
        <v>1</v>
      </c>
      <c r="K12" s="39">
        <f>IF((AND(N12&gt;Defaults!B$12,(N12+O12)&gt;Defaults!B$13, P12 &gt; Defaults!B$12, (P12+Q12) &gt; Defaults!B$13)),1,20)</f>
        <v>1</v>
      </c>
      <c r="L12" s="1">
        <f t="shared" si="1"/>
        <v>1</v>
      </c>
      <c r="M12" s="1" t="b">
        <f t="shared" si="2"/>
        <v>1</v>
      </c>
      <c r="N12" s="42">
        <f t="shared" si="3"/>
        <v>2149</v>
      </c>
      <c r="O12" s="42">
        <f>(D69*L69)-E12</f>
        <v>1525</v>
      </c>
      <c r="P12" s="42">
        <f t="shared" si="4"/>
        <v>2334</v>
      </c>
      <c r="Q12" s="42">
        <f>(C69*L69)-C12</f>
        <v>1431</v>
      </c>
      <c r="R12" s="42">
        <f t="shared" si="5"/>
        <v>7439</v>
      </c>
      <c r="S12" s="30">
        <f t="shared" si="6"/>
        <v>1743573836372679</v>
      </c>
      <c r="T12" s="30">
        <f t="shared" si="7"/>
        <v>183306261902280</v>
      </c>
      <c r="U12" s="31">
        <f t="shared" si="8"/>
        <v>9.5118072796780542</v>
      </c>
    </row>
    <row r="13" spans="2:21" ht="18" customHeight="1">
      <c r="B13" s="32" t="str">
        <f>'Data Entry'!A13</f>
        <v>8. Cases Resulting in Probation Placement</v>
      </c>
      <c r="C13" s="33">
        <f>'Data Entry'!C13</f>
        <v>2458</v>
      </c>
      <c r="D13" s="34">
        <f>IF(((AND(C70&gt;0,C13&gt;0))),(C13/(C70)),0)</f>
        <v>105.3127677806341</v>
      </c>
      <c r="E13" s="33">
        <f>'Data Entry'!J13</f>
        <v>2127</v>
      </c>
      <c r="F13" s="34">
        <f>IF(((AND($D$70&gt;0,$E$13&gt;0))),($E$13/($D$70)),0)</f>
        <v>98.976268031642633</v>
      </c>
      <c r="G13" s="39">
        <f t="shared" si="0"/>
        <v>0.93983160938101673</v>
      </c>
      <c r="H13" s="40"/>
      <c r="I13" s="41"/>
      <c r="J13" s="40">
        <f>IF((ABS($U13)&gt;Defaults!D$7),1,2)</f>
        <v>1</v>
      </c>
      <c r="K13" s="39">
        <f>IF((AND(N13&gt;Defaults!B$12,(N13+O13)&gt;Defaults!B$13, P13 &gt; Defaults!B$12, (P13+Q13) &gt; Defaults!B$13)),1,20)</f>
        <v>1</v>
      </c>
      <c r="L13" s="1">
        <f t="shared" si="1"/>
        <v>1</v>
      </c>
      <c r="M13" s="1" t="b">
        <f t="shared" si="2"/>
        <v>1</v>
      </c>
      <c r="N13" s="42">
        <f t="shared" si="3"/>
        <v>2127</v>
      </c>
      <c r="O13" s="42">
        <f>(D70*L70)-E13</f>
        <v>22</v>
      </c>
      <c r="P13" s="42">
        <f t="shared" si="4"/>
        <v>2458</v>
      </c>
      <c r="Q13" s="42">
        <f>(C70*L70)-C13</f>
        <v>-124</v>
      </c>
      <c r="R13" s="42">
        <f t="shared" si="5"/>
        <v>4483</v>
      </c>
      <c r="S13" s="30">
        <f t="shared" si="6"/>
        <v>452837221777408</v>
      </c>
      <c r="T13" s="30">
        <f t="shared" si="7"/>
        <v>-2345723285220</v>
      </c>
      <c r="U13" s="31">
        <f t="shared" si="8"/>
        <v>-193.04801407338095</v>
      </c>
    </row>
    <row r="14" spans="2:21" ht="30.75" customHeight="1">
      <c r="B14" s="32" t="str">
        <f>'Data Entry'!A14</f>
        <v xml:space="preserve">9. Cases Resulting in Confinement in Secure Juvenile Correctional Facilities </v>
      </c>
      <c r="C14" s="33">
        <f>'Data Entry'!C14</f>
        <v>423</v>
      </c>
      <c r="D14" s="34">
        <f>IF(((AND(C70&gt;0,C14&gt;0))), ((C14/(C70))),0)</f>
        <v>18.123393316195372</v>
      </c>
      <c r="E14" s="33">
        <f>'Data Entry'!J14</f>
        <v>397</v>
      </c>
      <c r="F14" s="34">
        <f>IF(((AND($D$70&gt;0,$E$14&gt;0))), (($E$14/($D$70))),0)</f>
        <v>18.473708701721733</v>
      </c>
      <c r="G14" s="39">
        <f t="shared" si="0"/>
        <v>1.019329458860958</v>
      </c>
      <c r="H14" s="40"/>
      <c r="I14" s="41"/>
      <c r="J14" s="40">
        <f>IF((ABS($U14)&gt;Defaults!D$7),1,2)</f>
        <v>2</v>
      </c>
      <c r="K14" s="39">
        <f>IF((AND(N14&gt;Defaults!B$12,(N14+O14)&gt;Defaults!B$13, P14 &gt; Defaults!B$12, (P14+Q14) &gt; Defaults!B$13)),1,20)</f>
        <v>1</v>
      </c>
      <c r="L14" s="1">
        <f t="shared" si="1"/>
        <v>2</v>
      </c>
      <c r="M14" s="1" t="b">
        <f t="shared" si="2"/>
        <v>1</v>
      </c>
      <c r="N14" s="42">
        <f t="shared" si="3"/>
        <v>397</v>
      </c>
      <c r="O14" s="42">
        <f>(D70*L70)-E14</f>
        <v>1752</v>
      </c>
      <c r="P14" s="42">
        <f t="shared" si="4"/>
        <v>423</v>
      </c>
      <c r="Q14" s="42">
        <f>(C70*L70)-C14</f>
        <v>1911</v>
      </c>
      <c r="R14" s="42">
        <f t="shared" si="5"/>
        <v>4483</v>
      </c>
      <c r="S14" s="30">
        <f t="shared" si="6"/>
        <v>1384081603803</v>
      </c>
      <c r="T14" s="30">
        <f t="shared" si="7"/>
        <v>15065655703560</v>
      </c>
      <c r="U14" s="31">
        <f t="shared" si="8"/>
        <v>9.1869987675076287E-2</v>
      </c>
    </row>
    <row r="15" spans="2:21" ht="15.75" customHeight="1">
      <c r="B15" s="32" t="str">
        <f>'Data Entry'!A15</f>
        <v xml:space="preserve">10. Cases Transferred to Adult Court </v>
      </c>
      <c r="C15" s="33">
        <f>'Data Entry'!C15</f>
        <v>3</v>
      </c>
      <c r="D15" s="34">
        <f>IF(((AND(C69&gt;0,C15&gt;0))),((C15/(C69))),0)</f>
        <v>7.9681274900398405E-2</v>
      </c>
      <c r="E15" s="33">
        <f>'Data Entry'!J15</f>
        <v>33</v>
      </c>
      <c r="F15" s="34">
        <f>IF(((AND($D$69&gt;0,$E$15&gt;0))),(($E$15/($D$69))),0)</f>
        <v>0.89820359281437123</v>
      </c>
      <c r="G15" s="39" t="str">
        <f t="shared" si="0"/>
        <v>**</v>
      </c>
      <c r="H15" s="40"/>
      <c r="I15" s="41"/>
      <c r="J15" s="40">
        <f>IF((ABS($U15)&gt;Defaults!D$7),1,2)</f>
        <v>1</v>
      </c>
      <c r="K15" s="39">
        <f>IF((AND(N15&gt;Defaults!B$12,(N15+O15)&gt;Defaults!B$13, P15 &gt; Defaults!B$12, (P15+Q15) &gt; Defaults!B$13)),1,20)</f>
        <v>20</v>
      </c>
      <c r="L15" s="1">
        <f t="shared" si="1"/>
        <v>20</v>
      </c>
      <c r="M15" s="1" t="b">
        <f t="shared" si="2"/>
        <v>1</v>
      </c>
      <c r="N15" s="42">
        <f t="shared" si="3"/>
        <v>33</v>
      </c>
      <c r="O15" s="42">
        <f>(D69*L69)-E15</f>
        <v>3641</v>
      </c>
      <c r="P15" s="42">
        <f t="shared" si="4"/>
        <v>3</v>
      </c>
      <c r="Q15" s="42">
        <f>(C69*L69)-C15</f>
        <v>3762</v>
      </c>
      <c r="R15" s="42">
        <f t="shared" si="5"/>
        <v>7439</v>
      </c>
      <c r="S15" s="30">
        <f t="shared" si="6"/>
        <v>95363871656031</v>
      </c>
      <c r="T15" s="30">
        <f t="shared" si="7"/>
        <v>3686501225880</v>
      </c>
      <c r="U15" s="31">
        <f t="shared" si="8"/>
        <v>25.868395482024237</v>
      </c>
    </row>
    <row r="16" spans="2:21" ht="12" customHeight="1">
      <c r="B16" s="43" t="s">
        <v>93</v>
      </c>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94</v>
      </c>
      <c r="L17" s="1" t="s">
        <v>95</v>
      </c>
      <c r="N17" s="21"/>
      <c r="O17" s="21"/>
      <c r="P17" s="21"/>
      <c r="Q17" s="21"/>
      <c r="R17" s="21"/>
      <c r="S17" s="30"/>
      <c r="T17" s="30"/>
      <c r="U17" s="31"/>
    </row>
    <row r="18" spans="2:21" ht="15" customHeight="1">
      <c r="B18" s="1" t="s">
        <v>52</v>
      </c>
    </row>
    <row r="19" spans="2:21" ht="15" customHeight="1">
      <c r="B19" s="1" t="s">
        <v>53</v>
      </c>
      <c r="D19" s="45" t="s">
        <v>54</v>
      </c>
    </row>
    <row r="20" spans="2:21" ht="15" customHeight="1">
      <c r="B20" s="1" t="s">
        <v>55</v>
      </c>
      <c r="D20" s="1" t="s">
        <v>56</v>
      </c>
    </row>
    <row r="21" spans="2:21" ht="15" customHeight="1">
      <c r="B21" s="1" t="s">
        <v>57</v>
      </c>
      <c r="D21" s="1" t="s">
        <v>58</v>
      </c>
    </row>
    <row r="22" spans="2:21" ht="15" customHeight="1">
      <c r="B22" s="1" t="s">
        <v>59</v>
      </c>
      <c r="D22" s="1" t="s">
        <v>60</v>
      </c>
    </row>
    <row r="23" spans="2:21" ht="15" customHeight="1">
      <c r="B23" s="1" t="s">
        <v>61</v>
      </c>
      <c r="D23" s="1" t="s">
        <v>62</v>
      </c>
    </row>
    <row r="24" spans="2:21" ht="26.25" customHeight="1">
      <c r="B24" s="62"/>
      <c r="C24" s="62"/>
      <c r="D24" s="62"/>
      <c r="E24" s="62"/>
      <c r="F24" s="62"/>
      <c r="G24" s="62"/>
      <c r="H24" s="62"/>
      <c r="I24" s="62"/>
      <c r="N24" s="21"/>
      <c r="O24" s="21"/>
      <c r="P24" s="21"/>
      <c r="Q24" s="21"/>
      <c r="R24" s="21"/>
      <c r="S24" s="30"/>
      <c r="T24" s="30"/>
      <c r="U24" s="31"/>
    </row>
    <row r="25" spans="2:21" ht="15" customHeight="1">
      <c r="B25" s="46" t="s">
        <v>63</v>
      </c>
      <c r="K25" s="1" t="s">
        <v>64</v>
      </c>
      <c r="L25" s="1" t="s">
        <v>65</v>
      </c>
      <c r="N25" s="21"/>
      <c r="O25" s="21" t="b">
        <f>ISBLANK(N12)</f>
        <v>0</v>
      </c>
      <c r="P25" s="21"/>
      <c r="Q25" s="21"/>
      <c r="R25" s="21"/>
    </row>
    <row r="26" spans="2:21" ht="15" customHeight="1">
      <c r="B26" s="47" t="s">
        <v>66</v>
      </c>
      <c r="F26" s="47" t="s">
        <v>67</v>
      </c>
      <c r="G26" s="47"/>
      <c r="H26" s="47"/>
      <c r="I26" s="47"/>
      <c r="J26" s="47"/>
      <c r="K26" s="48" t="s">
        <v>62</v>
      </c>
      <c r="L26" s="48" t="s">
        <v>68</v>
      </c>
      <c r="M26" s="48"/>
      <c r="R26" s="49"/>
    </row>
    <row r="27" spans="2:21" ht="15" customHeight="1">
      <c r="B27" s="50" t="s">
        <v>69</v>
      </c>
      <c r="C27" s="50"/>
      <c r="D27" s="50"/>
      <c r="E27" s="50"/>
      <c r="F27" s="50" t="str">
        <f>B66</f>
        <v>per 1000 youth</v>
      </c>
      <c r="G27" s="50"/>
      <c r="H27" s="50"/>
      <c r="I27" s="50"/>
      <c r="J27" s="50">
        <f>F66</f>
        <v>0</v>
      </c>
      <c r="K27" s="50" t="s">
        <v>60</v>
      </c>
      <c r="L27" s="51" t="s">
        <v>70</v>
      </c>
      <c r="R27" s="49"/>
    </row>
    <row r="28" spans="2:21" ht="15" customHeight="1">
      <c r="B28" s="50" t="s">
        <v>71</v>
      </c>
      <c r="C28" s="50"/>
      <c r="D28" s="50"/>
      <c r="E28" s="50"/>
      <c r="F28" s="52" t="str">
        <f>B67</f>
        <v>per 100 arrests</v>
      </c>
      <c r="G28" s="52"/>
      <c r="H28" s="52"/>
      <c r="I28" s="52"/>
      <c r="J28" s="52"/>
      <c r="K28" s="52" t="s">
        <v>58</v>
      </c>
      <c r="L28" s="53" t="s">
        <v>72</v>
      </c>
      <c r="R28" s="49"/>
    </row>
    <row r="29" spans="2:21" ht="15" customHeight="1">
      <c r="B29" s="52" t="s">
        <v>73</v>
      </c>
      <c r="C29" s="52"/>
      <c r="D29" s="52"/>
      <c r="E29" s="52"/>
      <c r="F29" s="52" t="str">
        <f>B68</f>
        <v>per 100 referrals</v>
      </c>
      <c r="G29" s="52"/>
      <c r="H29" s="52"/>
      <c r="I29" s="52"/>
      <c r="J29" s="52"/>
      <c r="K29" s="52"/>
      <c r="L29" s="53"/>
      <c r="R29" s="49"/>
    </row>
    <row r="30" spans="2:21" ht="15" customHeight="1">
      <c r="B30" s="52" t="s">
        <v>74</v>
      </c>
      <c r="C30" s="52"/>
      <c r="D30" s="52"/>
      <c r="E30" s="52"/>
      <c r="F30" s="52" t="str">
        <f>B68</f>
        <v>per 100 referrals</v>
      </c>
      <c r="G30" s="52"/>
      <c r="H30" s="52"/>
      <c r="I30" s="52"/>
      <c r="J30" s="52"/>
      <c r="K30" s="52"/>
      <c r="L30" s="53"/>
      <c r="N30" s="1" t="b">
        <f>ISNUMBER(J14)</f>
        <v>1</v>
      </c>
      <c r="R30" s="49"/>
    </row>
    <row r="31" spans="2:21" ht="15" customHeight="1">
      <c r="B31" s="52" t="s">
        <v>75</v>
      </c>
      <c r="C31" s="52"/>
      <c r="D31" s="52"/>
      <c r="E31" s="52"/>
      <c r="F31" s="52" t="str">
        <f>B68</f>
        <v>per 100 referrals</v>
      </c>
      <c r="G31" s="52"/>
      <c r="H31" s="52"/>
      <c r="I31" s="52"/>
      <c r="J31" s="52"/>
      <c r="K31" s="52"/>
      <c r="L31" s="53"/>
      <c r="R31" s="49"/>
    </row>
    <row r="32" spans="2:21" ht="15" customHeight="1">
      <c r="B32" s="52" t="s">
        <v>76</v>
      </c>
      <c r="C32" s="52"/>
      <c r="D32" s="52"/>
      <c r="E32" s="52"/>
      <c r="F32" s="52" t="str">
        <f>B69</f>
        <v>per 100 youth petitioned</v>
      </c>
      <c r="G32" s="52"/>
      <c r="H32" s="52"/>
      <c r="I32" s="52"/>
      <c r="J32" s="52"/>
      <c r="K32" s="52"/>
      <c r="L32" s="53"/>
      <c r="R32" s="49"/>
    </row>
    <row r="33" spans="2:18" ht="15" customHeight="1">
      <c r="B33" s="52" t="s">
        <v>77</v>
      </c>
      <c r="C33" s="52"/>
      <c r="D33" s="52"/>
      <c r="E33" s="52"/>
      <c r="F33" s="52" t="str">
        <f>B70</f>
        <v>per 100 youth found delinquent</v>
      </c>
      <c r="G33" s="52"/>
      <c r="H33" s="52"/>
      <c r="I33" s="52"/>
      <c r="J33" s="52"/>
      <c r="K33" s="52"/>
      <c r="L33" s="53"/>
      <c r="R33" s="49"/>
    </row>
    <row r="34" spans="2:18" ht="15" customHeight="1">
      <c r="B34" s="52" t="s">
        <v>78</v>
      </c>
      <c r="C34" s="52"/>
      <c r="D34" s="52"/>
      <c r="E34" s="52"/>
      <c r="F34" s="52" t="str">
        <f>B70</f>
        <v>per 100 youth found delinquent</v>
      </c>
      <c r="G34" s="52"/>
      <c r="H34" s="52"/>
      <c r="I34" s="52"/>
      <c r="J34" s="52"/>
      <c r="K34" s="52"/>
      <c r="L34" s="53"/>
      <c r="R34" s="49"/>
    </row>
    <row r="35" spans="2:18" ht="15" customHeight="1">
      <c r="B35" s="52" t="s">
        <v>79</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2" t="s">
        <v>80</v>
      </c>
      <c r="C40" s="212"/>
      <c r="D40" s="212"/>
      <c r="E40" s="212"/>
      <c r="F40" s="212"/>
      <c r="G40" s="212"/>
      <c r="H40" s="212"/>
      <c r="I40" s="212"/>
      <c r="J40" s="212"/>
      <c r="K40" s="8"/>
      <c r="R40" s="49"/>
    </row>
    <row r="41" spans="2:18" ht="15" hidden="1" customHeight="1">
      <c r="B41" s="54" t="s">
        <v>81</v>
      </c>
      <c r="C41" s="54" t="s">
        <v>82</v>
      </c>
      <c r="D41" s="55" t="s">
        <v>83</v>
      </c>
      <c r="E41" s="54" t="s">
        <v>84</v>
      </c>
      <c r="G41" s="54" t="s">
        <v>85</v>
      </c>
      <c r="H41" s="54"/>
      <c r="I41" s="54"/>
      <c r="L41" s="1" t="s">
        <v>86</v>
      </c>
      <c r="R41" s="49"/>
    </row>
    <row r="42" spans="2:18" ht="15" hidden="1" customHeight="1">
      <c r="B42" s="49" t="s">
        <v>87</v>
      </c>
      <c r="C42" s="56">
        <f>C6/1000</f>
        <v>679.73699999999997</v>
      </c>
      <c r="D42" s="56">
        <f>E6/1000</f>
        <v>311.79500000000002</v>
      </c>
      <c r="E42" s="56">
        <f>MAX(C42:D42)</f>
        <v>679.73699999999997</v>
      </c>
      <c r="G42" s="1" t="str">
        <f>B42</f>
        <v>per 1000 youth</v>
      </c>
      <c r="L42" s="57">
        <v>1000</v>
      </c>
      <c r="M42" s="57"/>
      <c r="R42" s="49"/>
    </row>
    <row r="43" spans="2:18" ht="15" hidden="1" customHeight="1">
      <c r="B43" s="49" t="s">
        <v>88</v>
      </c>
      <c r="C43" s="56">
        <f>C7/100</f>
        <v>42.7</v>
      </c>
      <c r="D43" s="56">
        <f>E7/100</f>
        <v>45.46</v>
      </c>
      <c r="E43" s="56">
        <f>MAX(C43:D43,0)</f>
        <v>45.46</v>
      </c>
      <c r="G43" s="1" t="str">
        <f>B43</f>
        <v>per 100 arrests</v>
      </c>
      <c r="L43" s="57">
        <v>100</v>
      </c>
      <c r="M43" s="57"/>
      <c r="R43" s="49"/>
    </row>
    <row r="44" spans="2:18" ht="15" hidden="1" customHeight="1">
      <c r="B44" s="49" t="s">
        <v>89</v>
      </c>
      <c r="C44" s="56">
        <f>C8/100</f>
        <v>70.77</v>
      </c>
      <c r="D44" s="56">
        <f>E8/100</f>
        <v>60.66</v>
      </c>
      <c r="E44" s="56">
        <f>MAX(C44:D44,0)</f>
        <v>70.77</v>
      </c>
      <c r="G44" s="1" t="str">
        <f>B44</f>
        <v>per 100 referrals</v>
      </c>
      <c r="L44" s="57">
        <v>100</v>
      </c>
      <c r="M44" s="57"/>
      <c r="R44" s="49"/>
    </row>
    <row r="45" spans="2:18" ht="15" hidden="1" customHeight="1">
      <c r="B45" s="49" t="s">
        <v>90</v>
      </c>
      <c r="C45" s="49">
        <f>C11/100</f>
        <v>37.65</v>
      </c>
      <c r="D45" s="49">
        <f>E11/100</f>
        <v>36.74</v>
      </c>
      <c r="E45" s="56">
        <f>MAX(C45:D45,0)</f>
        <v>37.65</v>
      </c>
      <c r="G45" s="1" t="str">
        <f>B45</f>
        <v>per 100 youth petitioned</v>
      </c>
      <c r="L45" s="57">
        <v>100</v>
      </c>
      <c r="M45" s="57"/>
      <c r="R45" s="49"/>
    </row>
    <row r="46" spans="2:18" ht="15" hidden="1" customHeight="1">
      <c r="B46" s="49" t="s">
        <v>91</v>
      </c>
      <c r="C46" s="49">
        <f>C12/100</f>
        <v>23.34</v>
      </c>
      <c r="D46" s="49">
        <f>E12/100</f>
        <v>21.49</v>
      </c>
      <c r="E46" s="56">
        <f>MAX(C46:D46)</f>
        <v>23.34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679.73699999999997</v>
      </c>
      <c r="D48" s="56">
        <f>D42</f>
        <v>311.79500000000002</v>
      </c>
      <c r="E48" s="56">
        <f>MAX(C48:D48)</f>
        <v>679.73699999999997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42.7</v>
      </c>
      <c r="D49" s="49">
        <f t="shared" si="9"/>
        <v>45.46</v>
      </c>
      <c r="E49" s="49">
        <f>MAX(C49:D49)</f>
        <v>45.46</v>
      </c>
      <c r="G49" s="1" t="str">
        <f>G43</f>
        <v>per 100 arrests</v>
      </c>
      <c r="L49" s="58">
        <f>IF(($E43&gt;0),L43,L42)</f>
        <v>100</v>
      </c>
      <c r="M49" s="58"/>
      <c r="N49" s="21"/>
      <c r="O49" s="21"/>
      <c r="P49" s="21"/>
      <c r="Q49" s="21"/>
      <c r="R49" s="21"/>
    </row>
    <row r="50" spans="2:18" ht="15" hidden="1" customHeight="1">
      <c r="B50" s="49" t="str">
        <f t="shared" si="9"/>
        <v>per 100 referrals</v>
      </c>
      <c r="C50" s="49">
        <f t="shared" si="9"/>
        <v>70.77</v>
      </c>
      <c r="D50" s="49">
        <f t="shared" si="9"/>
        <v>60.66</v>
      </c>
      <c r="E50" s="49">
        <f>MAX(C50:D50)</f>
        <v>70.77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37.65</v>
      </c>
      <c r="D51" s="49">
        <f>IF(($E45&gt;0),D45,D44)</f>
        <v>36.74</v>
      </c>
      <c r="E51" s="49">
        <f>MAX(C51:D51)</f>
        <v>37.65</v>
      </c>
      <c r="G51" s="1" t="str">
        <f>G45</f>
        <v>per 100 youth petitioned</v>
      </c>
      <c r="L51" s="58">
        <f>IF(($E45&gt;0),L45,L44)</f>
        <v>100</v>
      </c>
      <c r="M51" s="58"/>
    </row>
    <row r="52" spans="2:18" ht="15" hidden="1" customHeight="1">
      <c r="B52" s="49" t="str">
        <f>IF(($E46&gt;0),B46,B45)</f>
        <v>per 100 youth found delinquent</v>
      </c>
      <c r="C52" s="49">
        <f>IF(($E46&gt;0),C46,C45)</f>
        <v>23.34</v>
      </c>
      <c r="D52" s="49">
        <f>IF(($E46&gt;0),D46,D45)</f>
        <v>21.49</v>
      </c>
      <c r="E52" s="56">
        <f>MAX(C52:D52)</f>
        <v>23.34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679.73699999999997</v>
      </c>
      <c r="D54" s="56">
        <f>D48</f>
        <v>311.79500000000002</v>
      </c>
      <c r="E54" s="56">
        <f>MAX(C54:D54)</f>
        <v>679.73699999999997</v>
      </c>
      <c r="G54" s="1" t="str">
        <f>G48</f>
        <v>per 1000 youth</v>
      </c>
      <c r="L54" s="58">
        <f>L48</f>
        <v>1000</v>
      </c>
      <c r="M54" s="58"/>
    </row>
    <row r="55" spans="2:18" ht="15" hidden="1" customHeight="1">
      <c r="B55" s="49" t="str">
        <f t="shared" ref="B55:D56" si="10">IF(($E49&gt;0),B49,B48)</f>
        <v>per 100 arrests</v>
      </c>
      <c r="C55" s="49">
        <f t="shared" si="10"/>
        <v>42.7</v>
      </c>
      <c r="D55" s="49">
        <f t="shared" si="10"/>
        <v>45.46</v>
      </c>
      <c r="E55" s="49">
        <f>MAX(C55:D55)</f>
        <v>45.46</v>
      </c>
      <c r="G55" s="1" t="str">
        <f>G49</f>
        <v>per 100 arrests</v>
      </c>
      <c r="L55" s="58">
        <f>IF(($E49&gt;0),L49,L48)</f>
        <v>100</v>
      </c>
      <c r="M55" s="58"/>
    </row>
    <row r="56" spans="2:18" ht="15" hidden="1" customHeight="1">
      <c r="B56" s="49" t="str">
        <f t="shared" si="10"/>
        <v>per 100 referrals</v>
      </c>
      <c r="C56" s="49">
        <f t="shared" si="10"/>
        <v>70.77</v>
      </c>
      <c r="D56" s="49">
        <f t="shared" si="10"/>
        <v>60.66</v>
      </c>
      <c r="E56" s="49">
        <f>MAX(C56:D56)</f>
        <v>70.77</v>
      </c>
      <c r="G56" s="1" t="str">
        <f>G50</f>
        <v>per 100 referrals</v>
      </c>
      <c r="L56" s="58">
        <f>IF(($E50&gt;0),L50,L49)</f>
        <v>100</v>
      </c>
      <c r="M56" s="58"/>
    </row>
    <row r="57" spans="2:18" ht="15" hidden="1" customHeight="1">
      <c r="B57" s="49" t="str">
        <f>IF(($E51&gt;0),B51,B49)</f>
        <v>per 100 youth petitioned</v>
      </c>
      <c r="C57" s="49">
        <f>IF(($E51&gt;0),C51,C50)</f>
        <v>37.65</v>
      </c>
      <c r="D57" s="49">
        <f>IF(($E51&gt;0),D51,D50)</f>
        <v>36.74</v>
      </c>
      <c r="E57" s="49">
        <f>MAX(C57:D57)</f>
        <v>37.65</v>
      </c>
      <c r="G57" s="1" t="str">
        <f>G51</f>
        <v>per 100 youth petitioned</v>
      </c>
      <c r="L57" s="58">
        <f>IF(($E51&gt;0),L51,L50)</f>
        <v>100</v>
      </c>
      <c r="M57" s="58"/>
    </row>
    <row r="58" spans="2:18" ht="15" hidden="1" customHeight="1">
      <c r="B58" s="49" t="str">
        <f>IF(($E52&gt;0),B52,B51)</f>
        <v>per 100 youth found delinquent</v>
      </c>
      <c r="C58" s="49">
        <f>IF(($E52&gt;0),C52,C51)</f>
        <v>23.34</v>
      </c>
      <c r="D58" s="49">
        <f>IF(($E52&gt;0),D52,D51)</f>
        <v>21.49</v>
      </c>
      <c r="E58" s="56">
        <f>MAX(C58:D58)</f>
        <v>23.34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679.73699999999997</v>
      </c>
      <c r="D60" s="56">
        <f>D54</f>
        <v>311.79500000000002</v>
      </c>
      <c r="E60" s="56">
        <f>MAX(C60:D60)</f>
        <v>679.73699999999997</v>
      </c>
      <c r="G60" s="1" t="str">
        <f>G54</f>
        <v>per 1000 youth</v>
      </c>
      <c r="L60" s="58">
        <f>L54</f>
        <v>1000</v>
      </c>
      <c r="M60" s="58"/>
    </row>
    <row r="61" spans="2:18" ht="15" hidden="1" customHeight="1">
      <c r="B61" s="49" t="str">
        <f t="shared" ref="B61:D62" si="11">IF(($E55&gt;0),B55,B54)</f>
        <v>per 100 arrests</v>
      </c>
      <c r="C61" s="49">
        <f t="shared" si="11"/>
        <v>42.7</v>
      </c>
      <c r="D61" s="49">
        <f t="shared" si="11"/>
        <v>45.46</v>
      </c>
      <c r="E61" s="49">
        <f>MAX(C61:D61)</f>
        <v>45.46</v>
      </c>
      <c r="G61" s="1" t="str">
        <f>G55</f>
        <v>per 100 arrests</v>
      </c>
      <c r="L61" s="58">
        <f>IF(($E55&gt;0),L55,L54)</f>
        <v>100</v>
      </c>
      <c r="M61" s="58"/>
    </row>
    <row r="62" spans="2:18" ht="15" hidden="1" customHeight="1">
      <c r="B62" s="49" t="str">
        <f t="shared" si="11"/>
        <v>per 100 referrals</v>
      </c>
      <c r="C62" s="49">
        <f t="shared" si="11"/>
        <v>70.77</v>
      </c>
      <c r="D62" s="49">
        <f t="shared" si="11"/>
        <v>60.66</v>
      </c>
      <c r="E62" s="49">
        <f>MAX(C62:D62)</f>
        <v>70.77</v>
      </c>
      <c r="G62" s="1" t="str">
        <f>G56</f>
        <v>per 100 referrals</v>
      </c>
      <c r="L62" s="58">
        <f>IF(($E56&gt;0),L56,L55)</f>
        <v>100</v>
      </c>
      <c r="M62" s="58"/>
    </row>
    <row r="63" spans="2:18" ht="15" hidden="1" customHeight="1">
      <c r="B63" s="49" t="str">
        <f>IF(($E57&gt;0),B57,B55)</f>
        <v>per 100 youth petitioned</v>
      </c>
      <c r="C63" s="49">
        <f>IF(($E57&gt;0),C57,C56)</f>
        <v>37.65</v>
      </c>
      <c r="D63" s="49">
        <f>IF(($E57&gt;0),D57,D56)</f>
        <v>36.74</v>
      </c>
      <c r="E63" s="49">
        <f>MAX(C63:D63)</f>
        <v>37.65</v>
      </c>
      <c r="G63" s="1" t="str">
        <f>G57</f>
        <v>per 100 youth petitioned</v>
      </c>
      <c r="L63" s="58">
        <f>IF(($E57&gt;0),L57,L56)</f>
        <v>100</v>
      </c>
      <c r="M63" s="58"/>
    </row>
    <row r="64" spans="2:18" ht="15" hidden="1" customHeight="1">
      <c r="B64" s="49" t="str">
        <f>IF(($E58&gt;0),B58,B57)</f>
        <v>per 100 youth found delinquent</v>
      </c>
      <c r="C64" s="49">
        <f>IF(($E58&gt;0),C58,C57)</f>
        <v>23.34</v>
      </c>
      <c r="D64" s="49">
        <f>IF(($E58&gt;0),D58,D57)</f>
        <v>21.49</v>
      </c>
      <c r="E64" s="56">
        <f>MAX(C64:D64)</f>
        <v>23.34</v>
      </c>
      <c r="G64" s="1" t="str">
        <f>G58</f>
        <v>per 100 youth found delinquent</v>
      </c>
      <c r="L64" s="58">
        <f>IF(($E58&gt;0),L58,L57)</f>
        <v>100</v>
      </c>
      <c r="M64" s="58"/>
    </row>
    <row r="65" spans="2:13" ht="15" hidden="1" customHeight="1">
      <c r="B65" s="59" t="s">
        <v>92</v>
      </c>
      <c r="L65" s="57"/>
      <c r="M65" s="57"/>
    </row>
    <row r="66" spans="2:13" ht="15" hidden="1" customHeight="1">
      <c r="B66" s="49" t="str">
        <f>B60</f>
        <v>per 1000 youth</v>
      </c>
      <c r="C66" s="56">
        <f>C60</f>
        <v>679.73699999999997</v>
      </c>
      <c r="D66" s="56">
        <f>D60</f>
        <v>311.79500000000002</v>
      </c>
      <c r="E66" s="56">
        <f>MAX(C66:D66)</f>
        <v>679.73699999999997</v>
      </c>
      <c r="G66" s="1" t="str">
        <f>G60</f>
        <v>per 1000 youth</v>
      </c>
      <c r="L66" s="58">
        <f>L60</f>
        <v>1000</v>
      </c>
      <c r="M66" s="58">
        <f>IF((B66=G66),1,2)</f>
        <v>1</v>
      </c>
    </row>
    <row r="67" spans="2:13" ht="15" hidden="1" customHeight="1">
      <c r="B67" s="49" t="str">
        <f t="shared" ref="B67:D68" si="12">IF(($E61&gt;0),B61,B60)</f>
        <v>per 100 arrests</v>
      </c>
      <c r="C67" s="49">
        <f t="shared" si="12"/>
        <v>42.7</v>
      </c>
      <c r="D67" s="49">
        <f t="shared" si="12"/>
        <v>45.46</v>
      </c>
      <c r="E67" s="49">
        <f>MAX(C67:D67)</f>
        <v>45.46</v>
      </c>
      <c r="G67" s="1" t="str">
        <f>G61</f>
        <v>per 100 arrests</v>
      </c>
      <c r="L67" s="58">
        <f>IF(($E61&gt;0),L61,L60)</f>
        <v>100</v>
      </c>
      <c r="M67" s="58">
        <f>IF((B67=G67),1,2)</f>
        <v>1</v>
      </c>
    </row>
    <row r="68" spans="2:13" ht="15" hidden="1" customHeight="1">
      <c r="B68" s="49" t="str">
        <f t="shared" si="12"/>
        <v>per 100 referrals</v>
      </c>
      <c r="C68" s="49">
        <f t="shared" si="12"/>
        <v>70.77</v>
      </c>
      <c r="D68" s="49">
        <f t="shared" si="12"/>
        <v>60.66</v>
      </c>
      <c r="E68" s="49">
        <f>MAX(C68:D68)</f>
        <v>70.77</v>
      </c>
      <c r="G68" s="1" t="str">
        <f>G62</f>
        <v>per 100 referrals</v>
      </c>
      <c r="L68" s="58">
        <f>IF(($E62&gt;0),L62,L61)</f>
        <v>100</v>
      </c>
      <c r="M68" s="58">
        <f>IF((B68=G68),1,2)</f>
        <v>1</v>
      </c>
    </row>
    <row r="69" spans="2:13" ht="15" hidden="1" customHeight="1">
      <c r="B69" s="49" t="str">
        <f>IF(($E63&gt;0),B63,B61)</f>
        <v>per 100 youth petitioned</v>
      </c>
      <c r="C69" s="49">
        <f>IF(($E63&gt;0),C63,C62)</f>
        <v>37.65</v>
      </c>
      <c r="D69" s="49">
        <f>IF(($E63&gt;0),D63,D62)</f>
        <v>36.74</v>
      </c>
      <c r="E69" s="49">
        <f>MAX(C69:D69)</f>
        <v>37.65</v>
      </c>
      <c r="G69" s="1" t="str">
        <f>G63</f>
        <v>per 100 youth petitioned</v>
      </c>
      <c r="L69" s="58">
        <f>IF(($E63&gt;0),L63,L62)</f>
        <v>100</v>
      </c>
      <c r="M69" s="58">
        <f>IF((B69=G69),1,2)</f>
        <v>1</v>
      </c>
    </row>
    <row r="70" spans="2:13" ht="15" hidden="1" customHeight="1">
      <c r="B70" s="49" t="str">
        <f>IF(($E64&gt;0),B64,B63)</f>
        <v>per 100 youth found delinquent</v>
      </c>
      <c r="C70" s="49">
        <f>IF(($E64&gt;0),C64,C63)</f>
        <v>23.34</v>
      </c>
      <c r="D70" s="49">
        <f>IF(($E64&gt;0),D64,D63)</f>
        <v>21.49</v>
      </c>
      <c r="E70" s="56">
        <f>MAX(C70:D70)</f>
        <v>23.34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96</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All Reporting Counties</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3.7771778676669676</v>
      </c>
      <c r="D7" s="72">
        <f>Hispanic!G7</f>
        <v>0.46593110256660458</v>
      </c>
      <c r="E7" s="72">
        <f>Asian!G7</f>
        <v>0.18259341057913817</v>
      </c>
      <c r="F7" s="72" t="str">
        <f>Hawaiian!G7</f>
        <v>*</v>
      </c>
      <c r="G7" s="72" t="str">
        <f>'Am Indian'!G7</f>
        <v>*</v>
      </c>
      <c r="H7" s="72" t="str">
        <f>'Other - Mixed'!G7</f>
        <v>*</v>
      </c>
      <c r="I7" s="73">
        <f>'All Minorities'!G7</f>
        <v>2.3209902726499454</v>
      </c>
      <c r="L7" s="1">
        <f>'Black or African-American'!L7</f>
        <v>1</v>
      </c>
      <c r="M7" s="1">
        <f>Hispanic!L7</f>
        <v>1</v>
      </c>
      <c r="N7" s="1">
        <f>Asian!L7</f>
        <v>1</v>
      </c>
      <c r="O7" s="1" t="e">
        <f>Hawaiian!L7</f>
        <v>#DIV/0!</v>
      </c>
      <c r="P7" s="1">
        <f>'Am Indian'!L7</f>
        <v>100</v>
      </c>
      <c r="Q7" s="1" t="e">
        <f>'Other - Mixed'!L7</f>
        <v>#VALUE!</v>
      </c>
      <c r="R7" s="1">
        <f>'All Minorities'!L7</f>
        <v>1</v>
      </c>
    </row>
    <row r="8" spans="2:18" ht="15" customHeight="1">
      <c r="B8" s="71" t="s">
        <v>9</v>
      </c>
      <c r="C8" s="72">
        <f>'Black or African-American'!$G8</f>
        <v>0.68181617902566127</v>
      </c>
      <c r="D8" s="72">
        <f>Hispanic!G8</f>
        <v>1.2686682236839633</v>
      </c>
      <c r="E8" s="72">
        <f>Asian!G8</f>
        <v>1.0190130783602596</v>
      </c>
      <c r="F8" s="72" t="str">
        <f>Hawaiian!G8</f>
        <v>*</v>
      </c>
      <c r="G8" s="72" t="str">
        <f>'Am Indian'!G8</f>
        <v>*</v>
      </c>
      <c r="H8" s="72" t="str">
        <f>'Other - Mixed'!G8</f>
        <v>*</v>
      </c>
      <c r="I8" s="73">
        <f>'All Minorities'!G8</f>
        <v>0.80510338759348887</v>
      </c>
      <c r="L8" s="1">
        <f>'Black or African-American'!L8</f>
        <v>1</v>
      </c>
      <c r="M8" s="1">
        <f>Hispanic!L8</f>
        <v>1</v>
      </c>
      <c r="N8" s="1">
        <f>Asian!L8</f>
        <v>2</v>
      </c>
      <c r="O8" s="1">
        <f>Hawaiian!L8</f>
        <v>139</v>
      </c>
      <c r="P8" s="1">
        <f>'Am Indian'!L8</f>
        <v>100</v>
      </c>
      <c r="Q8" s="1">
        <f>'Other - Mixed'!L8</f>
        <v>119</v>
      </c>
      <c r="R8" s="1">
        <f>'All Minorities'!L8</f>
        <v>1</v>
      </c>
    </row>
    <row r="9" spans="2:18" ht="15" customHeight="1">
      <c r="B9" s="71" t="s">
        <v>10</v>
      </c>
      <c r="C9" s="72">
        <f>'Black or African-American'!$G9</f>
        <v>1.3072516126532747</v>
      </c>
      <c r="D9" s="72">
        <f>Hispanic!G9</f>
        <v>1.3046769686010191</v>
      </c>
      <c r="E9" s="72">
        <f>Asian!G9</f>
        <v>1.3302631578947368</v>
      </c>
      <c r="F9" s="72" t="str">
        <f>Hawaiian!G9</f>
        <v>*</v>
      </c>
      <c r="G9" s="72" t="str">
        <f>'Am Indian'!G9</f>
        <v>*</v>
      </c>
      <c r="H9" s="72" t="str">
        <f>'Other - Mixed'!G9</f>
        <v>*</v>
      </c>
      <c r="I9" s="73">
        <f>'All Minorities'!G9</f>
        <v>1.3037878787878787</v>
      </c>
      <c r="L9" s="1">
        <f>'Black or African-American'!L9</f>
        <v>1</v>
      </c>
      <c r="M9" s="1">
        <f>Hispanic!L9</f>
        <v>1</v>
      </c>
      <c r="N9" s="1">
        <f>Asian!L9</f>
        <v>2</v>
      </c>
      <c r="O9" s="1">
        <f>Hawaiian!L9</f>
        <v>139</v>
      </c>
      <c r="P9" s="1">
        <f>'Am Indian'!L9</f>
        <v>101</v>
      </c>
      <c r="Q9" s="1">
        <f>'Other - Mixed'!L9</f>
        <v>100</v>
      </c>
      <c r="R9" s="1">
        <f>'All Minorities'!L9</f>
        <v>1</v>
      </c>
    </row>
    <row r="10" spans="2:18" ht="15" customHeight="1">
      <c r="B10" s="71" t="s">
        <v>11</v>
      </c>
      <c r="C10" s="72">
        <f>'Black or African-American'!$G10</f>
        <v>2.4162122503535244</v>
      </c>
      <c r="D10" s="72">
        <f>Hispanic!G10</f>
        <v>2.6758342922899883</v>
      </c>
      <c r="E10" s="72">
        <f>Asian!G10</f>
        <v>1.9046949760765548</v>
      </c>
      <c r="F10" s="72" t="str">
        <f>Hawaiian!G10</f>
        <v>*</v>
      </c>
      <c r="G10" s="72" t="str">
        <f>'Am Indian'!G10</f>
        <v>*</v>
      </c>
      <c r="H10" s="72" t="str">
        <f>'Other - Mixed'!G10</f>
        <v>*</v>
      </c>
      <c r="I10" s="73">
        <f>'All Minorities'!G10</f>
        <v>2.4446969696969698</v>
      </c>
      <c r="L10" s="1">
        <f>'Black or African-American'!L10</f>
        <v>1</v>
      </c>
      <c r="M10" s="1">
        <f>Hispanic!L10</f>
        <v>1</v>
      </c>
      <c r="N10" s="1">
        <f>Asian!L10</f>
        <v>1</v>
      </c>
      <c r="O10" s="1">
        <f>Hawaiian!L10</f>
        <v>139</v>
      </c>
      <c r="P10" s="1">
        <f>'Am Indian'!L10</f>
        <v>101</v>
      </c>
      <c r="Q10" s="1">
        <f>'Other - Mixed'!L10</f>
        <v>100</v>
      </c>
      <c r="R10" s="1">
        <f>'All Minorities'!L10</f>
        <v>1</v>
      </c>
    </row>
    <row r="11" spans="2:18" ht="15" customHeight="1">
      <c r="B11" s="71" t="s">
        <v>97</v>
      </c>
      <c r="C11" s="72">
        <f>'Black or African-American'!$G11</f>
        <v>1.0926423434750236</v>
      </c>
      <c r="D11" s="72">
        <f>Hispanic!G11</f>
        <v>1.3324322961319277</v>
      </c>
      <c r="E11" s="72">
        <f>Asian!G11</f>
        <v>1.0387712308660095</v>
      </c>
      <c r="F11" s="72" t="str">
        <f>Hawaiian!G11</f>
        <v>*</v>
      </c>
      <c r="G11" s="72" t="str">
        <f>'Am Indian'!G11</f>
        <v>*</v>
      </c>
      <c r="H11" s="72" t="str">
        <f>'Other - Mixed'!G11</f>
        <v>*</v>
      </c>
      <c r="I11" s="73">
        <f>'All Minorities'!G11</f>
        <v>1.1384683488269145</v>
      </c>
      <c r="L11" s="1">
        <f>'Black or African-American'!L11</f>
        <v>1</v>
      </c>
      <c r="M11" s="1">
        <f>Hispanic!L11</f>
        <v>1</v>
      </c>
      <c r="N11" s="1">
        <f>Asian!L11</f>
        <v>2</v>
      </c>
      <c r="O11" s="1">
        <f>Hawaiian!L11</f>
        <v>139</v>
      </c>
      <c r="P11" s="1">
        <f>'Am Indian'!L11</f>
        <v>100</v>
      </c>
      <c r="Q11" s="1">
        <f>'Other - Mixed'!L11</f>
        <v>100</v>
      </c>
      <c r="R11" s="1">
        <f>'All Minorities'!L11</f>
        <v>1</v>
      </c>
    </row>
    <row r="12" spans="2:18" ht="15" customHeight="1">
      <c r="B12" s="71" t="s">
        <v>13</v>
      </c>
      <c r="C12" s="72">
        <f>'Black or African-American'!$G12</f>
        <v>0.95734089589819737</v>
      </c>
      <c r="D12" s="72">
        <f>Hispanic!G12</f>
        <v>0.97938854204921044</v>
      </c>
      <c r="E12" s="72">
        <f>Asian!G12</f>
        <v>0.92177745134043332</v>
      </c>
      <c r="F12" s="72" t="str">
        <f>Hawaiian!G12</f>
        <v>*</v>
      </c>
      <c r="G12" s="72" t="str">
        <f>'Am Indian'!G12</f>
        <v>*</v>
      </c>
      <c r="H12" s="72" t="str">
        <f>'Other - Mixed'!G12</f>
        <v>*</v>
      </c>
      <c r="I12" s="73">
        <f>'All Minorities'!G12</f>
        <v>0.94354233808615517</v>
      </c>
      <c r="L12" s="1">
        <f>'Black or African-American'!L12</f>
        <v>1</v>
      </c>
      <c r="M12" s="1">
        <f>Hispanic!L12</f>
        <v>2</v>
      </c>
      <c r="N12" s="1">
        <f>Asian!L12</f>
        <v>2</v>
      </c>
      <c r="O12" s="1">
        <f>Hawaiian!L12</f>
        <v>139</v>
      </c>
      <c r="P12" s="1">
        <f>'Am Indian'!L12</f>
        <v>101</v>
      </c>
      <c r="Q12" s="1">
        <f>'Other - Mixed'!L12</f>
        <v>100</v>
      </c>
      <c r="R12" s="1">
        <f>'All Minorities'!L12</f>
        <v>1</v>
      </c>
    </row>
    <row r="13" spans="2:18" ht="15" customHeight="1">
      <c r="B13" s="71" t="s">
        <v>14</v>
      </c>
      <c r="C13" s="72">
        <f>'Black or African-American'!$G13</f>
        <v>0.96480162593208896</v>
      </c>
      <c r="D13" s="72">
        <f>Hispanic!G13</f>
        <v>0.87773758811905556</v>
      </c>
      <c r="E13" s="72" t="str">
        <f>Asian!G13</f>
        <v>**</v>
      </c>
      <c r="F13" s="72" t="str">
        <f>Hawaiian!G13</f>
        <v>*</v>
      </c>
      <c r="G13" s="72" t="str">
        <f>'Am Indian'!G13</f>
        <v>*</v>
      </c>
      <c r="H13" s="72" t="str">
        <f>'Other - Mixed'!G13</f>
        <v>*</v>
      </c>
      <c r="I13" s="73">
        <f>'All Minorities'!G13</f>
        <v>0.93983160938101673</v>
      </c>
      <c r="L13" s="1">
        <f>'Black or African-American'!L13</f>
        <v>1</v>
      </c>
      <c r="M13" s="1">
        <f>Hispanic!L13</f>
        <v>1</v>
      </c>
      <c r="N13" s="1">
        <f>Asian!L13</f>
        <v>20</v>
      </c>
      <c r="O13" s="1">
        <f>Hawaiian!L13</f>
        <v>119</v>
      </c>
      <c r="P13" s="1">
        <f>'Am Indian'!L13</f>
        <v>101</v>
      </c>
      <c r="Q13" s="1">
        <f>'Other - Mixed'!L13</f>
        <v>100</v>
      </c>
      <c r="R13" s="1">
        <f>'All Minorities'!L13</f>
        <v>1</v>
      </c>
    </row>
    <row r="14" spans="2:18" ht="25.5" customHeight="1">
      <c r="B14" s="71" t="s">
        <v>15</v>
      </c>
      <c r="C14" s="72">
        <f>'Black or African-American'!$G14</f>
        <v>1.1349007136004625</v>
      </c>
      <c r="D14" s="72">
        <f>Hispanic!G14</f>
        <v>0.23183741581739081</v>
      </c>
      <c r="E14" s="72" t="str">
        <f>Asian!G14</f>
        <v>**</v>
      </c>
      <c r="F14" s="72" t="str">
        <f>Hawaiian!G14</f>
        <v>*</v>
      </c>
      <c r="G14" s="72" t="str">
        <f>'Am Indian'!G14</f>
        <v>*</v>
      </c>
      <c r="H14" s="72" t="str">
        <f>'Other - Mixed'!G14</f>
        <v>*</v>
      </c>
      <c r="I14" s="73">
        <f>'All Minorities'!G14</f>
        <v>1.019329458860958</v>
      </c>
      <c r="L14" s="1">
        <f>'Black or African-American'!L14</f>
        <v>2</v>
      </c>
      <c r="M14" s="1">
        <f>Hispanic!L14</f>
        <v>1</v>
      </c>
      <c r="N14" s="1">
        <f>Asian!L14</f>
        <v>20</v>
      </c>
      <c r="O14" s="1">
        <f>Hawaiian!L14</f>
        <v>139</v>
      </c>
      <c r="P14" s="1">
        <f>'Am Indian'!L14</f>
        <v>101</v>
      </c>
      <c r="Q14" s="1">
        <f>'Other - Mixed'!L14</f>
        <v>101</v>
      </c>
      <c r="R14" s="1">
        <f>'All Minorities'!L14</f>
        <v>2</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20</v>
      </c>
      <c r="M15" s="1">
        <f>Hispanic!L15</f>
        <v>20</v>
      </c>
      <c r="N15" s="1">
        <f>Asian!L15</f>
        <v>40</v>
      </c>
      <c r="O15" s="1">
        <f>Hawaiian!L15</f>
        <v>139</v>
      </c>
      <c r="P15" s="1">
        <f>'Am Indian'!L15</f>
        <v>139</v>
      </c>
      <c r="Q15" s="1">
        <f>'Other - Mixed'!L15</f>
        <v>119</v>
      </c>
      <c r="R15" s="1">
        <f>'All Minorities'!L15</f>
        <v>20</v>
      </c>
    </row>
    <row r="16" spans="2:18" ht="15" customHeight="1">
      <c r="B16" s="74" t="s">
        <v>98</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t="str">
        <f>'Black or African-American'!B16</f>
        <v>release 10/17/05</v>
      </c>
      <c r="C18" s="77"/>
      <c r="D18" s="77"/>
      <c r="E18" s="77"/>
      <c r="F18" s="77"/>
      <c r="G18" s="77"/>
      <c r="H18" s="77"/>
      <c r="I18" s="78"/>
    </row>
    <row r="20" spans="2:9" ht="15" customHeight="1">
      <c r="B20" s="1" t="s">
        <v>52</v>
      </c>
    </row>
    <row r="21" spans="2:9" ht="15" customHeight="1">
      <c r="B21" s="1" t="s">
        <v>53</v>
      </c>
      <c r="D21" s="45" t="s">
        <v>54</v>
      </c>
    </row>
    <row r="22" spans="2:9" ht="15" customHeight="1">
      <c r="B22" s="1" t="s">
        <v>55</v>
      </c>
      <c r="D22" s="1" t="s">
        <v>56</v>
      </c>
    </row>
    <row r="23" spans="2:9" ht="15" customHeight="1">
      <c r="B23" s="1" t="s">
        <v>57</v>
      </c>
      <c r="D23" s="1" t="s">
        <v>58</v>
      </c>
    </row>
    <row r="24" spans="2:9" ht="15" customHeight="1">
      <c r="B24" s="1" t="s">
        <v>59</v>
      </c>
      <c r="D24" s="1" t="s">
        <v>60</v>
      </c>
    </row>
    <row r="25" spans="2:9" ht="15" customHeight="1">
      <c r="B25" s="1" t="s">
        <v>61</v>
      </c>
      <c r="D25" s="1" t="s">
        <v>62</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99</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 xml:space="preserve">1. Population at Risk (age 10-17) </v>
      </c>
      <c r="C3" s="57">
        <f>'Data Entry'!B6</f>
        <v>991532</v>
      </c>
      <c r="D3" s="57">
        <f>'Data Entry'!C6</f>
        <v>679737</v>
      </c>
      <c r="E3" s="57">
        <f>'Data Entry'!D6</f>
        <v>175028</v>
      </c>
      <c r="F3" s="57">
        <f>'Data Entry'!E6</f>
        <v>89856</v>
      </c>
      <c r="G3" s="57">
        <f>'Data Entry'!F6</f>
        <v>39232</v>
      </c>
      <c r="H3" s="57">
        <f>'Data Entry'!G6</f>
        <v>0</v>
      </c>
      <c r="I3" s="57">
        <f>'Data Entry'!H6</f>
        <v>7679</v>
      </c>
      <c r="J3" s="57">
        <f>'Data Entry'!I6</f>
        <v>0</v>
      </c>
      <c r="K3" s="57">
        <f>'Data Entry'!J6</f>
        <v>311795</v>
      </c>
    </row>
    <row r="4" spans="2:11" ht="15" customHeight="1">
      <c r="B4" s="16" t="s">
        <v>8</v>
      </c>
      <c r="C4" s="1">
        <f>IF((C$3&gt;0),(1000*('Data Entry'!B7/'Data Entry'!B$6)), 0)</f>
        <v>9.243272027529116</v>
      </c>
      <c r="D4" s="1">
        <f>IF((D$3&gt;0),(1000*('Data Entry'!C7/'Data Entry'!C$6)), 0)</f>
        <v>6.2818413592315849</v>
      </c>
      <c r="E4" s="1">
        <f>IF((E$3&gt;0),(1000*('Data Entry'!D7/'Data Entry'!D$6)), 0)</f>
        <v>23.727632150284528</v>
      </c>
      <c r="F4" s="1">
        <f>IF((F$3&gt;0),(1000*('Data Entry'!E7/'Data Entry'!E$6)), 0)</f>
        <v>2.9269052706552707</v>
      </c>
      <c r="G4" s="1">
        <f>IF((G$3&gt;0),(1000*('Data Entry'!F7/'Data Entry'!F$6)), 0)</f>
        <v>1.1470228384991843</v>
      </c>
      <c r="H4" s="1">
        <f>IF((H$3&gt;0),(1000*('Data Entry'!G7/'Data Entry'!G$6)), 0)</f>
        <v>0</v>
      </c>
      <c r="I4" s="1">
        <f>IF((I$3&gt;0),(1000*('Data Entry'!H7/'Data Entry'!H$6)), 0)</f>
        <v>10.418023180101576</v>
      </c>
      <c r="J4" s="1">
        <f>IF((J$3&gt;0),(1000*('Data Entry'!I7/'Data Entry'!I$6)), 0)</f>
        <v>0</v>
      </c>
      <c r="K4" s="1">
        <f>IF((K$3&gt;0),(1000*('Data Entry'!J7/'Data Entry'!J$6)), 0)</f>
        <v>14.580092689106625</v>
      </c>
    </row>
    <row r="5" spans="2:11" ht="15" customHeight="1">
      <c r="B5" s="16" t="s">
        <v>9</v>
      </c>
      <c r="C5" s="1">
        <f>IF((C$3&gt;0),(1000*('Data Entry'!B8/'Data Entry'!B$6)), 0)</f>
        <v>18.612611594986348</v>
      </c>
      <c r="D5" s="1">
        <f>IF((D$3&gt;0),(1000*('Data Entry'!C8/'Data Entry'!C$6)), 0)</f>
        <v>10.411379695382184</v>
      </c>
      <c r="E5" s="1">
        <f>IF((E$3&gt;0),(1000*('Data Entry'!D8/'Data Entry'!D$6)), 0)</f>
        <v>26.812852800694746</v>
      </c>
      <c r="F5" s="1">
        <f>IF((F$3&gt;0),(1000*('Data Entry'!E8/'Data Entry'!E$6)), 0)</f>
        <v>6.1542913105413106</v>
      </c>
      <c r="G5" s="1">
        <f>IF((G$3&gt;0),(1000*('Data Entry'!F8/'Data Entry'!F$6)), 0)</f>
        <v>1.9371941272430668</v>
      </c>
      <c r="H5" s="1">
        <f>IF((H$3&gt;0),(1000*('Data Entry'!G8/'Data Entry'!G$6)), 0)</f>
        <v>0</v>
      </c>
      <c r="I5" s="1">
        <f>IF((I$3&gt;0),(1000*('Data Entry'!H8/'Data Entry'!H$6)), 0)</f>
        <v>12.76207839562443</v>
      </c>
      <c r="J5" s="1">
        <f>IF((J$3&gt;0),(1000*('Data Entry'!I8/'Data Entry'!I$6)), 0)</f>
        <v>0</v>
      </c>
      <c r="K5" s="1">
        <f>IF((K$3&gt;0),(1000*('Data Entry'!J8/'Data Entry'!J$6)), 0)</f>
        <v>19.455090684584423</v>
      </c>
    </row>
    <row r="6" spans="2:11" ht="15" customHeight="1">
      <c r="B6" s="16" t="s">
        <v>10</v>
      </c>
      <c r="C6" s="1">
        <f>IF((C$3&gt;0),(1000*('Data Entry'!B9/'Data Entry'!B$6)), 0)</f>
        <v>3.4572762149885228</v>
      </c>
      <c r="D6" s="1">
        <f>IF((D$3&gt;0),(1000*('Data Entry'!C9/'Data Entry'!C$6)), 0)</f>
        <v>2.2655821295589327</v>
      </c>
      <c r="E6" s="1">
        <f>IF((E$3&gt;0),(1000*('Data Entry'!D9/'Data Entry'!D$6)), 0)</f>
        <v>7.6273510524030437</v>
      </c>
      <c r="F6" s="1">
        <f>IF((F$3&gt;0),(1000*('Data Entry'!E9/'Data Entry'!E$6)), 0)</f>
        <v>1.7472400284900285</v>
      </c>
      <c r="G6" s="1">
        <f>IF((G$3&gt;0),(1000*('Data Entry'!F9/'Data Entry'!F$6)), 0)</f>
        <v>0.56076672104404568</v>
      </c>
      <c r="H6" s="1">
        <f>IF((H$3&gt;0),(1000*('Data Entry'!G9/'Data Entry'!G$6)), 0)</f>
        <v>0</v>
      </c>
      <c r="I6" s="1">
        <f>IF((I$3&gt;0),(1000*('Data Entry'!H9/'Data Entry'!H$6)), 0)</f>
        <v>2.0836046360203153</v>
      </c>
      <c r="J6" s="1">
        <f>IF((J$3&gt;0),(1000*('Data Entry'!I9/'Data Entry'!I$6)), 0)</f>
        <v>0</v>
      </c>
      <c r="K6" s="1">
        <f>IF((K$3&gt;0),(1000*('Data Entry'!J9/'Data Entry'!J$6)), 0)</f>
        <v>5.5196523356692699</v>
      </c>
    </row>
    <row r="7" spans="2:11" ht="15" customHeight="1">
      <c r="B7" s="16" t="s">
        <v>11</v>
      </c>
      <c r="C7" s="1">
        <f>IF((C$3&gt;0),(1000*('Data Entry'!B10/'Data Entry'!B$6)), 0)</f>
        <v>2.8713142894026618</v>
      </c>
      <c r="D7" s="1">
        <f>IF((D$3&gt;0),(1000*('Data Entry'!C10/'Data Entry'!C$6)), 0)</f>
        <v>1.2946183597479615</v>
      </c>
      <c r="E7" s="1">
        <f>IF((E$3&gt;0),(1000*('Data Entry'!D10/'Data Entry'!D$6)), 0)</f>
        <v>8.0558539205155757</v>
      </c>
      <c r="F7" s="1">
        <f>IF((F$3&gt;0),(1000*('Data Entry'!E10/'Data Entry'!E$6)), 0)</f>
        <v>2.0477207977207978</v>
      </c>
      <c r="G7" s="1">
        <f>IF((G$3&gt;0),(1000*('Data Entry'!F10/'Data Entry'!F$6)), 0)</f>
        <v>0.45880913539967377</v>
      </c>
      <c r="H7" s="1">
        <f>IF((H$3&gt;0),(1000*('Data Entry'!G10/'Data Entry'!G$6)), 0)</f>
        <v>0</v>
      </c>
      <c r="I7" s="1">
        <f>IF((I$3&gt;0),(1000*('Data Entry'!H10/'Data Entry'!H$6)), 0)</f>
        <v>1.302252897512697</v>
      </c>
      <c r="J7" s="1">
        <f>IF((J$3&gt;0),(1000*('Data Entry'!I10/'Data Entry'!I$6)), 0)</f>
        <v>0</v>
      </c>
      <c r="K7" s="1">
        <f>IF((K$3&gt;0),(1000*('Data Entry'!J10/'Data Entry'!J$6)), 0)</f>
        <v>5.9141423050401709</v>
      </c>
    </row>
    <row r="8" spans="2:11" ht="15" customHeight="1">
      <c r="B8" s="16" t="s">
        <v>97</v>
      </c>
      <c r="C8" s="1">
        <f>IF((C$3&gt;0),(1000*('Data Entry'!B11/'Data Entry'!B$6)), 0)</f>
        <v>11.01527736875865</v>
      </c>
      <c r="D8" s="1">
        <f>IF((D$3&gt;0),(1000*('Data Entry'!C11/'Data Entry'!C$6)), 0)</f>
        <v>5.5389069596034934</v>
      </c>
      <c r="E8" s="1">
        <f>IF((E$3&gt;0),(1000*('Data Entry'!D11/'Data Entry'!D$6)), 0)</f>
        <v>15.586077656146445</v>
      </c>
      <c r="F8" s="1">
        <f>IF((F$3&gt;0),(1000*('Data Entry'!E11/'Data Entry'!E$6)), 0)</f>
        <v>4.3625356125356127</v>
      </c>
      <c r="G8" s="1">
        <f>IF((G$3&gt;0),(1000*('Data Entry'!F11/'Data Entry'!F$6)), 0)</f>
        <v>1.0705546492659055</v>
      </c>
      <c r="H8" s="1">
        <f>IF((H$3&gt;0),(1000*('Data Entry'!G11/'Data Entry'!G$6)), 0)</f>
        <v>0</v>
      </c>
      <c r="I8" s="1">
        <f>IF((I$3&gt;0),(1000*('Data Entry'!H11/'Data Entry'!H$6)), 0)</f>
        <v>9.6366714415939576</v>
      </c>
      <c r="J8" s="1">
        <f>IF((J$3&gt;0),(1000*('Data Entry'!I11/'Data Entry'!I$6)), 0)</f>
        <v>0</v>
      </c>
      <c r="K8" s="1">
        <f>IF((K$3&gt;0),(1000*('Data Entry'!J11/'Data Entry'!J$6)), 0)</f>
        <v>11.783383312753573</v>
      </c>
    </row>
    <row r="9" spans="2:11" ht="15" customHeight="1">
      <c r="B9" s="16" t="s">
        <v>13</v>
      </c>
      <c r="C9" s="1">
        <f>IF((C$3&gt;0),(1000*('Data Entry'!B12/'Data Entry'!B$6)), 0)</f>
        <v>5.0376588955273256</v>
      </c>
      <c r="D9" s="1">
        <f>IF((D$3&gt;0),(1000*('Data Entry'!C12/'Data Entry'!C$6)), 0)</f>
        <v>3.4336809677860702</v>
      </c>
      <c r="E9" s="1">
        <f>IF((E$3&gt;0),(1000*('Data Entry'!D12/'Data Entry'!D$6)), 0)</f>
        <v>9.2499485796558254</v>
      </c>
      <c r="F9" s="1">
        <f>IF((F$3&gt;0),(1000*('Data Entry'!E12/'Data Entry'!E$6)), 0)</f>
        <v>2.6486823361823362</v>
      </c>
      <c r="G9" s="1">
        <f>IF((G$3&gt;0),(1000*('Data Entry'!F12/'Data Entry'!F$6)), 0)</f>
        <v>0.61174551386623155</v>
      </c>
      <c r="H9" s="1">
        <f>IF((H$3&gt;0),(1000*('Data Entry'!G12/'Data Entry'!G$6)), 0)</f>
        <v>0</v>
      </c>
      <c r="I9" s="1">
        <f>IF((I$3&gt;0),(1000*('Data Entry'!H12/'Data Entry'!H$6)), 0)</f>
        <v>5.0787863002995177</v>
      </c>
      <c r="J9" s="1">
        <f>IF((J$3&gt;0),(1000*('Data Entry'!I12/'Data Entry'!I$6)), 0)</f>
        <v>0</v>
      </c>
      <c r="K9" s="1">
        <f>IF((K$3&gt;0),(1000*('Data Entry'!J12/'Data Entry'!J$6)), 0)</f>
        <v>6.8923491396590704</v>
      </c>
    </row>
    <row r="10" spans="2:11" ht="15" customHeight="1">
      <c r="B10" s="16" t="s">
        <v>14</v>
      </c>
      <c r="C10" s="1">
        <f>IF((C$3&gt;0),(1000*('Data Entry'!B13/'Data Entry'!B$6)), 0)</f>
        <v>5.009419766583429</v>
      </c>
      <c r="D10" s="1">
        <f>IF((D$3&gt;0),(1000*('Data Entry'!C13/'Data Entry'!C$6)), 0)</f>
        <v>3.6161044639323738</v>
      </c>
      <c r="E10" s="1">
        <f>IF((E$3&gt;0),(1000*('Data Entry'!D13/'Data Entry'!D$6)), 0)</f>
        <v>9.3984962406015029</v>
      </c>
      <c r="F10" s="1">
        <f>IF((F$3&gt;0),(1000*('Data Entry'!E13/'Data Entry'!E$6)), 0)</f>
        <v>2.4483618233618234</v>
      </c>
      <c r="G10" s="1">
        <f>IF((G$3&gt;0),(1000*('Data Entry'!F13/'Data Entry'!F$6)), 0)</f>
        <v>0.48429853181076671</v>
      </c>
      <c r="H10" s="1">
        <f>IF((H$3&gt;0),(1000*('Data Entry'!G13/'Data Entry'!G$6)), 0)</f>
        <v>0</v>
      </c>
      <c r="I10" s="1">
        <f>IF((I$3&gt;0),(1000*('Data Entry'!H13/'Data Entry'!H$6)), 0)</f>
        <v>5.3392368798020575</v>
      </c>
      <c r="J10" s="1">
        <f>IF((J$3&gt;0),(1000*('Data Entry'!I13/'Data Entry'!I$6)), 0)</f>
        <v>0</v>
      </c>
      <c r="K10" s="1">
        <f>IF((K$3&gt;0),(1000*('Data Entry'!J13/'Data Entry'!J$6)), 0)</f>
        <v>6.821789958145577</v>
      </c>
    </row>
    <row r="11" spans="2:11" ht="25.5" customHeight="1">
      <c r="B11" s="16" t="s">
        <v>15</v>
      </c>
      <c r="C11" s="1">
        <f>IF((C$3&gt;0),(1000*('Data Entry'!B14/'Data Entry'!B$6)), 0)</f>
        <v>0.96113892441192006</v>
      </c>
      <c r="D11" s="1">
        <f>IF((D$3&gt;0),(1000*('Data Entry'!C14/'Data Entry'!C$6)), 0)</f>
        <v>0.62229950701521319</v>
      </c>
      <c r="E11" s="1">
        <f>IF((E$3&gt;0),(1000*('Data Entry'!D14/'Data Entry'!D$6)), 0)</f>
        <v>1.9025527344196356</v>
      </c>
      <c r="F11" s="1">
        <f>IF((F$3&gt;0),(1000*('Data Entry'!E14/'Data Entry'!E$6)), 0)</f>
        <v>0.11128917378917379</v>
      </c>
      <c r="G11" s="1">
        <f>IF((G$3&gt;0),(1000*('Data Entry'!F14/'Data Entry'!F$6)), 0)</f>
        <v>0.3823409461663948</v>
      </c>
      <c r="H11" s="1">
        <f>IF((H$3&gt;0),(1000*('Data Entry'!G14/'Data Entry'!G$6)), 0)</f>
        <v>0</v>
      </c>
      <c r="I11" s="1">
        <f>IF((I$3&gt;0),(1000*('Data Entry'!H14/'Data Entry'!H$6)), 0)</f>
        <v>0.91157702825888787</v>
      </c>
      <c r="J11" s="1">
        <f>IF((J$3&gt;0),(1000*('Data Entry'!I14/'Data Entry'!I$6)), 0)</f>
        <v>0</v>
      </c>
      <c r="K11" s="1">
        <f>IF((K$3&gt;0),(1000*('Data Entry'!J14/'Data Entry'!J$6)), 0)</f>
        <v>1.2732725027662408</v>
      </c>
    </row>
    <row r="12" spans="2:11" ht="15" customHeight="1">
      <c r="B12" s="16" t="s">
        <v>16</v>
      </c>
      <c r="C12" s="1">
        <f>IF((C$3&gt;0),(1000*('Data Entry'!B15/'Data Entry'!B$6)), 0)</f>
        <v>4.0341612776995599E-2</v>
      </c>
      <c r="D12" s="1">
        <f>IF((D$3&gt;0),(1000*('Data Entry'!C15/'Data Entry'!C$6)), 0)</f>
        <v>4.4134716809589589E-3</v>
      </c>
      <c r="E12" s="1">
        <f>IF((E$3&gt;0),(1000*('Data Entry'!D15/'Data Entry'!D$6)), 0)</f>
        <v>0.15426103252051102</v>
      </c>
      <c r="F12" s="1">
        <f>IF((F$3&gt;0),(1000*('Data Entry'!E15/'Data Entry'!E$6)), 0)</f>
        <v>4.4515669515669515E-2</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0.10583877227024166</v>
      </c>
    </row>
    <row r="13" spans="2:11" ht="15.75" customHeight="1">
      <c r="B13" s="16"/>
    </row>
    <row r="14" spans="2:11" ht="15" customHeight="1">
      <c r="B14" s="215" t="s">
        <v>100</v>
      </c>
      <c r="C14" s="216"/>
      <c r="D14" s="216"/>
      <c r="E14" s="216"/>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All Reporting Counties</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3.7771778676669685</v>
      </c>
      <c r="E19" s="72">
        <f t="shared" si="1"/>
        <v>0.46593110256660464</v>
      </c>
      <c r="F19" s="72">
        <f t="shared" si="1"/>
        <v>0.18259341057913819</v>
      </c>
      <c r="G19" s="72" t="str">
        <f t="shared" si="1"/>
        <v>--</v>
      </c>
      <c r="H19" s="72">
        <f t="shared" si="1"/>
        <v>1.6584346188226475</v>
      </c>
      <c r="I19" s="72" t="str">
        <f t="shared" si="1"/>
        <v>--</v>
      </c>
      <c r="J19" s="73">
        <f t="shared" si="1"/>
        <v>2.3209902726499463</v>
      </c>
    </row>
    <row r="20" spans="2:10" ht="15" customHeight="1">
      <c r="B20" s="71" t="s">
        <v>9</v>
      </c>
      <c r="C20" s="72">
        <f t="shared" ref="C20:J27" si="2">IF(AND(($D5&gt;0),(D5&gt;0)), (D5/$D5),"--")</f>
        <v>1</v>
      </c>
      <c r="D20" s="72">
        <f t="shared" si="2"/>
        <v>2.5753409812329866</v>
      </c>
      <c r="E20" s="72">
        <f t="shared" si="2"/>
        <v>0.59111198425228473</v>
      </c>
      <c r="F20" s="72">
        <f t="shared" si="2"/>
        <v>0.18606507340254635</v>
      </c>
      <c r="G20" s="72" t="str">
        <f t="shared" si="2"/>
        <v>--</v>
      </c>
      <c r="H20" s="72">
        <f t="shared" si="2"/>
        <v>1.2257816705392912</v>
      </c>
      <c r="I20" s="72" t="str">
        <f t="shared" si="2"/>
        <v>--</v>
      </c>
      <c r="J20" s="73">
        <f t="shared" si="2"/>
        <v>1.8686371310820069</v>
      </c>
    </row>
    <row r="21" spans="2:10" ht="15" customHeight="1">
      <c r="B21" s="71" t="s">
        <v>10</v>
      </c>
      <c r="C21" s="72">
        <f t="shared" si="2"/>
        <v>1</v>
      </c>
      <c r="D21" s="72">
        <f t="shared" si="2"/>
        <v>3.3666186508488876</v>
      </c>
      <c r="E21" s="72">
        <f t="shared" si="2"/>
        <v>0.77121019171800409</v>
      </c>
      <c r="F21" s="72">
        <f t="shared" si="2"/>
        <v>0.24751551211838729</v>
      </c>
      <c r="G21" s="72" t="str">
        <f t="shared" si="2"/>
        <v>--</v>
      </c>
      <c r="H21" s="72">
        <f t="shared" si="2"/>
        <v>0.91967737952892259</v>
      </c>
      <c r="I21" s="72" t="str">
        <f t="shared" si="2"/>
        <v>--</v>
      </c>
      <c r="J21" s="73">
        <f t="shared" si="2"/>
        <v>2.4363064413576767</v>
      </c>
    </row>
    <row r="22" spans="2:10" ht="15" customHeight="1">
      <c r="B22" s="71" t="s">
        <v>11</v>
      </c>
      <c r="C22" s="72">
        <f t="shared" si="2"/>
        <v>1</v>
      </c>
      <c r="D22" s="72">
        <f t="shared" si="2"/>
        <v>6.2225704276926086</v>
      </c>
      <c r="E22" s="72">
        <f t="shared" si="2"/>
        <v>1.581717718045843</v>
      </c>
      <c r="F22" s="72">
        <f t="shared" si="2"/>
        <v>0.35439721053314549</v>
      </c>
      <c r="G22" s="72" t="str">
        <f t="shared" si="2"/>
        <v>--</v>
      </c>
      <c r="H22" s="72">
        <f t="shared" si="2"/>
        <v>1.0058971338597591</v>
      </c>
      <c r="I22" s="72" t="str">
        <f t="shared" si="2"/>
        <v>--</v>
      </c>
      <c r="J22" s="73">
        <f t="shared" si="2"/>
        <v>4.5682515318194206</v>
      </c>
    </row>
    <row r="23" spans="2:10" ht="15" customHeight="1">
      <c r="B23" s="71" t="s">
        <v>97</v>
      </c>
      <c r="C23" s="72">
        <f t="shared" si="2"/>
        <v>1</v>
      </c>
      <c r="D23" s="72">
        <f t="shared" si="2"/>
        <v>2.8139266049816776</v>
      </c>
      <c r="E23" s="72">
        <f t="shared" si="2"/>
        <v>0.78761669844837179</v>
      </c>
      <c r="F23" s="72">
        <f t="shared" si="2"/>
        <v>0.19327904531953755</v>
      </c>
      <c r="G23" s="72" t="str">
        <f t="shared" si="2"/>
        <v>--</v>
      </c>
      <c r="H23" s="72">
        <f t="shared" si="2"/>
        <v>1.7398146442748346</v>
      </c>
      <c r="I23" s="72" t="str">
        <f t="shared" si="2"/>
        <v>--</v>
      </c>
      <c r="J23" s="73">
        <f t="shared" si="2"/>
        <v>2.127384229179595</v>
      </c>
    </row>
    <row r="24" spans="2:10" ht="15" customHeight="1">
      <c r="B24" s="71" t="s">
        <v>13</v>
      </c>
      <c r="C24" s="72">
        <f t="shared" si="2"/>
        <v>1</v>
      </c>
      <c r="D24" s="72">
        <f t="shared" si="2"/>
        <v>2.6938870170049323</v>
      </c>
      <c r="E24" s="72">
        <f t="shared" si="2"/>
        <v>0.77138276998696342</v>
      </c>
      <c r="F24" s="72">
        <f t="shared" si="2"/>
        <v>0.17816026579215538</v>
      </c>
      <c r="G24" s="72" t="str">
        <f t="shared" si="2"/>
        <v>--</v>
      </c>
      <c r="H24" s="72">
        <f t="shared" si="2"/>
        <v>1.4791083819223192</v>
      </c>
      <c r="I24" s="72" t="str">
        <f t="shared" si="2"/>
        <v>--</v>
      </c>
      <c r="J24" s="73">
        <f t="shared" si="2"/>
        <v>2.0072770896077281</v>
      </c>
    </row>
    <row r="25" spans="2:10" ht="15" customHeight="1">
      <c r="B25" s="71" t="s">
        <v>14</v>
      </c>
      <c r="C25" s="72">
        <f t="shared" si="2"/>
        <v>1</v>
      </c>
      <c r="D25" s="72">
        <f t="shared" si="2"/>
        <v>2.5990665740837038</v>
      </c>
      <c r="E25" s="72">
        <f t="shared" si="2"/>
        <v>0.67707165204495356</v>
      </c>
      <c r="F25" s="72">
        <f t="shared" si="2"/>
        <v>0.13392824699652364</v>
      </c>
      <c r="G25" s="72" t="str">
        <f t="shared" si="2"/>
        <v>--</v>
      </c>
      <c r="H25" s="72">
        <f t="shared" si="2"/>
        <v>1.4765162160154643</v>
      </c>
      <c r="I25" s="72" t="str">
        <f t="shared" si="2"/>
        <v>--</v>
      </c>
      <c r="J25" s="73">
        <f t="shared" si="2"/>
        <v>1.8865024575996745</v>
      </c>
    </row>
    <row r="26" spans="2:10" ht="25.5" customHeight="1">
      <c r="B26" s="71" t="s">
        <v>15</v>
      </c>
      <c r="C26" s="72">
        <f t="shared" si="2"/>
        <v>1</v>
      </c>
      <c r="D26" s="72">
        <f t="shared" si="2"/>
        <v>3.0572942979579194</v>
      </c>
      <c r="E26" s="72">
        <f t="shared" si="2"/>
        <v>0.17883538799983836</v>
      </c>
      <c r="F26" s="72">
        <f t="shared" si="2"/>
        <v>0.61440020738606793</v>
      </c>
      <c r="G26" s="72" t="str">
        <f t="shared" si="2"/>
        <v>--</v>
      </c>
      <c r="H26" s="72">
        <f t="shared" si="2"/>
        <v>1.4648525637295784</v>
      </c>
      <c r="I26" s="72" t="str">
        <f t="shared" si="2"/>
        <v>--</v>
      </c>
      <c r="J26" s="73">
        <f t="shared" si="2"/>
        <v>2.0460766695338446</v>
      </c>
    </row>
    <row r="27" spans="2:10" ht="15" customHeight="1">
      <c r="B27" s="71" t="s">
        <v>16</v>
      </c>
      <c r="C27" s="72">
        <f t="shared" si="2"/>
        <v>1</v>
      </c>
      <c r="D27" s="72">
        <f t="shared" si="2"/>
        <v>34.952310487464864</v>
      </c>
      <c r="E27" s="72">
        <f t="shared" si="2"/>
        <v>10.086315883190883</v>
      </c>
      <c r="F27" s="72" t="str">
        <f t="shared" si="2"/>
        <v>--</v>
      </c>
      <c r="G27" s="72" t="str">
        <f t="shared" si="2"/>
        <v>--</v>
      </c>
      <c r="H27" s="72" t="str">
        <f t="shared" si="2"/>
        <v>--</v>
      </c>
      <c r="I27" s="72" t="str">
        <f t="shared" si="2"/>
        <v>--</v>
      </c>
      <c r="J27" s="73">
        <f t="shared" si="2"/>
        <v>23.980843182219086</v>
      </c>
    </row>
    <row r="28" spans="2:10" ht="15" customHeight="1">
      <c r="B28" s="85" t="s">
        <v>98</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t="str">
        <f>'Black or African-American'!B16</f>
        <v>release 10/17/05</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101</v>
      </c>
    </row>
    <row r="4" spans="1:10" ht="103.5" customHeight="1">
      <c r="A4" s="172" t="s">
        <v>102</v>
      </c>
      <c r="B4" s="172"/>
      <c r="C4" s="172"/>
      <c r="D4" s="172"/>
      <c r="E4" s="172"/>
      <c r="F4" s="172"/>
      <c r="G4" s="172"/>
      <c r="H4" s="172"/>
      <c r="I4" s="172"/>
      <c r="J4" s="172"/>
    </row>
    <row r="6" spans="1:10" ht="15" customHeight="1">
      <c r="A6" s="1" t="s">
        <v>103</v>
      </c>
      <c r="B6" s="1">
        <v>0.05</v>
      </c>
    </row>
    <row r="7" spans="1:10" ht="15" hidden="1" customHeight="1">
      <c r="D7" s="21">
        <f>IF(B6=0.01,6.636,IF(B6=0.1,2.706,3.841))</f>
        <v>3.8410000000000002</v>
      </c>
      <c r="E7" s="21" t="s">
        <v>104</v>
      </c>
      <c r="F7" s="21"/>
    </row>
    <row r="8" spans="1:10" ht="15" customHeight="1">
      <c r="D8" s="21"/>
      <c r="E8" s="21"/>
      <c r="F8" s="21"/>
    </row>
    <row r="9" spans="1:10" ht="15.75" customHeight="1">
      <c r="A9" s="89" t="s">
        <v>105</v>
      </c>
    </row>
    <row r="10" spans="1:10" ht="85.5" customHeight="1">
      <c r="A10" s="217" t="s">
        <v>106</v>
      </c>
      <c r="B10" s="217"/>
      <c r="C10" s="217"/>
      <c r="D10" s="217"/>
      <c r="E10" s="217"/>
      <c r="F10" s="217"/>
      <c r="G10" s="217"/>
      <c r="H10" s="217"/>
      <c r="I10" s="217"/>
      <c r="J10" s="217"/>
    </row>
    <row r="11" spans="1:10" ht="15.75" customHeight="1">
      <c r="A11" s="90"/>
    </row>
    <row r="12" spans="1:10" ht="15.75" customHeight="1">
      <c r="A12" s="90" t="s">
        <v>107</v>
      </c>
      <c r="B12" s="57">
        <v>5</v>
      </c>
    </row>
    <row r="13" spans="1:10" ht="15.75" customHeight="1">
      <c r="A13" s="90" t="s">
        <v>108</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1"/>
  <sheetViews>
    <sheetView showGridLines="0" tabSelected="1" zoomScaleNormal="100" workbookViewId="0">
      <selection activeCell="C10" sqref="C10"/>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4" t="s">
        <v>123</v>
      </c>
      <c r="C2" s="175"/>
      <c r="D2" s="175"/>
      <c r="E2" s="175"/>
      <c r="F2" s="175"/>
      <c r="G2" s="175"/>
      <c r="H2" s="175"/>
      <c r="I2" s="175"/>
      <c r="J2" s="175"/>
      <c r="K2" s="175"/>
      <c r="L2" s="175"/>
      <c r="M2" s="175"/>
      <c r="N2" s="175"/>
      <c r="O2" s="175"/>
      <c r="P2" s="175"/>
      <c r="Q2" s="176"/>
    </row>
    <row r="3" spans="2:26" s="1" customFormat="1" ht="19.5" thickTop="1">
      <c r="B3" s="95" t="str">
        <f>'Data Entry'!A2</f>
        <v>State: Michigan</v>
      </c>
      <c r="C3" s="93"/>
      <c r="D3" s="93"/>
      <c r="E3" s="93"/>
      <c r="F3" s="93"/>
      <c r="G3" s="93"/>
      <c r="H3" s="93"/>
      <c r="I3" s="93"/>
      <c r="J3" s="93"/>
      <c r="K3" s="93"/>
      <c r="L3" s="93"/>
      <c r="M3" s="93"/>
      <c r="N3" s="182" t="str">
        <f>'Data Entry'!C3</f>
        <v xml:space="preserve">Reporting Period:  </v>
      </c>
      <c r="O3" s="183"/>
      <c r="P3" s="183"/>
      <c r="Q3" s="184"/>
      <c r="R3"/>
    </row>
    <row r="4" spans="2:26" s="1" customFormat="1" ht="19.5" thickBot="1">
      <c r="B4" s="99" t="str">
        <f>'Data Entry'!A3</f>
        <v>All Reporting Counties</v>
      </c>
      <c r="C4" s="100"/>
      <c r="D4" s="100"/>
      <c r="E4" s="100"/>
      <c r="F4" s="100"/>
      <c r="G4" s="100"/>
      <c r="H4" s="100"/>
      <c r="I4" s="100"/>
      <c r="J4" s="100"/>
      <c r="K4" s="100"/>
      <c r="L4" s="100"/>
      <c r="M4" s="100"/>
      <c r="N4" s="179" t="str">
        <f>'Data Entry'!C4</f>
        <v>10/1/23 through 9/30/24</v>
      </c>
      <c r="O4" s="180"/>
      <c r="P4" s="180"/>
      <c r="Q4" s="181"/>
      <c r="R4"/>
    </row>
    <row r="5" spans="2:26" s="8" customFormat="1" ht="71.25" customHeight="1">
      <c r="B5" s="97"/>
      <c r="C5" s="166" t="s">
        <v>3</v>
      </c>
      <c r="D5" s="177" t="str">
        <f>'Black or African-American'!$F$1</f>
        <v>Black or African American</v>
      </c>
      <c r="E5" s="178"/>
      <c r="F5" s="177" t="str">
        <f>Hispanic!F1</f>
        <v>Hispanic or Latino</v>
      </c>
      <c r="G5" s="178"/>
      <c r="H5" s="177" t="str">
        <f>Asian!F1</f>
        <v>Asian</v>
      </c>
      <c r="I5" s="178"/>
      <c r="J5" s="177" t="str">
        <f>Hawaiian!F1</f>
        <v>Native Hawaiian or Other Pacific Islanders</v>
      </c>
      <c r="K5" s="178"/>
      <c r="L5" s="177" t="str">
        <f>'Data Entry'!H5</f>
        <v>American Indian or Alaska Native</v>
      </c>
      <c r="M5" s="178"/>
      <c r="N5" s="177" t="str">
        <f>'Data Entry'!I5</f>
        <v>Biracial or Other</v>
      </c>
      <c r="O5" s="178"/>
      <c r="P5" s="177" t="str">
        <f>'Data Entry'!J5</f>
        <v>All Minorities</v>
      </c>
      <c r="Q5" s="185"/>
      <c r="T5" s="69"/>
      <c r="U5" s="69"/>
      <c r="V5" s="69"/>
      <c r="W5" s="69"/>
    </row>
    <row r="6" spans="2:26" s="8" customFormat="1" ht="18" customHeight="1">
      <c r="B6" s="156" t="s">
        <v>121</v>
      </c>
      <c r="C6" s="144" t="s">
        <v>119</v>
      </c>
      <c r="D6" s="145" t="s">
        <v>119</v>
      </c>
      <c r="E6" s="146" t="s">
        <v>120</v>
      </c>
      <c r="F6" s="145" t="s">
        <v>119</v>
      </c>
      <c r="G6" s="146" t="s">
        <v>120</v>
      </c>
      <c r="H6" s="145" t="s">
        <v>119</v>
      </c>
      <c r="I6" s="146" t="s">
        <v>120</v>
      </c>
      <c r="J6" s="145" t="s">
        <v>119</v>
      </c>
      <c r="K6" s="146" t="s">
        <v>120</v>
      </c>
      <c r="L6" s="145" t="s">
        <v>119</v>
      </c>
      <c r="M6" s="146" t="s">
        <v>120</v>
      </c>
      <c r="N6" s="145" t="s">
        <v>119</v>
      </c>
      <c r="O6" s="146" t="s">
        <v>120</v>
      </c>
      <c r="P6" s="145" t="s">
        <v>119</v>
      </c>
      <c r="Q6" s="147" t="s">
        <v>120</v>
      </c>
    </row>
    <row r="7" spans="2:26" s="8" customFormat="1" ht="18" customHeight="1">
      <c r="B7" s="141" t="str">
        <f>'Data Entry'!A6</f>
        <v xml:space="preserve">1. Population at Risk (age 10-17) </v>
      </c>
      <c r="C7" s="101">
        <f>'Data Entry'!C6</f>
        <v>679737</v>
      </c>
      <c r="D7" s="102">
        <f>'Data Entry'!D6</f>
        <v>175028</v>
      </c>
      <c r="E7" s="103"/>
      <c r="F7" s="104">
        <f>'Data Entry'!E6</f>
        <v>89856</v>
      </c>
      <c r="G7" s="103"/>
      <c r="H7" s="104">
        <f>'Data Entry'!F6</f>
        <v>39232</v>
      </c>
      <c r="I7" s="103"/>
      <c r="J7" s="104">
        <f>'Data Entry'!G6</f>
        <v>0</v>
      </c>
      <c r="K7" s="103"/>
      <c r="L7" s="104">
        <f>'Data Entry'!H6</f>
        <v>7679</v>
      </c>
      <c r="M7" s="103"/>
      <c r="N7" s="104">
        <f>'Data Entry'!I6</f>
        <v>0</v>
      </c>
      <c r="O7" s="103"/>
      <c r="P7" s="104">
        <f>'Data Entry'!J6</f>
        <v>311795</v>
      </c>
      <c r="Q7" s="105"/>
    </row>
    <row r="8" spans="2:26" s="1" customFormat="1" ht="15" customHeight="1">
      <c r="B8" s="141" t="str">
        <f>'Data Entry'!A7</f>
        <v>2. Juvenile Arrests</v>
      </c>
      <c r="C8" s="101">
        <f>'Data Entry'!C7</f>
        <v>4270</v>
      </c>
      <c r="D8" s="102">
        <f>'Data Entry'!D7</f>
        <v>4153</v>
      </c>
      <c r="E8" s="103">
        <f>'Black or African-American'!$G7</f>
        <v>3.7771778676669676</v>
      </c>
      <c r="F8" s="104">
        <f>'Data Entry'!E7</f>
        <v>263</v>
      </c>
      <c r="G8" s="103">
        <f>Hispanic!G7</f>
        <v>0.46593110256660458</v>
      </c>
      <c r="H8" s="104">
        <f>'Data Entry'!F7</f>
        <v>45</v>
      </c>
      <c r="I8" s="103">
        <f>Asian!G7</f>
        <v>0.18259341057913817</v>
      </c>
      <c r="J8" s="104">
        <f>'Data Entry'!G7</f>
        <v>5</v>
      </c>
      <c r="K8" s="103" t="str">
        <f>Hawaiian!G7</f>
        <v>*</v>
      </c>
      <c r="L8" s="104">
        <f>'Data Entry'!H7</f>
        <v>80</v>
      </c>
      <c r="M8" s="103" t="str">
        <f>'Am Indian'!G7</f>
        <v>*</v>
      </c>
      <c r="N8" s="104">
        <f>'Data Entry'!I7</f>
        <v>0</v>
      </c>
      <c r="O8" s="103" t="str">
        <f>'Other - Mixed'!G7</f>
        <v>*</v>
      </c>
      <c r="P8" s="104">
        <f>'Data Entry'!J7</f>
        <v>4546</v>
      </c>
      <c r="Q8" s="105">
        <f>'All Minorities'!G7</f>
        <v>2.3209902726499454</v>
      </c>
      <c r="R8"/>
      <c r="T8" s="1">
        <f>'Black or African-American'!L7</f>
        <v>1</v>
      </c>
      <c r="U8" s="1">
        <f>Hispanic!L7</f>
        <v>1</v>
      </c>
      <c r="V8" s="1">
        <f>Asian!L7</f>
        <v>1</v>
      </c>
      <c r="W8" s="1" t="e">
        <f>Hawaiian!L7</f>
        <v>#DIV/0!</v>
      </c>
      <c r="X8" s="1">
        <f>'Am Indian'!L7</f>
        <v>100</v>
      </c>
      <c r="Y8" s="1" t="e">
        <f>'Other - Mixed'!L7</f>
        <v>#VALUE!</v>
      </c>
      <c r="Z8" s="1">
        <f>'All Minorities'!L7</f>
        <v>1</v>
      </c>
    </row>
    <row r="9" spans="2:26" s="1" customFormat="1" ht="15" customHeight="1">
      <c r="B9" s="140" t="s">
        <v>136</v>
      </c>
      <c r="C9" s="101">
        <f>'Data Entry'!C8</f>
        <v>7077</v>
      </c>
      <c r="D9" s="106">
        <f>'Data Entry'!D8</f>
        <v>4693</v>
      </c>
      <c r="E9" s="107">
        <f>'Black or African-American'!$G8</f>
        <v>0.68181617902566127</v>
      </c>
      <c r="F9" s="108">
        <f>'Data Entry'!E8</f>
        <v>553</v>
      </c>
      <c r="G9" s="107">
        <f>Hispanic!G8</f>
        <v>1.2686682236839633</v>
      </c>
      <c r="H9" s="108">
        <f>'Data Entry'!F8</f>
        <v>76</v>
      </c>
      <c r="I9" s="107">
        <f>Asian!G8</f>
        <v>1.0190130783602596</v>
      </c>
      <c r="J9" s="108">
        <f>'Data Entry'!G8</f>
        <v>4</v>
      </c>
      <c r="K9" s="107" t="str">
        <f>Hawaiian!G8</f>
        <v>*</v>
      </c>
      <c r="L9" s="108">
        <f>'Data Entry'!H8</f>
        <v>98</v>
      </c>
      <c r="M9" s="107" t="str">
        <f>'Am Indian'!G8</f>
        <v>*</v>
      </c>
      <c r="N9" s="108">
        <f>'Data Entry'!I8</f>
        <v>642</v>
      </c>
      <c r="O9" s="107" t="str">
        <f>'Other - Mixed'!G8</f>
        <v>*</v>
      </c>
      <c r="P9" s="108">
        <f>'Data Entry'!J8</f>
        <v>6066</v>
      </c>
      <c r="Q9" s="109">
        <f>'All Minorities'!G8</f>
        <v>0.80510338759348887</v>
      </c>
      <c r="R9"/>
      <c r="T9" s="1">
        <f>'Black or African-American'!L8</f>
        <v>1</v>
      </c>
      <c r="U9" s="1">
        <f>Hispanic!L8</f>
        <v>1</v>
      </c>
      <c r="V9" s="1">
        <f>Asian!L8</f>
        <v>2</v>
      </c>
      <c r="W9" s="1">
        <f>Hawaiian!L8</f>
        <v>139</v>
      </c>
      <c r="X9" s="1">
        <f>'Am Indian'!L8</f>
        <v>100</v>
      </c>
      <c r="Y9" s="1">
        <f>'Other - Mixed'!L8</f>
        <v>119</v>
      </c>
      <c r="Z9" s="1">
        <f>'All Minorities'!L8</f>
        <v>1</v>
      </c>
    </row>
    <row r="10" spans="2:26" s="1" customFormat="1" ht="15" customHeight="1">
      <c r="B10" s="140" t="s">
        <v>10</v>
      </c>
      <c r="C10" s="101">
        <f>'Data Entry'!C9</f>
        <v>1540</v>
      </c>
      <c r="D10" s="110">
        <f>'Data Entry'!D9</f>
        <v>1335</v>
      </c>
      <c r="E10" s="111">
        <f>'Black or African-American'!$G9</f>
        <v>1.3072516126532747</v>
      </c>
      <c r="F10" s="112">
        <f>'Data Entry'!E9</f>
        <v>157</v>
      </c>
      <c r="G10" s="111">
        <f>Hispanic!G9</f>
        <v>1.3046769686010191</v>
      </c>
      <c r="H10" s="112">
        <f>'Data Entry'!F9</f>
        <v>22</v>
      </c>
      <c r="I10" s="111">
        <f>Asian!G9</f>
        <v>1.3302631578947368</v>
      </c>
      <c r="J10" s="112">
        <f>'Data Entry'!G9</f>
        <v>1</v>
      </c>
      <c r="K10" s="111" t="str">
        <f>Hawaiian!G9</f>
        <v>*</v>
      </c>
      <c r="L10" s="112">
        <f>'Data Entry'!H9</f>
        <v>16</v>
      </c>
      <c r="M10" s="111" t="str">
        <f>'Am Indian'!G9</f>
        <v>*</v>
      </c>
      <c r="N10" s="112">
        <f>'Data Entry'!I9</f>
        <v>190</v>
      </c>
      <c r="O10" s="111" t="str">
        <f>'Other - Mixed'!G9</f>
        <v>*</v>
      </c>
      <c r="P10" s="112">
        <f>'Data Entry'!J9</f>
        <v>1721</v>
      </c>
      <c r="Q10" s="113">
        <f>'All Minorities'!G9</f>
        <v>1.3037878787878787</v>
      </c>
      <c r="R10"/>
      <c r="T10" s="1">
        <f>'Black or African-American'!L9</f>
        <v>1</v>
      </c>
      <c r="U10" s="1">
        <f>Hispanic!L9</f>
        <v>1</v>
      </c>
      <c r="V10" s="1">
        <f>Asian!L9</f>
        <v>2</v>
      </c>
      <c r="W10" s="1">
        <f>Hawaiian!L9</f>
        <v>139</v>
      </c>
      <c r="X10" s="1">
        <f>'Am Indian'!L9</f>
        <v>101</v>
      </c>
      <c r="Y10" s="1">
        <f>'Other - Mixed'!L9</f>
        <v>100</v>
      </c>
      <c r="Z10" s="1">
        <f>'All Minorities'!L9</f>
        <v>1</v>
      </c>
    </row>
    <row r="11" spans="2:26" s="1" customFormat="1" ht="15" customHeight="1">
      <c r="B11" s="140" t="s">
        <v>11</v>
      </c>
      <c r="C11" s="101">
        <f>'Data Entry'!C10</f>
        <v>880</v>
      </c>
      <c r="D11" s="106">
        <f>'Data Entry'!D10</f>
        <v>1410</v>
      </c>
      <c r="E11" s="107">
        <f>'Black or African-American'!$G10</f>
        <v>2.4162122503535244</v>
      </c>
      <c r="F11" s="108">
        <f>'Data Entry'!E10</f>
        <v>184</v>
      </c>
      <c r="G11" s="107">
        <f>Hispanic!G10</f>
        <v>2.6758342922899883</v>
      </c>
      <c r="H11" s="108">
        <f>'Data Entry'!F10</f>
        <v>18</v>
      </c>
      <c r="I11" s="107">
        <f>Asian!G10</f>
        <v>1.9046949760765548</v>
      </c>
      <c r="J11" s="108">
        <f>'Data Entry'!G10</f>
        <v>0</v>
      </c>
      <c r="K11" s="107" t="str">
        <f>Hawaiian!G10</f>
        <v>*</v>
      </c>
      <c r="L11" s="108">
        <f>'Data Entry'!H10</f>
        <v>10</v>
      </c>
      <c r="M11" s="107" t="str">
        <f>'Am Indian'!G10</f>
        <v>*</v>
      </c>
      <c r="N11" s="108">
        <f>'Data Entry'!I10</f>
        <v>222</v>
      </c>
      <c r="O11" s="107" t="str">
        <f>'Other - Mixed'!G10</f>
        <v>*</v>
      </c>
      <c r="P11" s="108">
        <f>'Data Entry'!J10</f>
        <v>1844</v>
      </c>
      <c r="Q11" s="109">
        <f>'All Minorities'!G10</f>
        <v>2.4446969696969698</v>
      </c>
      <c r="R11"/>
      <c r="T11" s="1">
        <f>'Black or African-American'!L10</f>
        <v>1</v>
      </c>
      <c r="U11" s="1">
        <f>Hispanic!L10</f>
        <v>1</v>
      </c>
      <c r="V11" s="1">
        <f>Asian!L10</f>
        <v>1</v>
      </c>
      <c r="W11" s="1">
        <f>Hawaiian!L10</f>
        <v>139</v>
      </c>
      <c r="X11" s="1">
        <f>'Am Indian'!L10</f>
        <v>101</v>
      </c>
      <c r="Y11" s="1">
        <f>'Other - Mixed'!L10</f>
        <v>100</v>
      </c>
      <c r="Z11" s="1">
        <f>'All Minorities'!L10</f>
        <v>1</v>
      </c>
    </row>
    <row r="12" spans="2:26" s="1" customFormat="1" ht="15" customHeight="1">
      <c r="B12" s="140" t="s">
        <v>97</v>
      </c>
      <c r="C12" s="101">
        <f>'Data Entry'!C11</f>
        <v>3765</v>
      </c>
      <c r="D12" s="110">
        <f>'Data Entry'!D11</f>
        <v>2728</v>
      </c>
      <c r="E12" s="111">
        <f>'Black or African-American'!$G11</f>
        <v>1.0926423434750236</v>
      </c>
      <c r="F12" s="112">
        <f>'Data Entry'!E11</f>
        <v>392</v>
      </c>
      <c r="G12" s="111">
        <f>Hispanic!G11</f>
        <v>1.3324322961319277</v>
      </c>
      <c r="H12" s="112">
        <f>'Data Entry'!F11</f>
        <v>42</v>
      </c>
      <c r="I12" s="111">
        <f>Asian!G11</f>
        <v>1.0387712308660095</v>
      </c>
      <c r="J12" s="112">
        <f>'Data Entry'!G11</f>
        <v>2</v>
      </c>
      <c r="K12" s="111" t="str">
        <f>Hawaiian!G11</f>
        <v>*</v>
      </c>
      <c r="L12" s="112">
        <f>'Data Entry'!H11</f>
        <v>74</v>
      </c>
      <c r="M12" s="111" t="str">
        <f>'Am Indian'!G11</f>
        <v>*</v>
      </c>
      <c r="N12" s="112">
        <f>'Data Entry'!I11</f>
        <v>436</v>
      </c>
      <c r="O12" s="111" t="str">
        <f>'Other - Mixed'!G11</f>
        <v>*</v>
      </c>
      <c r="P12" s="112">
        <f>'Data Entry'!J11</f>
        <v>3674</v>
      </c>
      <c r="Q12" s="113">
        <f>'All Minorities'!G11</f>
        <v>1.1384683488269145</v>
      </c>
      <c r="R12"/>
      <c r="T12" s="1">
        <f>'Black or African-American'!L11</f>
        <v>1</v>
      </c>
      <c r="U12" s="1">
        <f>Hispanic!L11</f>
        <v>1</v>
      </c>
      <c r="V12" s="1">
        <f>Asian!L11</f>
        <v>2</v>
      </c>
      <c r="W12" s="1">
        <f>Hawaiian!L11</f>
        <v>139</v>
      </c>
      <c r="X12" s="1">
        <f>'Am Indian'!L11</f>
        <v>100</v>
      </c>
      <c r="Y12" s="1">
        <f>'Other - Mixed'!L11</f>
        <v>100</v>
      </c>
      <c r="Z12" s="1">
        <f>'All Minorities'!L11</f>
        <v>1</v>
      </c>
    </row>
    <row r="13" spans="2:26" s="1" customFormat="1" ht="15" customHeight="1">
      <c r="B13" s="140" t="s">
        <v>13</v>
      </c>
      <c r="C13" s="101">
        <f>'Data Entry'!C12</f>
        <v>2334</v>
      </c>
      <c r="D13" s="106">
        <f>'Data Entry'!D12</f>
        <v>1619</v>
      </c>
      <c r="E13" s="107">
        <f>'Black or African-American'!$G12</f>
        <v>0.95734089589819737</v>
      </c>
      <c r="F13" s="108">
        <f>'Data Entry'!E12</f>
        <v>238</v>
      </c>
      <c r="G13" s="107">
        <f>Hispanic!G12</f>
        <v>0.97938854204921044</v>
      </c>
      <c r="H13" s="108">
        <f>'Data Entry'!F12</f>
        <v>24</v>
      </c>
      <c r="I13" s="107">
        <f>Asian!G12</f>
        <v>0.92177745134043332</v>
      </c>
      <c r="J13" s="108">
        <f>'Data Entry'!G12</f>
        <v>1</v>
      </c>
      <c r="K13" s="107" t="str">
        <f>Hawaiian!G12</f>
        <v>*</v>
      </c>
      <c r="L13" s="108">
        <f>'Data Entry'!H12</f>
        <v>39</v>
      </c>
      <c r="M13" s="107" t="str">
        <f>'Am Indian'!G12</f>
        <v>*</v>
      </c>
      <c r="N13" s="108">
        <f>'Data Entry'!I12</f>
        <v>228</v>
      </c>
      <c r="O13" s="107" t="str">
        <f>'Other - Mixed'!G12</f>
        <v>*</v>
      </c>
      <c r="P13" s="108">
        <f>'Data Entry'!J12</f>
        <v>2149</v>
      </c>
      <c r="Q13" s="109">
        <f>'All Minorities'!G12</f>
        <v>0.94354233808615517</v>
      </c>
      <c r="R13"/>
      <c r="T13" s="1">
        <f>'Black or African-American'!L12</f>
        <v>1</v>
      </c>
      <c r="U13" s="1">
        <f>Hispanic!L12</f>
        <v>2</v>
      </c>
      <c r="V13" s="1">
        <f>Asian!L12</f>
        <v>2</v>
      </c>
      <c r="W13" s="1">
        <f>Hawaiian!L12</f>
        <v>139</v>
      </c>
      <c r="X13" s="1">
        <f>'Am Indian'!L12</f>
        <v>101</v>
      </c>
      <c r="Y13" s="1">
        <f>'Other - Mixed'!L12</f>
        <v>100</v>
      </c>
      <c r="Z13" s="1">
        <f>'All Minorities'!L12</f>
        <v>1</v>
      </c>
    </row>
    <row r="14" spans="2:26" s="1" customFormat="1" ht="15" customHeight="1">
      <c r="B14" s="140" t="s">
        <v>135</v>
      </c>
      <c r="C14" s="101">
        <f>'Data Entry'!C13</f>
        <v>2458</v>
      </c>
      <c r="D14" s="110">
        <f>'Data Entry'!D13</f>
        <v>1645</v>
      </c>
      <c r="E14" s="111">
        <f>'Black or African-American'!$G13</f>
        <v>0.96480162593208896</v>
      </c>
      <c r="F14" s="112">
        <f>'Data Entry'!E13</f>
        <v>220</v>
      </c>
      <c r="G14" s="111">
        <f>Hispanic!G13</f>
        <v>0.87773758811905556</v>
      </c>
      <c r="H14" s="112">
        <f>'Data Entry'!F13</f>
        <v>19</v>
      </c>
      <c r="I14" s="111" t="str">
        <f>Asian!G13</f>
        <v>**</v>
      </c>
      <c r="J14" s="112">
        <f>'Data Entry'!G13</f>
        <v>3</v>
      </c>
      <c r="K14" s="111" t="str">
        <f>Hawaiian!G13</f>
        <v>*</v>
      </c>
      <c r="L14" s="112">
        <f>'Data Entry'!H13</f>
        <v>41</v>
      </c>
      <c r="M14" s="111" t="str">
        <f>'Am Indian'!G13</f>
        <v>*</v>
      </c>
      <c r="N14" s="112">
        <f>'Data Entry'!I13</f>
        <v>199</v>
      </c>
      <c r="O14" s="111" t="str">
        <f>'Other - Mixed'!G13</f>
        <v>*</v>
      </c>
      <c r="P14" s="112">
        <f>'Data Entry'!J13</f>
        <v>2127</v>
      </c>
      <c r="Q14" s="113">
        <f>'All Minorities'!G13</f>
        <v>0.93983160938101673</v>
      </c>
      <c r="R14"/>
      <c r="T14" s="1">
        <f>'Black or African-American'!L13</f>
        <v>1</v>
      </c>
      <c r="U14" s="1">
        <f>Hispanic!L13</f>
        <v>1</v>
      </c>
      <c r="V14" s="1">
        <f>Asian!L13</f>
        <v>20</v>
      </c>
      <c r="W14" s="1">
        <f>Hawaiian!L13</f>
        <v>119</v>
      </c>
      <c r="X14" s="1">
        <f>'Am Indian'!L13</f>
        <v>101</v>
      </c>
      <c r="Y14" s="1">
        <f>'Other - Mixed'!L13</f>
        <v>100</v>
      </c>
      <c r="Z14" s="1">
        <f>'All Minorities'!L13</f>
        <v>1</v>
      </c>
    </row>
    <row r="15" spans="2:26" s="1" customFormat="1" ht="33">
      <c r="B15" s="142" t="s">
        <v>125</v>
      </c>
      <c r="C15" s="101">
        <f>'Data Entry'!C14</f>
        <v>423</v>
      </c>
      <c r="D15" s="106">
        <f>'Data Entry'!D14</f>
        <v>333</v>
      </c>
      <c r="E15" s="107">
        <f>'Black or African-American'!$G14</f>
        <v>1.1349007136004625</v>
      </c>
      <c r="F15" s="108">
        <f>'Data Entry'!E14</f>
        <v>10</v>
      </c>
      <c r="G15" s="107">
        <f>Hispanic!G14</f>
        <v>0.23183741581739081</v>
      </c>
      <c r="H15" s="108">
        <f>'Data Entry'!F14</f>
        <v>15</v>
      </c>
      <c r="I15" s="107" t="str">
        <f>Asian!G14</f>
        <v>**</v>
      </c>
      <c r="J15" s="108">
        <f>'Data Entry'!G14</f>
        <v>0</v>
      </c>
      <c r="K15" s="107" t="str">
        <f>Hawaiian!G14</f>
        <v>*</v>
      </c>
      <c r="L15" s="108">
        <f>'Data Entry'!H14</f>
        <v>7</v>
      </c>
      <c r="M15" s="107" t="str">
        <f>'Am Indian'!G14</f>
        <v>*</v>
      </c>
      <c r="N15" s="108">
        <f>'Data Entry'!I14</f>
        <v>32</v>
      </c>
      <c r="O15" s="107" t="str">
        <f>'Other - Mixed'!G14</f>
        <v>*</v>
      </c>
      <c r="P15" s="108">
        <f>'Data Entry'!J14</f>
        <v>397</v>
      </c>
      <c r="Q15" s="109">
        <f>'All Minorities'!G14</f>
        <v>1.019329458860958</v>
      </c>
      <c r="R15"/>
      <c r="T15" s="1">
        <f>'Black or African-American'!L14</f>
        <v>2</v>
      </c>
      <c r="U15" s="1">
        <f>Hispanic!L14</f>
        <v>1</v>
      </c>
      <c r="V15" s="1">
        <f>Asian!L14</f>
        <v>20</v>
      </c>
      <c r="W15" s="1">
        <f>Hawaiian!L14</f>
        <v>139</v>
      </c>
      <c r="X15" s="1">
        <f>'Am Indian'!L14</f>
        <v>101</v>
      </c>
      <c r="Y15" s="1">
        <f>'Other - Mixed'!L14</f>
        <v>101</v>
      </c>
      <c r="Z15" s="1">
        <f>'All Minorities'!L14</f>
        <v>2</v>
      </c>
    </row>
    <row r="16" spans="2:26" s="1" customFormat="1" ht="15" customHeight="1">
      <c r="B16" s="140" t="s">
        <v>16</v>
      </c>
      <c r="C16" s="101">
        <f>'Data Entry'!C15</f>
        <v>3</v>
      </c>
      <c r="D16" s="114">
        <f>'Data Entry'!D15</f>
        <v>27</v>
      </c>
      <c r="E16" s="115" t="str">
        <f>'Black or African-American'!$G15</f>
        <v>**</v>
      </c>
      <c r="F16" s="116">
        <f>'Data Entry'!E15</f>
        <v>4</v>
      </c>
      <c r="G16" s="115" t="str">
        <f>Hispanic!G15</f>
        <v>**</v>
      </c>
      <c r="H16" s="116">
        <f>'Data Entry'!F15</f>
        <v>0</v>
      </c>
      <c r="I16" s="115" t="str">
        <f>Asian!G15</f>
        <v>**</v>
      </c>
      <c r="J16" s="116">
        <f>'Data Entry'!G15</f>
        <v>0</v>
      </c>
      <c r="K16" s="115" t="str">
        <f>Hawaiian!G15</f>
        <v>*</v>
      </c>
      <c r="L16" s="116">
        <f>'Data Entry'!H15</f>
        <v>0</v>
      </c>
      <c r="M16" s="115" t="str">
        <f>'Am Indian'!G15</f>
        <v>*</v>
      </c>
      <c r="N16" s="116">
        <f>'Data Entry'!I15</f>
        <v>2</v>
      </c>
      <c r="O16" s="115" t="str">
        <f>'Other - Mixed'!G15</f>
        <v>*</v>
      </c>
      <c r="P16" s="116">
        <f>'Data Entry'!J15</f>
        <v>33</v>
      </c>
      <c r="Q16" s="117" t="str">
        <f>'All Minorities'!G15</f>
        <v>**</v>
      </c>
      <c r="R16"/>
      <c r="T16" s="1">
        <f>'Black or African-American'!L15</f>
        <v>20</v>
      </c>
      <c r="U16" s="1">
        <f>Hispanic!L15</f>
        <v>20</v>
      </c>
      <c r="V16" s="1">
        <f>Asian!L15</f>
        <v>40</v>
      </c>
      <c r="W16" s="1">
        <f>Hawaiian!L15</f>
        <v>139</v>
      </c>
      <c r="X16" s="1">
        <f>'Am Indian'!L15</f>
        <v>139</v>
      </c>
      <c r="Y16" s="1">
        <f>'Other - Mixed'!L15</f>
        <v>119</v>
      </c>
      <c r="Z16" s="1">
        <f>'All Minorities'!L15</f>
        <v>20</v>
      </c>
    </row>
    <row r="17" spans="2:18" s="1" customFormat="1" ht="15" customHeight="1" thickBot="1">
      <c r="B17" s="143" t="s">
        <v>98</v>
      </c>
      <c r="C17" s="96" t="str">
        <f>'Data Entry'!C16</f>
        <v>Yes</v>
      </c>
      <c r="D17" s="127"/>
      <c r="E17" s="137" t="str">
        <f>'Data Entry'!$D$16</f>
        <v>Yes</v>
      </c>
      <c r="F17" s="127"/>
      <c r="G17" s="137" t="str">
        <f>'Data Entry'!$E$16</f>
        <v>Yes</v>
      </c>
      <c r="H17" s="127"/>
      <c r="I17" s="137" t="str">
        <f>'Data Entry'!F16</f>
        <v>Yes</v>
      </c>
      <c r="J17" s="127"/>
      <c r="K17" s="137" t="str">
        <f>'Data Entry'!G16</f>
        <v>No</v>
      </c>
      <c r="L17" s="127"/>
      <c r="M17" s="137" t="str">
        <f>'Data Entry'!H16</f>
        <v>No</v>
      </c>
      <c r="N17" s="127"/>
      <c r="O17" s="137" t="str">
        <f>'Data Entry'!I16</f>
        <v>No</v>
      </c>
      <c r="P17" s="127"/>
      <c r="Q17" s="138" t="str">
        <f>'Data Entry'!J16</f>
        <v>Yes</v>
      </c>
      <c r="R17"/>
    </row>
    <row r="18" spans="2:18" ht="15" customHeight="1" thickTop="1" thickBot="1">
      <c r="B18" s="91"/>
      <c r="C18" s="91"/>
      <c r="D18" s="91"/>
      <c r="E18" s="91"/>
      <c r="F18" s="91"/>
      <c r="G18" s="91"/>
      <c r="H18" s="91"/>
      <c r="I18" s="91"/>
      <c r="J18" s="91"/>
      <c r="K18" s="91"/>
      <c r="L18" s="91"/>
      <c r="M18" s="91"/>
      <c r="N18" s="91"/>
      <c r="O18" s="91"/>
      <c r="P18" s="91"/>
      <c r="Q18" s="91"/>
    </row>
    <row r="19" spans="2:18" ht="18" customHeight="1" thickBot="1">
      <c r="B19" s="92"/>
      <c r="C19" s="128"/>
      <c r="D19" s="129"/>
      <c r="E19" s="129"/>
      <c r="F19" s="129"/>
      <c r="G19" s="129"/>
      <c r="H19" s="131" t="s">
        <v>130</v>
      </c>
      <c r="I19" s="132" t="s">
        <v>52</v>
      </c>
      <c r="J19" s="129"/>
      <c r="K19" s="129"/>
      <c r="L19" s="129"/>
      <c r="M19" s="129"/>
      <c r="N19" s="129"/>
      <c r="O19" s="130"/>
      <c r="P19" s="91"/>
      <c r="Q19" s="91"/>
    </row>
    <row r="20" spans="2:18" ht="16.5">
      <c r="B20" s="91"/>
      <c r="C20" s="151" t="s">
        <v>127</v>
      </c>
      <c r="D20" s="157"/>
      <c r="E20" s="158"/>
      <c r="F20" s="159"/>
      <c r="G20" s="160" t="s">
        <v>54</v>
      </c>
      <c r="H20" s="157"/>
      <c r="I20" s="151" t="s">
        <v>57</v>
      </c>
      <c r="J20" s="157"/>
      <c r="K20" s="157"/>
      <c r="L20" s="157"/>
      <c r="M20" s="157"/>
      <c r="N20" s="157"/>
      <c r="O20" s="152" t="s">
        <v>58</v>
      </c>
      <c r="Q20" s="91"/>
    </row>
    <row r="21" spans="2:18" ht="15" customHeight="1">
      <c r="B21" s="91"/>
      <c r="C21" s="153" t="s">
        <v>129</v>
      </c>
      <c r="D21" s="157"/>
      <c r="E21" s="161"/>
      <c r="F21" s="157"/>
      <c r="G21" s="162" t="s">
        <v>56</v>
      </c>
      <c r="H21" s="157"/>
      <c r="I21" s="153" t="s">
        <v>59</v>
      </c>
      <c r="J21" s="157"/>
      <c r="K21" s="157"/>
      <c r="L21" s="157"/>
      <c r="M21" s="157"/>
      <c r="N21" s="157"/>
      <c r="O21" s="154" t="s">
        <v>60</v>
      </c>
      <c r="Q21" s="91"/>
    </row>
    <row r="22" spans="2:18" ht="15" customHeight="1" thickBot="1">
      <c r="B22" s="91"/>
      <c r="C22" s="163"/>
      <c r="D22" s="164"/>
      <c r="E22" s="164"/>
      <c r="F22" s="164"/>
      <c r="G22" s="164"/>
      <c r="H22" s="164"/>
      <c r="I22" s="165" t="s">
        <v>61</v>
      </c>
      <c r="J22" s="164"/>
      <c r="K22" s="164"/>
      <c r="L22" s="164"/>
      <c r="M22" s="164"/>
      <c r="N22" s="164"/>
      <c r="O22" s="155" t="s">
        <v>62</v>
      </c>
      <c r="Q22" s="91"/>
    </row>
    <row r="23" spans="2:18" ht="15" customHeight="1">
      <c r="B23" s="91"/>
      <c r="C23" s="91"/>
      <c r="D23" s="91"/>
      <c r="E23"/>
      <c r="F23"/>
      <c r="G23"/>
      <c r="H23"/>
      <c r="K23"/>
      <c r="L23"/>
      <c r="M23" s="91"/>
      <c r="N23" s="91"/>
      <c r="O23" s="91"/>
      <c r="P23" s="91"/>
      <c r="Q23" s="91"/>
    </row>
    <row r="24" spans="2:18" ht="15" customHeight="1">
      <c r="B24" s="91"/>
      <c r="C24" s="91"/>
      <c r="D24" s="91"/>
      <c r="E24"/>
      <c r="F24"/>
      <c r="G24"/>
      <c r="H24"/>
      <c r="K24"/>
      <c r="L24"/>
      <c r="M24" s="91"/>
      <c r="N24" s="91"/>
      <c r="O24" s="91"/>
      <c r="P24" s="91"/>
      <c r="Q24" s="91"/>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2.Arrest: Michigan State Police</v>
      </c>
      <c r="I26" s="94"/>
      <c r="J26" s="94"/>
    </row>
    <row r="27" spans="2:18" ht="12.75" customHeight="1">
      <c r="B27" s="1" t="str">
        <f>'Data Entry'!A20</f>
        <v>Item 3.Referral: State Court Administrative Office</v>
      </c>
      <c r="E27" s="1" t="str">
        <f>'Data Entry'!D20</f>
        <v>Item 4.Diversion: State Court Administrative Office</v>
      </c>
      <c r="I27" s="94"/>
      <c r="J27" s="94"/>
    </row>
    <row r="28" spans="2:18" ht="12.75" customHeight="1">
      <c r="B28" s="1" t="str">
        <f>'Data Entry'!A21</f>
        <v>Item 5.Detention: State Court Administrative Office</v>
      </c>
      <c r="E28" s="1" t="str">
        <f>'Data Entry'!D21</f>
        <v>Item 6.Petitioned: State Court Administrative Office</v>
      </c>
      <c r="I28" s="94"/>
      <c r="J28" s="94"/>
    </row>
    <row r="29" spans="2:18" ht="12.75" customHeight="1">
      <c r="B29" s="1" t="str">
        <f>'Data Entry'!A22</f>
        <v>Item 7.Delinquent: State Court Administrative Office</v>
      </c>
      <c r="E29" s="1" t="str">
        <f>'Data Entry'!D22</f>
        <v>Item 8.Probation: State Court Administrative Office</v>
      </c>
      <c r="I29" s="94"/>
      <c r="J29" s="94"/>
    </row>
    <row r="30" spans="2:18" ht="12.75" customHeight="1">
      <c r="B30" s="1" t="str">
        <f>'Data Entry'!A23</f>
        <v>Item 9.Confinement: State Court Administrative Office</v>
      </c>
      <c r="E30" s="1" t="str">
        <f>'Data Entry'!D23</f>
        <v>Item 10.Transferred: State Court Administrative Office</v>
      </c>
      <c r="I30" s="94"/>
      <c r="J30" s="94"/>
    </row>
    <row r="31" spans="2:18" ht="29.25" customHeight="1">
      <c r="B31" s="172" t="s">
        <v>139</v>
      </c>
      <c r="C31" s="173"/>
      <c r="D31" s="173"/>
      <c r="E31" s="173"/>
      <c r="F31" s="173"/>
      <c r="G31" s="173"/>
      <c r="H31" s="173"/>
      <c r="I31" s="173"/>
      <c r="J31" s="173"/>
      <c r="K31" s="173"/>
      <c r="L31" s="173"/>
    </row>
  </sheetData>
  <sheetProtection password="C722" objects="1"/>
  <mergeCells count="11">
    <mergeCell ref="B31:L31"/>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4" t="str">
        <f>'Data Entry'!A3</f>
        <v>All Reporting Counties</v>
      </c>
    </row>
    <row r="6" spans="1:12">
      <c r="A6" s="133" t="str">
        <f>CONCATENATE("Percentage of Minorities at Stages of the Juvenile Justice System, ", A5, " 2024")</f>
        <v>Percentage of Minorities at Stages of the Juvenile Justice System, All Reporting Counties 2024</v>
      </c>
      <c r="B6" s="94" t="str">
        <f>'Data Entry'!D5</f>
        <v>Black or African American</v>
      </c>
      <c r="C6" s="94" t="str">
        <f>'Data Entry'!E5</f>
        <v>Hispanic or Latino</v>
      </c>
      <c r="D6" s="94" t="str">
        <f>'Data Entry'!F5</f>
        <v>Asian</v>
      </c>
      <c r="E6" s="94" t="str">
        <f>'Data Entry'!G5</f>
        <v>Native Hawaiian or Other Pacific Islanders</v>
      </c>
      <c r="F6" s="94" t="str">
        <f>'Data Entry'!H5</f>
        <v>American Indian or Alaska Native</v>
      </c>
      <c r="G6" s="94" t="str">
        <f>'Data Entry'!I5</f>
        <v>Biracial or Other</v>
      </c>
      <c r="H6" s="126" t="s">
        <v>132</v>
      </c>
      <c r="I6" s="94" t="str">
        <f>'Data Entry'!C5</f>
        <v>White</v>
      </c>
      <c r="K6" s="133" t="s">
        <v>133</v>
      </c>
      <c r="L6" s="133" t="s">
        <v>131</v>
      </c>
    </row>
    <row r="7" spans="1:12">
      <c r="A7" s="126" t="str">
        <f>CONCATENATE("Waivers, total N=", 'Data Entry'!B15)</f>
        <v>Waivers, total N=40</v>
      </c>
      <c r="B7" s="148">
        <f>'Data Entry'!D15/'Data Entry'!B15</f>
        <v>0.67500000000000004</v>
      </c>
      <c r="C7" s="148">
        <f>'Data Entry'!E15/'Data Entry'!B15</f>
        <v>0.1</v>
      </c>
      <c r="D7" s="148">
        <f>'Data Entry'!F15/'Data Entry'!B15</f>
        <v>0</v>
      </c>
      <c r="E7" s="148">
        <f>'Data Entry'!G15/'Data Entry'!B15</f>
        <v>0</v>
      </c>
      <c r="F7" s="148">
        <f>'Data Entry'!H15/'Data Entry'!B15</f>
        <v>0</v>
      </c>
      <c r="G7" s="148">
        <f>'Data Entry'!I15/'Data Entry'!B15</f>
        <v>0.05</v>
      </c>
      <c r="H7" s="148">
        <f>SUM(D7:G7)/'Data Entry'!B15</f>
        <v>1.25E-3</v>
      </c>
      <c r="I7" s="148">
        <f>'Data Entry'!C15/'Data Entry'!B15</f>
        <v>7.4999999999999997E-2</v>
      </c>
      <c r="K7" s="94" t="str">
        <f t="shared" ref="K7:K14" si="0">A7</f>
        <v>Waivers, total N=40</v>
      </c>
      <c r="L7">
        <f>I14/(SUM(B14:G14))</f>
        <v>2.1800766529290074</v>
      </c>
    </row>
    <row r="8" spans="1:12" ht="25.5" customHeight="1">
      <c r="A8" s="149" t="str">
        <f>CONCATENATE("Confinement, total N=", 'Data Entry'!B14)</f>
        <v>Confinement, total N=953</v>
      </c>
      <c r="B8" s="148">
        <f>'Data Entry'!D14/'Data Entry'!B14</f>
        <v>0.34942287513116477</v>
      </c>
      <c r="C8" s="148">
        <f>'Data Entry'!E14/'Data Entry'!B14</f>
        <v>1.049317943336831E-2</v>
      </c>
      <c r="D8" s="148">
        <f>'Data Entry'!F14/'Data Entry'!B14</f>
        <v>1.5739769150052464E-2</v>
      </c>
      <c r="E8" s="148">
        <f>'Data Entry'!G14/'Data Entry'!B14</f>
        <v>0</v>
      </c>
      <c r="F8" s="148">
        <f>'Data Entry'!H14/'Data Entry'!B14</f>
        <v>7.3452256033578172E-3</v>
      </c>
      <c r="G8" s="148">
        <f>'Data Entry'!I14/'Data Entry'!B14</f>
        <v>3.3578174186778595E-2</v>
      </c>
      <c r="H8" s="148">
        <f>SUM(D8:G8)/'Data Entry'!B14</f>
        <v>5.9457679895266399E-5</v>
      </c>
      <c r="I8" s="148">
        <f>'Data Entry'!C14/'Data Entry'!B14</f>
        <v>0.44386149003147951</v>
      </c>
      <c r="K8" s="94" t="str">
        <f>A8</f>
        <v>Confinement, total N=953</v>
      </c>
      <c r="L8">
        <f>I14/(SUM(B14:G14))</f>
        <v>2.1800766529290074</v>
      </c>
    </row>
    <row r="9" spans="1:12">
      <c r="A9" s="126" t="str">
        <f>CONCATENATE("Delinquent Findings, total N=", 'Data Entry'!B12)</f>
        <v>Delinquent Findings, total N=4995</v>
      </c>
      <c r="B9" s="148">
        <f>'Data Entry'!D12/'Data Entry'!B12</f>
        <v>0.32412412412412411</v>
      </c>
      <c r="C9" s="148">
        <f>'Data Entry'!E12/'Data Entry'!B12</f>
        <v>4.7647647647647645E-2</v>
      </c>
      <c r="D9" s="148">
        <f>'Data Entry'!F12/'Data Entry'!B12</f>
        <v>4.8048048048048046E-3</v>
      </c>
      <c r="E9" s="148">
        <f>'Data Entry'!G12/'Data Entry'!B12</f>
        <v>2.0020020020020021E-4</v>
      </c>
      <c r="F9" s="148">
        <f>'Data Entry'!H12/'Data Entry'!B12</f>
        <v>7.8078078078078076E-3</v>
      </c>
      <c r="G9" s="148">
        <f>'Data Entry'!I12/'Data Entry'!B12</f>
        <v>4.5645645645645647E-2</v>
      </c>
      <c r="H9" s="148">
        <f>SUM(D9:G9)/'Data Entry'!B12</f>
        <v>1.170339508677847E-5</v>
      </c>
      <c r="I9" s="148">
        <f>'Data Entry'!C12/'Data Entry'!B12</f>
        <v>0.46726726726726725</v>
      </c>
      <c r="K9" s="94" t="str">
        <f t="shared" si="0"/>
        <v>Delinquent Findings, total N=4995</v>
      </c>
      <c r="L9">
        <f>I14/(SUM(B14:G14))</f>
        <v>2.1800766529290074</v>
      </c>
    </row>
    <row r="10" spans="1:12">
      <c r="A10" s="126" t="str">
        <f>CONCATENATE("Petitions, total N=", 'Data Entry'!B11)</f>
        <v>Petitions, total N=10922</v>
      </c>
      <c r="B10" s="148">
        <f>'Data Entry'!D11/'Data Entry'!B11</f>
        <v>0.24977110419337117</v>
      </c>
      <c r="C10" s="148">
        <f>'Data Entry'!E11/'Data Entry'!B11</f>
        <v>3.5890862479399377E-2</v>
      </c>
      <c r="D10" s="148">
        <f>'Data Entry'!F11/'Data Entry'!B11</f>
        <v>3.845449551364219E-3</v>
      </c>
      <c r="E10" s="148">
        <f>'Data Entry'!G11/'Data Entry'!B11</f>
        <v>1.8311664530305805E-4</v>
      </c>
      <c r="F10" s="148">
        <f>'Data Entry'!H11/'Data Entry'!B11</f>
        <v>6.7753158762131477E-3</v>
      </c>
      <c r="G10" s="148">
        <f>'Data Entry'!I11/'Data Entry'!B11</f>
        <v>3.9919428676066654E-2</v>
      </c>
      <c r="H10" s="148">
        <f>SUM(D10:G10)/'Data Entry'!B11</f>
        <v>4.6441412515058667E-6</v>
      </c>
      <c r="I10" s="148">
        <f>'Data Entry'!C11/'Data Entry'!B11</f>
        <v>0.34471708478300678</v>
      </c>
      <c r="K10" s="94" t="str">
        <f t="shared" si="0"/>
        <v>Petitions, total N=10922</v>
      </c>
      <c r="L10">
        <f>I14/(SUM(B14:G14))</f>
        <v>2.1800766529290074</v>
      </c>
    </row>
    <row r="11" spans="1:12">
      <c r="A11" s="126" t="str">
        <f>CONCATENATE("Detentions, total N=", 'Data Entry'!B10)</f>
        <v>Detentions, total N=2847</v>
      </c>
      <c r="B11" s="148">
        <f>'Data Entry'!D10/'Data Entry'!B10</f>
        <v>0.49525816649104321</v>
      </c>
      <c r="C11" s="148">
        <f>'Data Entry'!E10/'Data Entry'!B10</f>
        <v>6.4629434492448193E-2</v>
      </c>
      <c r="D11" s="148">
        <f>'Data Entry'!F10/'Data Entry'!B10</f>
        <v>6.3224446786090622E-3</v>
      </c>
      <c r="E11" s="148">
        <f>'Data Entry'!G10/'Data Entry'!B10</f>
        <v>0</v>
      </c>
      <c r="F11" s="148">
        <f>'Data Entry'!H10/'Data Entry'!B10</f>
        <v>3.5124692658939235E-3</v>
      </c>
      <c r="G11" s="148">
        <f>'Data Entry'!I10/'Data Entry'!B10</f>
        <v>7.7976817702845105E-2</v>
      </c>
      <c r="H11" s="148">
        <f>SUM(D11:G11)/'Data Entry'!B10</f>
        <v>3.08436008596235E-5</v>
      </c>
      <c r="I11" s="148">
        <f>'Data Entry'!C10/'Data Entry'!B10</f>
        <v>0.30909729539866526</v>
      </c>
      <c r="K11" s="94" t="str">
        <f t="shared" si="0"/>
        <v>Detentions, total N=2847</v>
      </c>
      <c r="L11">
        <f>I14/(SUM(B14:G14))</f>
        <v>2.1800766529290074</v>
      </c>
    </row>
    <row r="12" spans="1:12">
      <c r="A12" s="126" t="str">
        <f>CONCATENATE("Referrals, total N=", 'Data Entry'!B8)</f>
        <v>Referrals, total N=18455</v>
      </c>
      <c r="B12" s="148">
        <f>'Data Entry'!D8/'Data Entry'!B8</f>
        <v>0.25429422920617717</v>
      </c>
      <c r="C12" s="148">
        <f>'Data Entry'!E8/'Data Entry'!B8</f>
        <v>2.9964779192630724E-2</v>
      </c>
      <c r="D12" s="148">
        <f>'Data Entry'!F8/'Data Entry'!B8</f>
        <v>4.1181251693308048E-3</v>
      </c>
      <c r="E12" s="148">
        <f>'Data Entry'!G8/'Data Entry'!B8</f>
        <v>2.167434299647792E-4</v>
      </c>
      <c r="F12" s="148">
        <f>'Data Entry'!H8/'Data Entry'!B8</f>
        <v>5.3102140341370905E-3</v>
      </c>
      <c r="G12" s="148">
        <f>'Data Entry'!I8/'Data Entry'!B8</f>
        <v>3.4787320509347061E-2</v>
      </c>
      <c r="H12" s="148">
        <f>SUM(D12:G12)/'Data Entry'!B8</f>
        <v>2.4076078646859787E-6</v>
      </c>
      <c r="I12" s="148">
        <f>'Data Entry'!C8/'Data Entry'!B8</f>
        <v>0.38347331346518559</v>
      </c>
      <c r="K12" s="94" t="str">
        <f t="shared" si="0"/>
        <v>Referrals, total N=18455</v>
      </c>
      <c r="L12">
        <f>I14/(SUM(B14:G14))</f>
        <v>2.1800766529290074</v>
      </c>
    </row>
    <row r="13" spans="1:12">
      <c r="A13" s="126" t="str">
        <f>CONCATENATE("Arrests, total N=", 'Data Entry'!B7)</f>
        <v>Arrests, total N=9165</v>
      </c>
      <c r="B13" s="148">
        <f>'Data Entry'!D7/'Data Entry'!B7</f>
        <v>0.45313693398799781</v>
      </c>
      <c r="C13" s="148">
        <f>'Data Entry'!E7/'Data Entry'!B7</f>
        <v>2.8696126568466995E-2</v>
      </c>
      <c r="D13" s="148">
        <f>'Data Entry'!F7/'Data Entry'!B7</f>
        <v>4.9099836333878887E-3</v>
      </c>
      <c r="E13" s="148">
        <f>'Data Entry'!G7/'Data Entry'!B7</f>
        <v>5.455537370430987E-4</v>
      </c>
      <c r="F13" s="148">
        <f>'Data Entry'!H7/'Data Entry'!B7</f>
        <v>8.7288597926895792E-3</v>
      </c>
      <c r="G13" s="148">
        <f>'Data Entry'!I7/'Data Entry'!B7</f>
        <v>0</v>
      </c>
      <c r="H13" s="148">
        <f>SUM(D13:G13)/'Data Entry'!B7</f>
        <v>1.5476701760087908E-6</v>
      </c>
      <c r="I13" s="148">
        <f>'Data Entry'!C7/'Data Entry'!B7</f>
        <v>0.46590289143480634</v>
      </c>
      <c r="K13" s="94" t="str">
        <f t="shared" si="0"/>
        <v>Arrests, total N=9165</v>
      </c>
      <c r="L13">
        <f>I14/(SUM(B14:G14))</f>
        <v>2.1800766529290074</v>
      </c>
    </row>
    <row r="14" spans="1:12">
      <c r="A14" s="126" t="str">
        <f>CONCATENATE("Population, total N=", 'Data Entry'!B6)</f>
        <v>Population, total N=991532</v>
      </c>
      <c r="B14" s="148">
        <f>'Data Entry'!D6/'Data Entry'!B6</f>
        <v>0.17652279502829965</v>
      </c>
      <c r="C14" s="148">
        <f>'Data Entry'!E6/'Data Entry'!B6</f>
        <v>9.0623398942242916E-2</v>
      </c>
      <c r="D14" s="148">
        <f>'Data Entry'!F6/'Data Entry'!B6</f>
        <v>3.9567053811677286E-2</v>
      </c>
      <c r="E14" s="148">
        <f>'Data Entry'!G6/'Data Entry'!B6</f>
        <v>0</v>
      </c>
      <c r="F14" s="148">
        <f>'Data Entry'!H6/'Data Entry'!B6</f>
        <v>7.74458111286373E-3</v>
      </c>
      <c r="G14" s="148">
        <f>'Data Entry'!I6/'Data Entry'!B6</f>
        <v>0</v>
      </c>
      <c r="H14" s="148">
        <f>SUM(D14:G14)/'Data Entry'!B6</f>
        <v>4.7715691399310376E-8</v>
      </c>
      <c r="I14" s="148">
        <f>'Data Entry'!C6/'Data Entry'!B6</f>
        <v>0.68554217110491644</v>
      </c>
      <c r="K14" s="94" t="str">
        <f t="shared" si="0"/>
        <v>Population, total N=991532</v>
      </c>
      <c r="L14">
        <f>I14/(SUM(B14:G14))</f>
        <v>2.1800766529290074</v>
      </c>
    </row>
    <row r="15" spans="1:12">
      <c r="A15" s="94"/>
    </row>
    <row r="17" spans="2:9">
      <c r="B17" s="94"/>
      <c r="C17" s="94"/>
      <c r="D17" s="94"/>
      <c r="E17" s="94"/>
      <c r="F17" s="94"/>
      <c r="G17" s="94"/>
      <c r="H17" s="94"/>
      <c r="I17" s="94"/>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X15" sqref="X15"/>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4" t="s">
        <v>123</v>
      </c>
      <c r="C2" s="175"/>
      <c r="D2" s="175"/>
      <c r="E2" s="175"/>
      <c r="F2" s="175"/>
      <c r="G2" s="175"/>
      <c r="H2" s="175"/>
      <c r="I2" s="175"/>
      <c r="J2" s="175"/>
      <c r="K2" s="176"/>
    </row>
    <row r="3" spans="2:30" s="1" customFormat="1" ht="19.5" thickTop="1">
      <c r="B3" s="95" t="str">
        <f>'Data Entry'!A2</f>
        <v>State: Michigan</v>
      </c>
      <c r="C3" s="93"/>
      <c r="D3" s="93"/>
      <c r="H3" s="189" t="str">
        <f>'Data Entry'!C3</f>
        <v xml:space="preserve">Reporting Period:  </v>
      </c>
      <c r="I3" s="190"/>
      <c r="J3" s="190"/>
      <c r="K3" s="191"/>
    </row>
    <row r="4" spans="2:30" s="1" customFormat="1" ht="19.5" thickBot="1">
      <c r="B4" s="99" t="str">
        <f>'Data Entry'!A3</f>
        <v>All Reporting Counties</v>
      </c>
      <c r="C4" s="100"/>
      <c r="D4" s="100"/>
      <c r="E4" s="118"/>
      <c r="F4" s="118"/>
      <c r="G4" s="118"/>
      <c r="H4" s="179" t="str">
        <f>'Data Entry'!C4</f>
        <v>10/1/23 through 9/30/24</v>
      </c>
      <c r="I4" s="192"/>
      <c r="J4" s="192"/>
      <c r="K4" s="193"/>
    </row>
    <row r="5" spans="2:30" s="8" customFormat="1" ht="69" customHeight="1">
      <c r="B5" s="97"/>
      <c r="C5" s="98" t="s">
        <v>3</v>
      </c>
      <c r="D5" s="186" t="str">
        <f>'Black or African-American'!$F$1</f>
        <v>Black or African American</v>
      </c>
      <c r="E5" s="187"/>
      <c r="F5" s="186" t="str">
        <f>Hispanic!F1</f>
        <v>Hispanic or Latino</v>
      </c>
      <c r="G5" s="187"/>
      <c r="H5" s="186" t="str">
        <f>Asian!F1</f>
        <v>Asian</v>
      </c>
      <c r="I5" s="187"/>
      <c r="J5" s="186" t="str">
        <f>'Data Entry'!J5</f>
        <v>All Minorities</v>
      </c>
      <c r="K5" s="188"/>
      <c r="N5" s="69"/>
      <c r="O5" s="69"/>
      <c r="P5" s="69"/>
      <c r="Q5" s="69"/>
    </row>
    <row r="6" spans="2:30" s="8" customFormat="1" ht="18" customHeight="1">
      <c r="B6" s="150" t="s">
        <v>121</v>
      </c>
      <c r="C6" s="120" t="s">
        <v>119</v>
      </c>
      <c r="D6" s="121" t="s">
        <v>119</v>
      </c>
      <c r="E6" s="122" t="s">
        <v>120</v>
      </c>
      <c r="F6" s="121" t="s">
        <v>119</v>
      </c>
      <c r="G6" s="122" t="s">
        <v>120</v>
      </c>
      <c r="H6" s="121" t="s">
        <v>119</v>
      </c>
      <c r="I6" s="122" t="s">
        <v>120</v>
      </c>
      <c r="J6" s="121" t="s">
        <v>119</v>
      </c>
      <c r="K6" s="123" t="s">
        <v>120</v>
      </c>
    </row>
    <row r="7" spans="2:30" s="8" customFormat="1" ht="18" customHeight="1">
      <c r="B7" s="139" t="str">
        <f>'Data Entry'!A6</f>
        <v xml:space="preserve">1. Population at Risk (age 10-17) </v>
      </c>
      <c r="C7" s="101">
        <f>'Data Entry'!C6</f>
        <v>679737</v>
      </c>
      <c r="D7" s="102">
        <f>'Data Entry'!D6</f>
        <v>175028</v>
      </c>
      <c r="E7" s="103"/>
      <c r="F7" s="104">
        <f>'Data Entry'!E6</f>
        <v>89856</v>
      </c>
      <c r="G7" s="103"/>
      <c r="H7" s="104">
        <f>'Data Entry'!F6</f>
        <v>39232</v>
      </c>
      <c r="I7" s="103"/>
      <c r="J7" s="104">
        <f>'Data Entry'!J6</f>
        <v>311795</v>
      </c>
      <c r="K7" s="105"/>
    </row>
    <row r="8" spans="2:30" s="1" customFormat="1" ht="15" customHeight="1">
      <c r="B8" s="119" t="s">
        <v>8</v>
      </c>
      <c r="C8" s="101">
        <f>'Data Entry'!C7</f>
        <v>4270</v>
      </c>
      <c r="D8" s="102">
        <f>'Data Entry'!D7</f>
        <v>4153</v>
      </c>
      <c r="E8" s="103">
        <f>'Black or African-American'!$G7</f>
        <v>3.7771778676669676</v>
      </c>
      <c r="F8" s="104">
        <f>'Data Entry'!E7</f>
        <v>263</v>
      </c>
      <c r="G8" s="103">
        <f>Hispanic!G7</f>
        <v>0.46593110256660458</v>
      </c>
      <c r="H8" s="104">
        <f>'Data Entry'!F7</f>
        <v>45</v>
      </c>
      <c r="I8" s="103">
        <f>Asian!G7</f>
        <v>0.18259341057913817</v>
      </c>
      <c r="J8" s="104">
        <f>'Data Entry'!J7</f>
        <v>4546</v>
      </c>
      <c r="K8" s="105">
        <f>'All Minorities'!G7</f>
        <v>2.3209902726499454</v>
      </c>
      <c r="L8"/>
      <c r="N8" s="1">
        <f>'Black or African-American'!L7</f>
        <v>1</v>
      </c>
      <c r="O8" s="1">
        <f>Hispanic!L7</f>
        <v>1</v>
      </c>
      <c r="P8" s="1">
        <f>Asian!L7</f>
        <v>1</v>
      </c>
      <c r="Q8" s="1" t="e">
        <f>Hawaiian!L7</f>
        <v>#DIV/0!</v>
      </c>
      <c r="R8" s="1">
        <f>'Am Indian'!L7</f>
        <v>100</v>
      </c>
      <c r="S8" s="1" t="e">
        <f>'Other - Mixed'!L7</f>
        <v>#VALUE!</v>
      </c>
      <c r="T8" s="1">
        <f>'All Minorities'!L7</f>
        <v>1</v>
      </c>
    </row>
    <row r="9" spans="2:30" s="1" customFormat="1" ht="15" customHeight="1">
      <c r="B9" s="119" t="s">
        <v>136</v>
      </c>
      <c r="C9" s="101">
        <f>'Data Entry'!C8</f>
        <v>7077</v>
      </c>
      <c r="D9" s="106">
        <f>'Data Entry'!D8</f>
        <v>4693</v>
      </c>
      <c r="E9" s="107">
        <f>'Black or African-American'!$G8</f>
        <v>0.68181617902566127</v>
      </c>
      <c r="F9" s="108">
        <f>'Data Entry'!E8</f>
        <v>553</v>
      </c>
      <c r="G9" s="107">
        <f>Hispanic!G8</f>
        <v>1.2686682236839633</v>
      </c>
      <c r="H9" s="108">
        <f>'Data Entry'!F8</f>
        <v>76</v>
      </c>
      <c r="I9" s="107">
        <f>Asian!G8</f>
        <v>1.0190130783602596</v>
      </c>
      <c r="J9" s="108">
        <f>'Data Entry'!J8</f>
        <v>6066</v>
      </c>
      <c r="K9" s="109">
        <f>'All Minorities'!G8</f>
        <v>0.80510338759348887</v>
      </c>
      <c r="L9"/>
      <c r="N9" s="1">
        <f>'Black or African-American'!L8</f>
        <v>1</v>
      </c>
      <c r="O9" s="1">
        <f>Hispanic!L8</f>
        <v>1</v>
      </c>
      <c r="P9" s="1">
        <f>Asian!L8</f>
        <v>2</v>
      </c>
      <c r="Q9" s="1">
        <f>Hawaiian!L8</f>
        <v>139</v>
      </c>
      <c r="R9" s="1">
        <f>'Am Indian'!L8</f>
        <v>100</v>
      </c>
      <c r="S9" s="1">
        <f>'Other - Mixed'!L8</f>
        <v>119</v>
      </c>
      <c r="T9" s="1">
        <f>'All Minorities'!L8</f>
        <v>1</v>
      </c>
    </row>
    <row r="10" spans="2:30" s="1" customFormat="1" ht="15" customHeight="1">
      <c r="B10" s="119" t="s">
        <v>10</v>
      </c>
      <c r="C10" s="101">
        <f>'Data Entry'!C9</f>
        <v>1540</v>
      </c>
      <c r="D10" s="110">
        <f>'Data Entry'!D9</f>
        <v>1335</v>
      </c>
      <c r="E10" s="111">
        <f>'Black or African-American'!$G9</f>
        <v>1.3072516126532747</v>
      </c>
      <c r="F10" s="112">
        <f>'Data Entry'!E9</f>
        <v>157</v>
      </c>
      <c r="G10" s="111">
        <f>Hispanic!G9</f>
        <v>1.3046769686010191</v>
      </c>
      <c r="H10" s="112">
        <f>'Data Entry'!F9</f>
        <v>22</v>
      </c>
      <c r="I10" s="111">
        <f>Asian!G9</f>
        <v>1.3302631578947368</v>
      </c>
      <c r="J10" s="112">
        <f>'Data Entry'!J9</f>
        <v>1721</v>
      </c>
      <c r="K10" s="113">
        <f>'All Minorities'!G9</f>
        <v>1.3037878787878787</v>
      </c>
      <c r="L10"/>
      <c r="N10" s="1">
        <f>'Black or African-American'!L9</f>
        <v>1</v>
      </c>
      <c r="O10" s="1">
        <f>Hispanic!L9</f>
        <v>1</v>
      </c>
      <c r="P10" s="1">
        <f>Asian!L9</f>
        <v>2</v>
      </c>
      <c r="Q10" s="1">
        <f>Hawaiian!L9</f>
        <v>139</v>
      </c>
      <c r="R10" s="1">
        <f>'Am Indian'!L9</f>
        <v>101</v>
      </c>
      <c r="S10" s="1">
        <f>'Other - Mixed'!L9</f>
        <v>100</v>
      </c>
      <c r="T10" s="1">
        <f>'All Minorities'!L9</f>
        <v>1</v>
      </c>
    </row>
    <row r="11" spans="2:30" s="1" customFormat="1" ht="15" customHeight="1">
      <c r="B11" s="119" t="s">
        <v>11</v>
      </c>
      <c r="C11" s="101">
        <f>'Data Entry'!C10</f>
        <v>880</v>
      </c>
      <c r="D11" s="106">
        <f>'Data Entry'!D10</f>
        <v>1410</v>
      </c>
      <c r="E11" s="107">
        <f>'Black or African-American'!$G10</f>
        <v>2.4162122503535244</v>
      </c>
      <c r="F11" s="108">
        <f>'Data Entry'!E10</f>
        <v>184</v>
      </c>
      <c r="G11" s="107">
        <f>Hispanic!G10</f>
        <v>2.6758342922899883</v>
      </c>
      <c r="H11" s="108">
        <f>'Data Entry'!F10</f>
        <v>18</v>
      </c>
      <c r="I11" s="107">
        <f>Asian!G10</f>
        <v>1.9046949760765548</v>
      </c>
      <c r="J11" s="108">
        <f>'Data Entry'!J10</f>
        <v>1844</v>
      </c>
      <c r="K11" s="109">
        <f>'All Minorities'!G10</f>
        <v>2.4446969696969698</v>
      </c>
      <c r="L11"/>
      <c r="N11" s="1">
        <f>'Black or African-American'!L10</f>
        <v>1</v>
      </c>
      <c r="O11" s="1">
        <f>Hispanic!L10</f>
        <v>1</v>
      </c>
      <c r="P11" s="1">
        <f>Asian!L10</f>
        <v>1</v>
      </c>
      <c r="Q11" s="1">
        <f>Hawaiian!L10</f>
        <v>139</v>
      </c>
      <c r="R11" s="1">
        <f>'Am Indian'!L10</f>
        <v>101</v>
      </c>
      <c r="S11" s="1">
        <f>'Other - Mixed'!L10</f>
        <v>100</v>
      </c>
      <c r="T11" s="1">
        <f>'All Minorities'!L10</f>
        <v>1</v>
      </c>
    </row>
    <row r="12" spans="2:30" s="1" customFormat="1" ht="15" customHeight="1">
      <c r="B12" s="119" t="s">
        <v>97</v>
      </c>
      <c r="C12" s="101">
        <f>'Data Entry'!C11</f>
        <v>3765</v>
      </c>
      <c r="D12" s="110">
        <f>'Data Entry'!D11</f>
        <v>2728</v>
      </c>
      <c r="E12" s="111">
        <f>'Black or African-American'!$G11</f>
        <v>1.0926423434750236</v>
      </c>
      <c r="F12" s="112">
        <f>'Data Entry'!E11</f>
        <v>392</v>
      </c>
      <c r="G12" s="111">
        <f>Hispanic!G11</f>
        <v>1.3324322961319277</v>
      </c>
      <c r="H12" s="112">
        <f>'Data Entry'!F11</f>
        <v>42</v>
      </c>
      <c r="I12" s="111">
        <f>Asian!G11</f>
        <v>1.0387712308660095</v>
      </c>
      <c r="J12" s="112">
        <f>'Data Entry'!J11</f>
        <v>3674</v>
      </c>
      <c r="K12" s="113">
        <f>'All Minorities'!G11</f>
        <v>1.1384683488269145</v>
      </c>
      <c r="L12"/>
      <c r="N12" s="1">
        <f>'Black or African-American'!L11</f>
        <v>1</v>
      </c>
      <c r="O12" s="1">
        <f>Hispanic!L11</f>
        <v>1</v>
      </c>
      <c r="P12" s="1">
        <f>Asian!L11</f>
        <v>2</v>
      </c>
      <c r="Q12" s="1">
        <f>Hawaiian!L11</f>
        <v>139</v>
      </c>
      <c r="R12" s="1">
        <f>'Am Indian'!L11</f>
        <v>100</v>
      </c>
      <c r="S12" s="1">
        <f>'Other - Mixed'!L11</f>
        <v>100</v>
      </c>
      <c r="T12" s="1">
        <f>'All Minorities'!L11</f>
        <v>1</v>
      </c>
    </row>
    <row r="13" spans="2:30" s="1" customFormat="1" ht="15" customHeight="1">
      <c r="B13" s="119" t="s">
        <v>13</v>
      </c>
      <c r="C13" s="101">
        <f>'Data Entry'!C12</f>
        <v>2334</v>
      </c>
      <c r="D13" s="106">
        <f>'Data Entry'!D12</f>
        <v>1619</v>
      </c>
      <c r="E13" s="107">
        <f>'Black or African-American'!$G12</f>
        <v>0.95734089589819737</v>
      </c>
      <c r="F13" s="108">
        <f>'Data Entry'!E12</f>
        <v>238</v>
      </c>
      <c r="G13" s="107">
        <f>Hispanic!G12</f>
        <v>0.97938854204921044</v>
      </c>
      <c r="H13" s="108">
        <f>'Data Entry'!F12</f>
        <v>24</v>
      </c>
      <c r="I13" s="107">
        <f>Asian!G12</f>
        <v>0.92177745134043332</v>
      </c>
      <c r="J13" s="108">
        <f>'Data Entry'!J12</f>
        <v>2149</v>
      </c>
      <c r="K13" s="109">
        <f>'All Minorities'!G12</f>
        <v>0.94354233808615517</v>
      </c>
      <c r="L13"/>
      <c r="N13" s="1">
        <f>'Black or African-American'!L12</f>
        <v>1</v>
      </c>
      <c r="O13" s="1">
        <f>Hispanic!L12</f>
        <v>2</v>
      </c>
      <c r="P13" s="1">
        <f>Asian!L12</f>
        <v>2</v>
      </c>
      <c r="Q13" s="1">
        <f>Hawaiian!L12</f>
        <v>139</v>
      </c>
      <c r="R13" s="1">
        <f>'Am Indian'!L12</f>
        <v>101</v>
      </c>
      <c r="S13" s="1">
        <f>'Other - Mixed'!L12</f>
        <v>100</v>
      </c>
      <c r="T13" s="1">
        <f>'All Minorities'!L12</f>
        <v>1</v>
      </c>
      <c r="W13" s="8"/>
      <c r="X13" s="8"/>
      <c r="Y13" s="8"/>
      <c r="Z13" s="8"/>
      <c r="AA13" s="8"/>
      <c r="AB13" s="8"/>
      <c r="AC13" s="8"/>
      <c r="AD13" s="8"/>
    </row>
    <row r="14" spans="2:30" s="1" customFormat="1" ht="15" customHeight="1">
      <c r="B14" s="119" t="s">
        <v>14</v>
      </c>
      <c r="C14" s="101">
        <f>'Data Entry'!C13</f>
        <v>2458</v>
      </c>
      <c r="D14" s="110">
        <f>'Data Entry'!D13</f>
        <v>1645</v>
      </c>
      <c r="E14" s="111">
        <f>'Black or African-American'!$G13</f>
        <v>0.96480162593208896</v>
      </c>
      <c r="F14" s="112">
        <f>'Data Entry'!E13</f>
        <v>220</v>
      </c>
      <c r="G14" s="111">
        <f>Hispanic!G13</f>
        <v>0.87773758811905556</v>
      </c>
      <c r="H14" s="112">
        <f>'Data Entry'!F13</f>
        <v>19</v>
      </c>
      <c r="I14" s="111" t="str">
        <f>Asian!G13</f>
        <v>**</v>
      </c>
      <c r="J14" s="112">
        <f>'Data Entry'!J13</f>
        <v>2127</v>
      </c>
      <c r="K14" s="113">
        <f>'All Minorities'!G13</f>
        <v>0.93983160938101673</v>
      </c>
      <c r="L14"/>
      <c r="N14" s="1">
        <f>'Black or African-American'!L13</f>
        <v>1</v>
      </c>
      <c r="O14" s="1">
        <f>Hispanic!L13</f>
        <v>1</v>
      </c>
      <c r="P14" s="1">
        <f>Asian!L13</f>
        <v>20</v>
      </c>
      <c r="Q14" s="1">
        <f>Hawaiian!L13</f>
        <v>119</v>
      </c>
      <c r="R14" s="1">
        <f>'Am Indian'!L13</f>
        <v>101</v>
      </c>
      <c r="S14" s="1">
        <f>'Other - Mixed'!L13</f>
        <v>100</v>
      </c>
      <c r="T14" s="1">
        <f>'All Minorities'!L13</f>
        <v>1</v>
      </c>
      <c r="W14" s="8"/>
      <c r="X14" s="8"/>
      <c r="Y14" s="8"/>
      <c r="Z14" s="8"/>
      <c r="AA14" s="8"/>
      <c r="AB14" s="8"/>
      <c r="AC14" s="8"/>
      <c r="AD14" s="8"/>
    </row>
    <row r="15" spans="2:30" s="1" customFormat="1" ht="33">
      <c r="B15" s="124" t="s">
        <v>125</v>
      </c>
      <c r="C15" s="101">
        <f>'Data Entry'!C14</f>
        <v>423</v>
      </c>
      <c r="D15" s="106">
        <f>'Data Entry'!D14</f>
        <v>333</v>
      </c>
      <c r="E15" s="107">
        <f>'Black or African-American'!$G14</f>
        <v>1.1349007136004625</v>
      </c>
      <c r="F15" s="108">
        <f>'Data Entry'!E14</f>
        <v>10</v>
      </c>
      <c r="G15" s="107">
        <f>Hispanic!G14</f>
        <v>0.23183741581739081</v>
      </c>
      <c r="H15" s="108">
        <f>'Data Entry'!F14</f>
        <v>15</v>
      </c>
      <c r="I15" s="107" t="str">
        <f>Asian!G14</f>
        <v>**</v>
      </c>
      <c r="J15" s="108">
        <f>'Data Entry'!J14</f>
        <v>397</v>
      </c>
      <c r="K15" s="109">
        <f>'All Minorities'!G14</f>
        <v>1.019329458860958</v>
      </c>
      <c r="L15"/>
      <c r="N15" s="1">
        <f>'Black or African-American'!L14</f>
        <v>2</v>
      </c>
      <c r="O15" s="1">
        <f>Hispanic!L14</f>
        <v>1</v>
      </c>
      <c r="P15" s="1">
        <f>Asian!L14</f>
        <v>20</v>
      </c>
      <c r="Q15" s="1">
        <f>Hawaiian!L14</f>
        <v>139</v>
      </c>
      <c r="R15" s="1">
        <f>'Am Indian'!L14</f>
        <v>101</v>
      </c>
      <c r="S15" s="1">
        <f>'Other - Mixed'!L14</f>
        <v>101</v>
      </c>
      <c r="T15" s="1">
        <f>'All Minorities'!L14</f>
        <v>2</v>
      </c>
      <c r="W15" s="8"/>
      <c r="X15" s="8"/>
      <c r="Y15" s="8"/>
      <c r="Z15" s="8"/>
      <c r="AA15" s="8"/>
      <c r="AB15" s="8"/>
      <c r="AC15" s="8"/>
      <c r="AD15" s="8"/>
    </row>
    <row r="16" spans="2:30" s="1" customFormat="1" ht="15" customHeight="1">
      <c r="B16" s="119" t="s">
        <v>16</v>
      </c>
      <c r="C16" s="101">
        <f>'Data Entry'!C15</f>
        <v>3</v>
      </c>
      <c r="D16" s="114">
        <f>'Data Entry'!D15</f>
        <v>27</v>
      </c>
      <c r="E16" s="115" t="str">
        <f>'Black or African-American'!$G15</f>
        <v>**</v>
      </c>
      <c r="F16" s="116">
        <f>'Data Entry'!E15</f>
        <v>4</v>
      </c>
      <c r="G16" s="115" t="str">
        <f>Hispanic!G15</f>
        <v>**</v>
      </c>
      <c r="H16" s="116">
        <f>'Data Entry'!F15</f>
        <v>0</v>
      </c>
      <c r="I16" s="115" t="str">
        <f>Asian!G15</f>
        <v>**</v>
      </c>
      <c r="J16" s="116">
        <f>'Data Entry'!J15</f>
        <v>33</v>
      </c>
      <c r="K16" s="117" t="str">
        <f>'All Minorities'!G15</f>
        <v>**</v>
      </c>
      <c r="L16"/>
      <c r="N16" s="1">
        <f>'Black or African-American'!L15</f>
        <v>20</v>
      </c>
      <c r="O16" s="1">
        <f>Hispanic!L15</f>
        <v>20</v>
      </c>
      <c r="P16" s="1">
        <f>Asian!L15</f>
        <v>40</v>
      </c>
      <c r="Q16" s="1">
        <f>Hawaiian!L15</f>
        <v>139</v>
      </c>
      <c r="R16" s="1">
        <f>'Am Indian'!L15</f>
        <v>139</v>
      </c>
      <c r="S16" s="1">
        <f>'Other - Mixed'!L15</f>
        <v>119</v>
      </c>
      <c r="T16" s="1">
        <f>'All Minorities'!L15</f>
        <v>20</v>
      </c>
      <c r="W16" s="8"/>
      <c r="X16" s="8"/>
      <c r="Y16" s="8"/>
      <c r="Z16" s="8"/>
      <c r="AA16" s="8"/>
      <c r="AB16" s="8"/>
      <c r="AC16" s="8"/>
      <c r="AD16" s="8"/>
    </row>
    <row r="17" spans="2:30" s="1" customFormat="1" ht="15" customHeight="1" thickBot="1">
      <c r="B17" s="125" t="s">
        <v>98</v>
      </c>
      <c r="C17" s="96" t="str">
        <f>'Data Entry'!C16</f>
        <v>Yes</v>
      </c>
      <c r="D17" s="127"/>
      <c r="E17" s="136" t="str">
        <f>'Data Entry'!$D$16</f>
        <v>Yes</v>
      </c>
      <c r="F17" s="127"/>
      <c r="G17" s="136" t="str">
        <f>'Data Entry'!$E$16</f>
        <v>Yes</v>
      </c>
      <c r="H17" s="127"/>
      <c r="I17" s="136" t="str">
        <f>'Data Entry'!F16</f>
        <v>Yes</v>
      </c>
      <c r="J17" s="127"/>
      <c r="K17" s="135" t="str">
        <f>'Data Entry'!J16</f>
        <v>Yes</v>
      </c>
      <c r="L17"/>
      <c r="W17" s="8"/>
      <c r="X17" s="8"/>
      <c r="Y17" s="8"/>
      <c r="Z17" s="8"/>
      <c r="AA17" s="8"/>
      <c r="AB17" s="8"/>
      <c r="AC17" s="8"/>
      <c r="AD17" s="8"/>
    </row>
    <row r="18" spans="2:30" ht="15" customHeight="1" thickTop="1" thickBot="1">
      <c r="B18" s="91"/>
      <c r="C18" s="91"/>
      <c r="D18" s="91"/>
      <c r="E18" s="91"/>
      <c r="F18" s="91"/>
      <c r="G18" s="91"/>
      <c r="H18" s="91"/>
      <c r="I18" s="91"/>
      <c r="J18" s="91"/>
      <c r="K18" s="91"/>
      <c r="W18" s="8"/>
      <c r="X18" s="8"/>
      <c r="Y18" s="8"/>
      <c r="Z18" s="8"/>
      <c r="AA18" s="8"/>
      <c r="AB18" s="8"/>
      <c r="AC18" s="8"/>
      <c r="AD18" s="8"/>
    </row>
    <row r="19" spans="2:30" ht="18" customHeight="1" thickBot="1">
      <c r="B19" s="202" t="s">
        <v>122</v>
      </c>
      <c r="C19" s="203"/>
      <c r="D19" s="203"/>
      <c r="E19" s="203"/>
      <c r="F19" s="203"/>
      <c r="G19" s="203"/>
      <c r="H19" s="203"/>
      <c r="I19" s="204"/>
      <c r="J19" s="205"/>
      <c r="K19" s="206"/>
    </row>
    <row r="20" spans="2:30" ht="15.75">
      <c r="B20" s="151" t="s">
        <v>127</v>
      </c>
      <c r="C20" s="210" t="s">
        <v>54</v>
      </c>
      <c r="D20" s="211"/>
      <c r="E20" s="194" t="s">
        <v>57</v>
      </c>
      <c r="F20" s="195"/>
      <c r="G20" s="195"/>
      <c r="H20" s="195"/>
      <c r="I20" s="195"/>
      <c r="J20" s="195"/>
      <c r="K20" s="152" t="s">
        <v>58</v>
      </c>
    </row>
    <row r="21" spans="2:30" ht="15" customHeight="1">
      <c r="B21" s="153" t="s">
        <v>128</v>
      </c>
      <c r="C21" s="196" t="s">
        <v>56</v>
      </c>
      <c r="D21" s="197"/>
      <c r="E21" s="198" t="s">
        <v>59</v>
      </c>
      <c r="F21" s="199"/>
      <c r="G21" s="199"/>
      <c r="H21" s="199"/>
      <c r="I21" s="199"/>
      <c r="J21" s="199"/>
      <c r="K21" s="154" t="s">
        <v>60</v>
      </c>
    </row>
    <row r="22" spans="2:30" ht="15" customHeight="1" thickBot="1">
      <c r="B22" s="207"/>
      <c r="C22" s="208"/>
      <c r="D22" s="209"/>
      <c r="E22" s="200" t="s">
        <v>61</v>
      </c>
      <c r="F22" s="201"/>
      <c r="G22" s="201"/>
      <c r="H22" s="201"/>
      <c r="I22" s="201"/>
      <c r="J22" s="201"/>
      <c r="K22" s="155" t="s">
        <v>62</v>
      </c>
    </row>
    <row r="23" spans="2:30" ht="15" customHeight="1">
      <c r="B23" s="91"/>
      <c r="C23" s="91"/>
      <c r="D23" s="91"/>
      <c r="E23"/>
      <c r="F23"/>
      <c r="G23"/>
      <c r="H23"/>
      <c r="J23"/>
      <c r="K23"/>
    </row>
    <row r="24" spans="2:30" ht="15" customHeight="1">
      <c r="B24" s="91"/>
      <c r="C24" s="91"/>
      <c r="D24" s="91"/>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2.Arrest: Michigan State Police</v>
      </c>
      <c r="I26" s="94"/>
    </row>
    <row r="27" spans="2:30" ht="12.75" customHeight="1">
      <c r="B27" s="1" t="str">
        <f>'Data Entry'!A20</f>
        <v>Item 3.Referral: State Court Administrative Office</v>
      </c>
      <c r="E27" s="1" t="str">
        <f>'Data Entry'!D20</f>
        <v>Item 4.Diversion: State Court Administrative Office</v>
      </c>
      <c r="I27" s="94"/>
    </row>
    <row r="28" spans="2:30" ht="12.75" customHeight="1">
      <c r="B28" s="1" t="str">
        <f>'Data Entry'!A21</f>
        <v>Item 5.Detention: State Court Administrative Office</v>
      </c>
      <c r="E28" s="1" t="str">
        <f>'Data Entry'!D21</f>
        <v>Item 6.Petitioned: State Court Administrative Office</v>
      </c>
      <c r="I28" s="94"/>
    </row>
    <row r="29" spans="2:30" ht="12.75" customHeight="1">
      <c r="B29" s="1" t="str">
        <f>'Data Entry'!A22</f>
        <v>Item 7.Delinquent: State Court Administrative Office</v>
      </c>
      <c r="E29" s="1" t="str">
        <f>'Data Entry'!D22</f>
        <v>Item 8.Probation: State Court Administrative Office</v>
      </c>
      <c r="I29" s="94"/>
    </row>
    <row r="30" spans="2:30" ht="12.75" customHeight="1">
      <c r="B30" s="1" t="str">
        <f>'Data Entry'!A23</f>
        <v>Item 9.Confinement: State Court Administrative Office</v>
      </c>
      <c r="E30" s="1" t="str">
        <f>'Data Entry'!D23</f>
        <v>Item 10.Transferred: State Court Administrative Office</v>
      </c>
      <c r="I30" s="94"/>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W3" sqref="W3"/>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4" t="str">
        <f>'Data Entry'!D5</f>
        <v>Black or African American</v>
      </c>
      <c r="G1" s="214"/>
      <c r="H1" s="214"/>
      <c r="I1" s="214"/>
      <c r="J1" s="214"/>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All Reporting Counties</v>
      </c>
      <c r="C3" s="22"/>
      <c r="D3" s="22"/>
      <c r="E3" s="22"/>
      <c r="F3" s="22"/>
      <c r="G3" s="7"/>
      <c r="H3" s="7"/>
      <c r="I3" s="7"/>
      <c r="J3" s="7"/>
      <c r="K3" s="7"/>
      <c r="N3" s="213" t="s">
        <v>31</v>
      </c>
      <c r="O3" s="213"/>
      <c r="P3" s="213"/>
      <c r="Q3" s="213"/>
      <c r="R3" s="213"/>
      <c r="S3" s="213"/>
      <c r="T3" s="213"/>
      <c r="U3" s="213"/>
    </row>
    <row r="4" spans="2:21" ht="8.25" customHeight="1">
      <c r="B4" s="4"/>
      <c r="C4" s="23"/>
      <c r="D4" s="23"/>
      <c r="E4" s="23"/>
      <c r="F4" s="23"/>
      <c r="G4" s="8"/>
      <c r="H4" s="8"/>
      <c r="I4" s="8"/>
      <c r="N4" s="213"/>
      <c r="O4" s="213"/>
      <c r="P4" s="213"/>
      <c r="Q4" s="213"/>
      <c r="R4" s="213"/>
      <c r="S4" s="213"/>
      <c r="T4" s="213"/>
      <c r="U4" s="213"/>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10-17) </v>
      </c>
      <c r="C6" s="33">
        <f>'Data Entry'!C6</f>
        <v>679737</v>
      </c>
      <c r="D6" s="34"/>
      <c r="E6" s="33">
        <f>'Data Entry'!D6</f>
        <v>175028</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2. Juvenile Arrests</v>
      </c>
      <c r="C7" s="33">
        <f>'Data Entry'!C7</f>
        <v>4270</v>
      </c>
      <c r="D7" s="34">
        <f>IF((AND(C66&gt;0,C7&gt;0)),(C7/C66),0)</f>
        <v>6.2818413592315858</v>
      </c>
      <c r="E7" s="33">
        <f>'Data Entry'!D7</f>
        <v>4153</v>
      </c>
      <c r="F7" s="34">
        <f>IF((AND($E$7&gt;0,$D$66&gt;0)),($E$7/$D$66),0)</f>
        <v>23.727632150284528</v>
      </c>
      <c r="G7" s="39">
        <f>IF(L$6=100,"*",IF(M7=FALSE,"--",IF(K7=20,"**",($F7/$D7))))</f>
        <v>3.7771778676669676</v>
      </c>
      <c r="H7" s="40"/>
      <c r="I7" s="41"/>
      <c r="J7" s="40">
        <f>IF((ABS($U7)&gt;Defaults!D$7),1,2)</f>
        <v>1</v>
      </c>
      <c r="K7" s="39">
        <f>IF((AND(N7&gt;Defaults!B$12,(N7+O7)&gt;Defaults!B$13, P7 &gt; Defaults!B$12, (P7+Q7) &gt; Defaults!B$13)),1,20)</f>
        <v>1</v>
      </c>
      <c r="L7" s="1">
        <f>(J7*K7+L$6)-1</f>
        <v>1</v>
      </c>
      <c r="M7" s="1" t="b">
        <f t="shared" ref="M7:M15" si="0">(ISNUMBER(J7))</f>
        <v>1</v>
      </c>
      <c r="N7" s="42">
        <f t="shared" ref="N7:N15" si="1">E7</f>
        <v>4153</v>
      </c>
      <c r="O7" s="42">
        <f>E6-E7</f>
        <v>170875</v>
      </c>
      <c r="P7" s="42">
        <f t="shared" ref="P7:P15" si="2">C7</f>
        <v>4270</v>
      </c>
      <c r="Q7" s="42">
        <f>C6-C7</f>
        <v>675467</v>
      </c>
      <c r="R7" s="42">
        <f t="shared" ref="R7:R15" si="3">SUM(N7:Q7)</f>
        <v>854765</v>
      </c>
      <c r="S7" s="30">
        <f t="shared" ref="S7:S15" si="4">R7*((((N7*Q7)-(O7*P7))^2))</f>
        <v>3.6823488766946793E+24</v>
      </c>
      <c r="T7" s="30">
        <f t="shared" ref="T7:T15" si="5">(N7+O7)*(P7+Q7)*(N7+P7)*(O7+Q7)</f>
        <v>8.4812747974506643E+20</v>
      </c>
      <c r="U7" s="31">
        <f t="shared" ref="U7:U15" si="6">IF((S7&gt;0),S7/T7,"- -")</f>
        <v>4341.7398500064337</v>
      </c>
    </row>
    <row r="8" spans="2:21" ht="18" customHeight="1">
      <c r="B8" s="32" t="str">
        <f>'Data Entry'!A8</f>
        <v>3. Refer to Juvenile Court</v>
      </c>
      <c r="C8" s="33">
        <f>'Data Entry'!C8</f>
        <v>7077</v>
      </c>
      <c r="D8" s="34">
        <f>IF((AND(C67&gt;0,C8&gt;0)),(C8/C67),0)</f>
        <v>165.73770491803276</v>
      </c>
      <c r="E8" s="33">
        <f>'Data Entry'!D8</f>
        <v>4693</v>
      </c>
      <c r="F8" s="34">
        <f>IF((AND($E$8&gt;0,$D$67&gt;0)),($E8/$D67),0)</f>
        <v>113.00264868769564</v>
      </c>
      <c r="G8" s="39">
        <f t="shared" ref="G8:G15" si="7">IF(L$6=100,"*",IF(M8=FALSE,"--",IF(K8=20,"**",($F8/$D8))))</f>
        <v>0.68181617902566127</v>
      </c>
      <c r="H8" s="40"/>
      <c r="I8" s="41"/>
      <c r="J8" s="40">
        <f>IF((ABS($U8)&gt;Defaults!D$7),1,2)</f>
        <v>1</v>
      </c>
      <c r="K8" s="39">
        <f>IF((AND(N8&gt;Defaults!B$12,(N8+O8)&gt;Defaults!B$13, P8 &gt; Defaults!B$12, (P8+Q8) &gt; Defaults!B$13)),1,20)</f>
        <v>1</v>
      </c>
      <c r="L8" s="1">
        <f t="shared" ref="L8:L15" si="8">(J8*K8+L$6)-1</f>
        <v>1</v>
      </c>
      <c r="M8" s="1" t="b">
        <f t="shared" si="0"/>
        <v>1</v>
      </c>
      <c r="N8" s="42">
        <f t="shared" si="1"/>
        <v>4693</v>
      </c>
      <c r="O8" s="42">
        <f>((D67*L67)-E8)+0.05</f>
        <v>-539.95000000000005</v>
      </c>
      <c r="P8" s="42">
        <f t="shared" si="2"/>
        <v>7077</v>
      </c>
      <c r="Q8" s="42">
        <f>(C$67*L67)-C8</f>
        <v>-2807</v>
      </c>
      <c r="R8" s="42">
        <f t="shared" si="3"/>
        <v>8423.0499999999993</v>
      </c>
      <c r="S8" s="30">
        <f t="shared" si="4"/>
        <v>7.3668305937887219E+17</v>
      </c>
      <c r="T8" s="30">
        <f t="shared" si="5"/>
        <v>-698587357949885.25</v>
      </c>
      <c r="U8" s="31">
        <f t="shared" si="6"/>
        <v>-1054.5324804342076</v>
      </c>
    </row>
    <row r="9" spans="2:21" ht="18" customHeight="1">
      <c r="B9" s="32" t="str">
        <f>'Data Entry'!A9</f>
        <v xml:space="preserve">4. Cases Diverted </v>
      </c>
      <c r="C9" s="33">
        <f>'Data Entry'!C9</f>
        <v>1540</v>
      </c>
      <c r="D9" s="34">
        <f>IF((AND(C68&gt;0,C9&gt;0)),((C9/C68)),0)</f>
        <v>21.760633036597429</v>
      </c>
      <c r="E9" s="33">
        <f>'Data Entry'!D9</f>
        <v>1335</v>
      </c>
      <c r="F9" s="34">
        <f>IF((AND($E$9&gt;0,$D$68&gt;0)),(($E$9/$D$68)),0)</f>
        <v>28.446622629448115</v>
      </c>
      <c r="G9" s="39">
        <f t="shared" si="7"/>
        <v>1.3072516126532747</v>
      </c>
      <c r="H9" s="40"/>
      <c r="I9" s="41"/>
      <c r="J9" s="40">
        <f>IF((ABS($U9)&gt;Defaults!D$7),1,2)</f>
        <v>1</v>
      </c>
      <c r="K9" s="39">
        <f>IF((AND(N9&gt;Defaults!B$12,(N9+O9)&gt;Defaults!B$13, P9 &gt; Defaults!B$12, (P9+Q9) &gt; Defaults!B$13)),1,20)</f>
        <v>1</v>
      </c>
      <c r="L9" s="1">
        <f t="shared" si="8"/>
        <v>1</v>
      </c>
      <c r="M9" s="1" t="b">
        <f t="shared" si="0"/>
        <v>1</v>
      </c>
      <c r="N9" s="42">
        <f t="shared" si="1"/>
        <v>1335</v>
      </c>
      <c r="O9" s="42">
        <f>(D$68*L68)-E9</f>
        <v>3358</v>
      </c>
      <c r="P9" s="42">
        <f t="shared" si="2"/>
        <v>1540</v>
      </c>
      <c r="Q9" s="42">
        <f>(C$68*L68)-C9</f>
        <v>5537</v>
      </c>
      <c r="R9" s="42">
        <f t="shared" si="3"/>
        <v>11770</v>
      </c>
      <c r="S9" s="30">
        <f t="shared" si="4"/>
        <v>5.8037320701456248E+16</v>
      </c>
      <c r="T9" s="30">
        <f t="shared" si="5"/>
        <v>849343859398125</v>
      </c>
      <c r="U9" s="31">
        <f t="shared" si="6"/>
        <v>68.331948314294678</v>
      </c>
    </row>
    <row r="10" spans="2:21" ht="18" customHeight="1">
      <c r="B10" s="32" t="str">
        <f>'Data Entry'!A10</f>
        <v>5. Cases Involving Secure Detention</v>
      </c>
      <c r="C10" s="33">
        <f>'Data Entry'!C10</f>
        <v>880</v>
      </c>
      <c r="D10" s="34">
        <f>IF(((AND(C68&gt;0,C10&gt;0))),(C10/(C68)),0)</f>
        <v>12.434647449484245</v>
      </c>
      <c r="E10" s="33">
        <f>'Data Entry'!D10</f>
        <v>1410</v>
      </c>
      <c r="F10" s="34">
        <f>IF(((AND($E$10&gt;0,$D$68&gt;0))),($E$10/($D$68)),0)</f>
        <v>30.044747496271043</v>
      </c>
      <c r="G10" s="39">
        <f t="shared" si="7"/>
        <v>2.4162122503535244</v>
      </c>
      <c r="H10" s="40"/>
      <c r="I10" s="41"/>
      <c r="J10" s="40">
        <f>IF((ABS($U10)&gt;Defaults!D$7),1,2)</f>
        <v>1</v>
      </c>
      <c r="K10" s="39">
        <f>IF((AND(N10&gt;Defaults!B$12,(N10+O10)&gt;Defaults!B$13, P10 &gt; Defaults!B$12, (P10+Q10) &gt; Defaults!B$13)),1,20)</f>
        <v>1</v>
      </c>
      <c r="L10" s="1">
        <f t="shared" si="8"/>
        <v>1</v>
      </c>
      <c r="M10" s="1" t="b">
        <f t="shared" si="0"/>
        <v>1</v>
      </c>
      <c r="N10" s="42">
        <f t="shared" si="1"/>
        <v>1410</v>
      </c>
      <c r="O10" s="42">
        <f>(D$68*L68)-E10</f>
        <v>3283</v>
      </c>
      <c r="P10" s="42">
        <f t="shared" si="2"/>
        <v>880</v>
      </c>
      <c r="Q10" s="42">
        <f>(C$68*L68)-C10</f>
        <v>6197</v>
      </c>
      <c r="R10" s="42">
        <f t="shared" si="3"/>
        <v>11770</v>
      </c>
      <c r="S10" s="30">
        <f t="shared" si="4"/>
        <v>4.0262395355383302E+17</v>
      </c>
      <c r="T10" s="30">
        <f t="shared" si="5"/>
        <v>721013787421200</v>
      </c>
      <c r="U10" s="31">
        <f t="shared" si="6"/>
        <v>558.413667780016</v>
      </c>
    </row>
    <row r="11" spans="2:21" ht="18" customHeight="1">
      <c r="B11" s="32" t="str">
        <f>'Data Entry'!A11</f>
        <v>6. Cases Petitioned (Charge Filed)</v>
      </c>
      <c r="C11" s="33">
        <f>'Data Entry'!C11</f>
        <v>3765</v>
      </c>
      <c r="D11" s="34">
        <f>IF(((AND(C68&gt;0,C11&gt;0))),(C11/(C68)),0)</f>
        <v>53.200508690122938</v>
      </c>
      <c r="E11" s="33">
        <f>'Data Entry'!D11</f>
        <v>2728</v>
      </c>
      <c r="F11" s="34">
        <f>IF(((AND($E$11&gt;0,$D$68&gt;0))),($E$11/($D$68)),0)</f>
        <v>58.129128489239292</v>
      </c>
      <c r="G11" s="39">
        <f t="shared" si="7"/>
        <v>1.0926423434750236</v>
      </c>
      <c r="H11" s="40"/>
      <c r="I11" s="41"/>
      <c r="J11" s="40">
        <f>IF((ABS($U11)&gt;Defaults!D$7),1,2)</f>
        <v>1</v>
      </c>
      <c r="K11" s="39">
        <f>IF((AND(N11&gt;Defaults!B$12,(N11+O11)&gt;Defaults!B$13, P11 &gt; Defaults!B$12, (P11+Q11) &gt; Defaults!B$13)),1,20)</f>
        <v>1</v>
      </c>
      <c r="L11" s="1">
        <f t="shared" si="8"/>
        <v>1</v>
      </c>
      <c r="M11" s="1" t="b">
        <f t="shared" si="0"/>
        <v>1</v>
      </c>
      <c r="N11" s="42">
        <f t="shared" si="1"/>
        <v>2728</v>
      </c>
      <c r="O11" s="42">
        <f>(D$68*L68)-E11</f>
        <v>1965</v>
      </c>
      <c r="P11" s="42">
        <f t="shared" si="2"/>
        <v>3765</v>
      </c>
      <c r="Q11" s="42">
        <f>(C$68*L68)-C11</f>
        <v>3312</v>
      </c>
      <c r="R11" s="42">
        <f t="shared" si="3"/>
        <v>11770</v>
      </c>
      <c r="S11" s="30">
        <f t="shared" si="4"/>
        <v>3.1537451610010168E+16</v>
      </c>
      <c r="T11" s="30">
        <f t="shared" si="5"/>
        <v>1137973757077521</v>
      </c>
      <c r="U11" s="31">
        <f t="shared" si="6"/>
        <v>27.713689717241675</v>
      </c>
    </row>
    <row r="12" spans="2:21" ht="18" customHeight="1">
      <c r="B12" s="32" t="str">
        <f>'Data Entry'!A12</f>
        <v>7. Cases Resulting in Delinquent Findings</v>
      </c>
      <c r="C12" s="33">
        <f>'Data Entry'!C12</f>
        <v>2334</v>
      </c>
      <c r="D12" s="34">
        <f>IF(((AND(C69&gt;0,C12&gt;0))),(C12/(C69)),0)</f>
        <v>61.992031872509962</v>
      </c>
      <c r="E12" s="33">
        <f>'Data Entry'!D12</f>
        <v>1619</v>
      </c>
      <c r="F12" s="34">
        <f>IF(((AND($D$69&gt;0,$E$12&gt;0))),(E12/(D69)),0)</f>
        <v>59.347507331378296</v>
      </c>
      <c r="G12" s="39">
        <f t="shared" si="7"/>
        <v>0.95734089589819737</v>
      </c>
      <c r="H12" s="40"/>
      <c r="I12" s="41"/>
      <c r="J12" s="40">
        <f>IF((ABS($U12)&gt;Defaults!D$7),1,2)</f>
        <v>1</v>
      </c>
      <c r="K12" s="39">
        <f>IF((AND(N12&gt;Defaults!B$12,(N12+O12)&gt;Defaults!B$13, P12 &gt; Defaults!B$12, (P12+Q12) &gt; Defaults!B$13)),1,20)</f>
        <v>1</v>
      </c>
      <c r="L12" s="1">
        <f t="shared" si="8"/>
        <v>1</v>
      </c>
      <c r="M12" s="1" t="b">
        <f t="shared" si="0"/>
        <v>1</v>
      </c>
      <c r="N12" s="42">
        <f t="shared" si="1"/>
        <v>1619</v>
      </c>
      <c r="O12" s="42">
        <f>(D69*L69)-E12</f>
        <v>1109</v>
      </c>
      <c r="P12" s="42">
        <f t="shared" si="2"/>
        <v>2334</v>
      </c>
      <c r="Q12" s="42">
        <f>(C69*L69)-C12</f>
        <v>1431</v>
      </c>
      <c r="R12" s="42">
        <f t="shared" si="3"/>
        <v>6493</v>
      </c>
      <c r="S12" s="30">
        <f t="shared" si="4"/>
        <v>479026234915677</v>
      </c>
      <c r="T12" s="30">
        <f t="shared" si="5"/>
        <v>103126404770400</v>
      </c>
      <c r="U12" s="31">
        <f t="shared" si="6"/>
        <v>4.6450396092269299</v>
      </c>
    </row>
    <row r="13" spans="2:21" ht="18" customHeight="1">
      <c r="B13" s="32" t="str">
        <f>'Data Entry'!A13</f>
        <v>8. Cases Resulting in Probation Placement</v>
      </c>
      <c r="C13" s="33">
        <f>'Data Entry'!C13</f>
        <v>2458</v>
      </c>
      <c r="D13" s="34">
        <f>IF(((AND(C70&gt;0,C13&gt;0))),(C13/(C70)),0)</f>
        <v>105.3127677806341</v>
      </c>
      <c r="E13" s="33">
        <f>'Data Entry'!D13</f>
        <v>1645</v>
      </c>
      <c r="F13" s="34">
        <f>IF(((AND($D$70&gt;0,$E$13&gt;0))),($E$13/($D$70)),0)</f>
        <v>101.60592958616429</v>
      </c>
      <c r="G13" s="39">
        <f t="shared" si="7"/>
        <v>0.96480162593208896</v>
      </c>
      <c r="H13" s="40"/>
      <c r="I13" s="41"/>
      <c r="J13" s="40">
        <f>IF((ABS($U13)&gt;Defaults!D$7),1,2)</f>
        <v>1</v>
      </c>
      <c r="K13" s="39">
        <f>IF((AND(N13&gt;Defaults!B$12,(N13+O13)&gt;Defaults!B$13, P13 &gt; Defaults!B$12, (P13+Q13) &gt; Defaults!B$13)),1,20)</f>
        <v>1</v>
      </c>
      <c r="L13" s="1">
        <f t="shared" si="8"/>
        <v>1</v>
      </c>
      <c r="M13" s="1" t="b">
        <f t="shared" si="0"/>
        <v>1</v>
      </c>
      <c r="N13" s="42">
        <f t="shared" si="1"/>
        <v>1645</v>
      </c>
      <c r="O13" s="42">
        <f>(D70*L70)-E13</f>
        <v>-25.999999999999773</v>
      </c>
      <c r="P13" s="42">
        <f t="shared" si="2"/>
        <v>2458</v>
      </c>
      <c r="Q13" s="42">
        <f>(C70*L70)-C13</f>
        <v>-124</v>
      </c>
      <c r="R13" s="42">
        <f t="shared" si="3"/>
        <v>3953</v>
      </c>
      <c r="S13" s="30">
        <f t="shared" si="4"/>
        <v>77558512972352.625</v>
      </c>
      <c r="T13" s="30">
        <f t="shared" si="5"/>
        <v>-2325629225699.9966</v>
      </c>
      <c r="U13" s="31">
        <f t="shared" si="6"/>
        <v>-33.349474677765159</v>
      </c>
    </row>
    <row r="14" spans="2:21" ht="30.75" customHeight="1">
      <c r="B14" s="32" t="str">
        <f>'Data Entry'!A14</f>
        <v xml:space="preserve">9. Cases Resulting in Confinement in Secure Juvenile Correctional Facilities </v>
      </c>
      <c r="C14" s="33">
        <f>'Data Entry'!C14</f>
        <v>423</v>
      </c>
      <c r="D14" s="34">
        <f>IF(((AND(C70&gt;0,C14&gt;0))), ((C14/(C70))),0)</f>
        <v>18.123393316195372</v>
      </c>
      <c r="E14" s="33">
        <f>'Data Entry'!D14</f>
        <v>333</v>
      </c>
      <c r="F14" s="34">
        <f>IF(((AND($D$70&gt;0,$E$14&gt;0))), (($E$14/($D$70))),0)</f>
        <v>20.568252007411981</v>
      </c>
      <c r="G14" s="39">
        <f t="shared" si="7"/>
        <v>1.1349007136004625</v>
      </c>
      <c r="H14" s="40"/>
      <c r="I14" s="41"/>
      <c r="J14" s="40">
        <f>IF((ABS($U14)&gt;Defaults!D$7),1,2)</f>
        <v>2</v>
      </c>
      <c r="K14" s="39">
        <f>IF((AND(N14&gt;Defaults!B$12,(N14+O14)&gt;Defaults!B$13, P14 &gt; Defaults!B$12, (P14+Q14) &gt; Defaults!B$13)),1,20)</f>
        <v>1</v>
      </c>
      <c r="L14" s="1">
        <f t="shared" si="8"/>
        <v>2</v>
      </c>
      <c r="M14" s="1" t="b">
        <f t="shared" si="0"/>
        <v>1</v>
      </c>
      <c r="N14" s="42">
        <f t="shared" si="1"/>
        <v>333</v>
      </c>
      <c r="O14" s="42">
        <f>(D70*L70)-E14</f>
        <v>1286.0000000000002</v>
      </c>
      <c r="P14" s="42">
        <f t="shared" si="2"/>
        <v>423</v>
      </c>
      <c r="Q14" s="42">
        <f>(C70*L70)-C14</f>
        <v>1911</v>
      </c>
      <c r="R14" s="42">
        <f t="shared" si="3"/>
        <v>3953</v>
      </c>
      <c r="S14" s="30">
        <f t="shared" si="4"/>
        <v>33738808453424.914</v>
      </c>
      <c r="T14" s="30">
        <f t="shared" si="5"/>
        <v>9132972127272.002</v>
      </c>
      <c r="U14" s="31">
        <f t="shared" si="6"/>
        <v>3.6941762203212396</v>
      </c>
    </row>
    <row r="15" spans="2:21" ht="15.75" customHeight="1">
      <c r="B15" s="32" t="str">
        <f>'Data Entry'!A15</f>
        <v xml:space="preserve">10. Cases Transferred to Adult Court </v>
      </c>
      <c r="C15" s="33">
        <f>'Data Entry'!C15</f>
        <v>3</v>
      </c>
      <c r="D15" s="34">
        <f>IF(((AND(C69&gt;0,C15&gt;0))),((C15/(C69))),0)</f>
        <v>7.9681274900398405E-2</v>
      </c>
      <c r="E15" s="33">
        <f>'Data Entry'!D15</f>
        <v>27</v>
      </c>
      <c r="F15" s="34">
        <f>IF(((AND($D$69&gt;0,$E$15&gt;0))),(($E$15/($D$69))),0)</f>
        <v>0.98973607038123168</v>
      </c>
      <c r="G15" s="39" t="str">
        <f t="shared" si="7"/>
        <v>**</v>
      </c>
      <c r="H15" s="40"/>
      <c r="I15" s="41"/>
      <c r="J15" s="40">
        <f>IF((ABS($U15)&gt;Defaults!D$7),1,2)</f>
        <v>1</v>
      </c>
      <c r="K15" s="39">
        <f>IF((AND(N15&gt;Defaults!B$12,(N15+O15)&gt;Defaults!B$13, P15 &gt; Defaults!B$12, (P15+Q15) &gt; Defaults!B$13)),1,20)</f>
        <v>20</v>
      </c>
      <c r="L15" s="1">
        <f t="shared" si="8"/>
        <v>20</v>
      </c>
      <c r="M15" s="1" t="b">
        <f t="shared" si="0"/>
        <v>1</v>
      </c>
      <c r="N15" s="42">
        <f t="shared" si="1"/>
        <v>27</v>
      </c>
      <c r="O15" s="42">
        <f>(D69*L69)-E15</f>
        <v>2701</v>
      </c>
      <c r="P15" s="42">
        <f t="shared" si="2"/>
        <v>3</v>
      </c>
      <c r="Q15" s="42">
        <f>(C69*L69)-C15</f>
        <v>3762</v>
      </c>
      <c r="R15" s="42">
        <f t="shared" si="3"/>
        <v>6493</v>
      </c>
      <c r="S15" s="30">
        <f t="shared" si="4"/>
        <v>56728223171613</v>
      </c>
      <c r="T15" s="30">
        <f t="shared" si="5"/>
        <v>1991428678800</v>
      </c>
      <c r="U15" s="31">
        <f t="shared" si="6"/>
        <v>28.486193743979037</v>
      </c>
    </row>
    <row r="16" spans="2:21" ht="12" customHeight="1">
      <c r="B16" s="43" t="s">
        <v>51</v>
      </c>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52</v>
      </c>
    </row>
    <row r="19" spans="2:21" ht="15" customHeight="1">
      <c r="B19" s="1" t="s">
        <v>53</v>
      </c>
      <c r="D19" s="45" t="s">
        <v>54</v>
      </c>
    </row>
    <row r="20" spans="2:21" ht="15" customHeight="1">
      <c r="B20" s="1" t="s">
        <v>55</v>
      </c>
      <c r="D20" s="1" t="s">
        <v>56</v>
      </c>
    </row>
    <row r="21" spans="2:21" ht="15" customHeight="1">
      <c r="B21" s="1" t="s">
        <v>57</v>
      </c>
      <c r="D21" s="1" t="s">
        <v>58</v>
      </c>
    </row>
    <row r="22" spans="2:21" ht="15" customHeight="1">
      <c r="B22" s="1" t="s">
        <v>59</v>
      </c>
      <c r="D22" s="1" t="s">
        <v>60</v>
      </c>
    </row>
    <row r="23" spans="2:21" ht="15" customHeight="1">
      <c r="B23" s="1" t="s">
        <v>61</v>
      </c>
      <c r="D23" s="1" t="s">
        <v>62</v>
      </c>
    </row>
    <row r="24" spans="2:21" ht="12" customHeight="1">
      <c r="B24" s="43"/>
      <c r="C24" s="44"/>
      <c r="D24" s="44"/>
      <c r="E24" s="44"/>
      <c r="F24" s="44"/>
      <c r="G24" s="44"/>
      <c r="H24" s="44"/>
      <c r="I24" s="44"/>
      <c r="N24" s="21"/>
      <c r="O24" s="21"/>
      <c r="P24" s="21"/>
      <c r="Q24" s="21"/>
      <c r="R24" s="21"/>
      <c r="S24" s="30"/>
      <c r="T24" s="30"/>
      <c r="U24" s="31"/>
    </row>
    <row r="25" spans="2:21" ht="15" customHeight="1">
      <c r="B25" s="46" t="s">
        <v>63</v>
      </c>
      <c r="K25" s="1" t="s">
        <v>64</v>
      </c>
      <c r="L25" s="1" t="s">
        <v>65</v>
      </c>
      <c r="N25" s="21"/>
      <c r="O25" s="21" t="b">
        <f>ISBLANK(N12)</f>
        <v>0</v>
      </c>
      <c r="P25" s="21"/>
      <c r="Q25" s="21"/>
      <c r="R25" s="21"/>
    </row>
    <row r="26" spans="2:21" ht="15" customHeight="1">
      <c r="B26" s="47" t="s">
        <v>66</v>
      </c>
      <c r="F26" s="47" t="s">
        <v>67</v>
      </c>
      <c r="G26" s="47"/>
      <c r="H26" s="47"/>
      <c r="I26" s="47"/>
      <c r="J26" s="47"/>
      <c r="K26" s="48" t="s">
        <v>62</v>
      </c>
      <c r="L26" s="48" t="s">
        <v>68</v>
      </c>
      <c r="M26" s="48"/>
      <c r="R26" s="49"/>
    </row>
    <row r="27" spans="2:21" ht="15" customHeight="1">
      <c r="B27" s="50" t="s">
        <v>69</v>
      </c>
      <c r="C27" s="50"/>
      <c r="D27" s="50"/>
      <c r="E27" s="50"/>
      <c r="F27" s="50" t="str">
        <f>B66</f>
        <v>per 1000 youth</v>
      </c>
      <c r="G27" s="50"/>
      <c r="H27" s="50"/>
      <c r="I27" s="50"/>
      <c r="J27" s="50">
        <f>F66</f>
        <v>0</v>
      </c>
      <c r="K27" s="50" t="s">
        <v>60</v>
      </c>
      <c r="L27" s="51" t="s">
        <v>70</v>
      </c>
      <c r="R27" s="49"/>
    </row>
    <row r="28" spans="2:21" ht="15" customHeight="1">
      <c r="B28" s="50" t="s">
        <v>71</v>
      </c>
      <c r="C28" s="50"/>
      <c r="D28" s="50"/>
      <c r="E28" s="50"/>
      <c r="F28" s="52" t="str">
        <f>B67</f>
        <v>per 100 arrests</v>
      </c>
      <c r="G28" s="52"/>
      <c r="H28" s="52"/>
      <c r="I28" s="52"/>
      <c r="J28" s="52"/>
      <c r="K28" s="52" t="s">
        <v>58</v>
      </c>
      <c r="L28" s="53" t="s">
        <v>72</v>
      </c>
      <c r="R28" s="49"/>
    </row>
    <row r="29" spans="2:21" ht="15" customHeight="1">
      <c r="B29" s="52" t="s">
        <v>73</v>
      </c>
      <c r="C29" s="52"/>
      <c r="D29" s="52"/>
      <c r="E29" s="52"/>
      <c r="F29" s="52" t="str">
        <f>B68</f>
        <v>per 100 referrals</v>
      </c>
      <c r="G29" s="52"/>
      <c r="H29" s="52"/>
      <c r="I29" s="52"/>
      <c r="J29" s="52"/>
      <c r="K29" s="52"/>
      <c r="L29" s="53"/>
      <c r="R29" s="49"/>
    </row>
    <row r="30" spans="2:21" ht="15" customHeight="1">
      <c r="B30" s="52" t="s">
        <v>74</v>
      </c>
      <c r="C30" s="52"/>
      <c r="D30" s="52"/>
      <c r="E30" s="52"/>
      <c r="F30" s="52" t="str">
        <f>B68</f>
        <v>per 100 referrals</v>
      </c>
      <c r="G30" s="52"/>
      <c r="H30" s="52"/>
      <c r="I30" s="52"/>
      <c r="J30" s="52"/>
      <c r="K30" s="52"/>
      <c r="L30" s="53"/>
      <c r="N30" s="1" t="b">
        <f>ISNUMBER(J14)</f>
        <v>1</v>
      </c>
      <c r="R30" s="49"/>
    </row>
    <row r="31" spans="2:21" ht="15" customHeight="1">
      <c r="B31" s="52" t="s">
        <v>75</v>
      </c>
      <c r="C31" s="52"/>
      <c r="D31" s="52"/>
      <c r="E31" s="52"/>
      <c r="F31" s="52" t="str">
        <f>B68</f>
        <v>per 100 referrals</v>
      </c>
      <c r="G31" s="52"/>
      <c r="H31" s="52"/>
      <c r="I31" s="52"/>
      <c r="J31" s="52"/>
      <c r="K31" s="52"/>
      <c r="L31" s="53"/>
      <c r="R31" s="49"/>
    </row>
    <row r="32" spans="2:21" ht="15" customHeight="1">
      <c r="B32" s="52" t="s">
        <v>76</v>
      </c>
      <c r="C32" s="52"/>
      <c r="D32" s="52"/>
      <c r="E32" s="52"/>
      <c r="F32" s="52" t="str">
        <f>B69</f>
        <v>per 100 youth petitioned</v>
      </c>
      <c r="G32" s="52"/>
      <c r="H32" s="52"/>
      <c r="I32" s="52"/>
      <c r="J32" s="52"/>
      <c r="K32" s="52"/>
      <c r="L32" s="53"/>
      <c r="R32" s="49"/>
    </row>
    <row r="33" spans="2:18" ht="15" customHeight="1">
      <c r="B33" s="52" t="s">
        <v>77</v>
      </c>
      <c r="C33" s="52"/>
      <c r="D33" s="52"/>
      <c r="E33" s="52"/>
      <c r="F33" s="52" t="str">
        <f>B70</f>
        <v>per 100 youth found delinquent</v>
      </c>
      <c r="G33" s="52"/>
      <c r="H33" s="52"/>
      <c r="I33" s="52"/>
      <c r="J33" s="52"/>
      <c r="K33" s="52"/>
      <c r="L33" s="53"/>
      <c r="R33" s="49"/>
    </row>
    <row r="34" spans="2:18" ht="15" customHeight="1">
      <c r="B34" s="52" t="s">
        <v>78</v>
      </c>
      <c r="C34" s="52"/>
      <c r="D34" s="52"/>
      <c r="E34" s="52"/>
      <c r="F34" s="52" t="str">
        <f>B70</f>
        <v>per 100 youth found delinquent</v>
      </c>
      <c r="G34" s="52"/>
      <c r="H34" s="52"/>
      <c r="I34" s="52"/>
      <c r="J34" s="52"/>
      <c r="K34" s="52"/>
      <c r="L34" s="53"/>
      <c r="R34" s="49"/>
    </row>
    <row r="35" spans="2:18" ht="15" customHeight="1">
      <c r="B35" s="52" t="s">
        <v>79</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2" t="s">
        <v>80</v>
      </c>
      <c r="C40" s="212"/>
      <c r="D40" s="212"/>
      <c r="E40" s="212"/>
      <c r="F40" s="212"/>
      <c r="G40" s="212"/>
      <c r="H40" s="212"/>
      <c r="I40" s="212"/>
      <c r="J40" s="212"/>
      <c r="K40" s="8"/>
      <c r="R40" s="49"/>
    </row>
    <row r="41" spans="2:18" ht="15" hidden="1" customHeight="1">
      <c r="B41" s="54" t="s">
        <v>81</v>
      </c>
      <c r="C41" s="54" t="s">
        <v>82</v>
      </c>
      <c r="D41" s="55" t="s">
        <v>83</v>
      </c>
      <c r="E41" s="54" t="s">
        <v>84</v>
      </c>
      <c r="G41" s="54" t="s">
        <v>85</v>
      </c>
      <c r="H41" s="54"/>
      <c r="I41" s="54"/>
      <c r="L41" s="1" t="s">
        <v>86</v>
      </c>
      <c r="R41" s="49"/>
    </row>
    <row r="42" spans="2:18" ht="15" hidden="1" customHeight="1">
      <c r="B42" s="49" t="s">
        <v>87</v>
      </c>
      <c r="C42" s="56">
        <f>C6/1000</f>
        <v>679.73699999999997</v>
      </c>
      <c r="D42" s="56">
        <f>E6/1000</f>
        <v>175.02799999999999</v>
      </c>
      <c r="E42" s="56">
        <f>MAX(C42:D42)</f>
        <v>679.73699999999997</v>
      </c>
      <c r="G42" s="1" t="str">
        <f>B42</f>
        <v>per 1000 youth</v>
      </c>
      <c r="L42" s="57">
        <v>1000</v>
      </c>
      <c r="M42" s="57"/>
      <c r="R42" s="49"/>
    </row>
    <row r="43" spans="2:18" ht="15" hidden="1" customHeight="1">
      <c r="B43" s="49" t="s">
        <v>88</v>
      </c>
      <c r="C43" s="56">
        <f>C7/100</f>
        <v>42.7</v>
      </c>
      <c r="D43" s="56">
        <f>E7/100</f>
        <v>41.53</v>
      </c>
      <c r="E43" s="56">
        <f>MAX(C43:D43,0)</f>
        <v>42.7</v>
      </c>
      <c r="G43" s="1" t="str">
        <f>B43</f>
        <v>per 100 arrests</v>
      </c>
      <c r="L43" s="57">
        <v>100</v>
      </c>
      <c r="M43" s="57"/>
      <c r="R43" s="49"/>
    </row>
    <row r="44" spans="2:18" ht="15" hidden="1" customHeight="1">
      <c r="B44" s="49" t="s">
        <v>89</v>
      </c>
      <c r="C44" s="56">
        <f>C8/100</f>
        <v>70.77</v>
      </c>
      <c r="D44" s="56">
        <f>E8/100</f>
        <v>46.93</v>
      </c>
      <c r="E44" s="56">
        <f>MAX(C44:D44,0)</f>
        <v>70.77</v>
      </c>
      <c r="G44" s="1" t="str">
        <f>B44</f>
        <v>per 100 referrals</v>
      </c>
      <c r="L44" s="57">
        <v>100</v>
      </c>
      <c r="M44" s="57"/>
      <c r="R44" s="49"/>
    </row>
    <row r="45" spans="2:18" ht="15" hidden="1" customHeight="1">
      <c r="B45" s="49" t="s">
        <v>90</v>
      </c>
      <c r="C45" s="49">
        <f>C11/100</f>
        <v>37.65</v>
      </c>
      <c r="D45" s="49">
        <f>E11/100</f>
        <v>27.28</v>
      </c>
      <c r="E45" s="56">
        <f>MAX(C45:D45,0)</f>
        <v>37.65</v>
      </c>
      <c r="G45" s="1" t="str">
        <f>B45</f>
        <v>per 100 youth petitioned</v>
      </c>
      <c r="L45" s="57">
        <v>100</v>
      </c>
      <c r="M45" s="57"/>
      <c r="R45" s="49"/>
    </row>
    <row r="46" spans="2:18" ht="15" hidden="1" customHeight="1">
      <c r="B46" s="49" t="s">
        <v>91</v>
      </c>
      <c r="C46" s="49">
        <f>C12/100</f>
        <v>23.34</v>
      </c>
      <c r="D46" s="49">
        <f>E12/100</f>
        <v>16.190000000000001</v>
      </c>
      <c r="E46" s="56">
        <f>MAX(C46:D46)</f>
        <v>23.34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679.73699999999997</v>
      </c>
      <c r="D48" s="56">
        <f>D42</f>
        <v>175.02799999999999</v>
      </c>
      <c r="E48" s="56">
        <f>MAX(C48:D48)</f>
        <v>679.73699999999997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42.7</v>
      </c>
      <c r="D49" s="49">
        <f t="shared" si="9"/>
        <v>41.53</v>
      </c>
      <c r="E49" s="49">
        <f>MAX(C49:D49)</f>
        <v>42.7</v>
      </c>
      <c r="G49" s="1" t="str">
        <f>G43</f>
        <v>per 100 arrests</v>
      </c>
      <c r="L49" s="58">
        <f>IF(($E43&gt;0),L43,L42)</f>
        <v>100</v>
      </c>
      <c r="M49" s="58"/>
      <c r="N49" s="21"/>
      <c r="O49" s="21"/>
      <c r="P49" s="21"/>
      <c r="Q49" s="21"/>
      <c r="R49" s="21"/>
    </row>
    <row r="50" spans="2:18" ht="15" hidden="1" customHeight="1">
      <c r="B50" s="49" t="str">
        <f t="shared" si="9"/>
        <v>per 100 referrals</v>
      </c>
      <c r="C50" s="49">
        <f t="shared" si="9"/>
        <v>70.77</v>
      </c>
      <c r="D50" s="49">
        <f t="shared" si="9"/>
        <v>46.93</v>
      </c>
      <c r="E50" s="49">
        <f>MAX(C50:D50)</f>
        <v>70.77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37.65</v>
      </c>
      <c r="D51" s="49">
        <f>IF(($E45&gt;0),D45,D44)</f>
        <v>27.28</v>
      </c>
      <c r="E51" s="49">
        <f>MAX(C51:D51)</f>
        <v>37.65</v>
      </c>
      <c r="G51" s="1" t="str">
        <f>G45</f>
        <v>per 100 youth petitioned</v>
      </c>
      <c r="L51" s="58">
        <f>IF(($E45&gt;0),L45,L44)</f>
        <v>100</v>
      </c>
      <c r="M51" s="58"/>
    </row>
    <row r="52" spans="2:18" ht="15" hidden="1" customHeight="1">
      <c r="B52" s="49" t="str">
        <f>IF(($E46&gt;0),B46,B45)</f>
        <v>per 100 youth found delinquent</v>
      </c>
      <c r="C52" s="49">
        <f>IF(($E46&gt;0),C46,C45)</f>
        <v>23.34</v>
      </c>
      <c r="D52" s="49">
        <f>IF(($E46&gt;0),D46,D45)</f>
        <v>16.190000000000001</v>
      </c>
      <c r="E52" s="56">
        <f>MAX(C52:D52)</f>
        <v>23.34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679.73699999999997</v>
      </c>
      <c r="D54" s="56">
        <f>D48</f>
        <v>175.02799999999999</v>
      </c>
      <c r="E54" s="56">
        <f>MAX(C54:D54)</f>
        <v>679.73699999999997</v>
      </c>
      <c r="G54" s="1" t="str">
        <f>G48</f>
        <v>per 1000 youth</v>
      </c>
      <c r="L54" s="58">
        <f>L48</f>
        <v>1000</v>
      </c>
      <c r="M54" s="58"/>
    </row>
    <row r="55" spans="2:18" ht="15" hidden="1" customHeight="1">
      <c r="B55" s="49" t="str">
        <f t="shared" ref="B55:D56" si="10">IF(($E49&gt;0),B49,B48)</f>
        <v>per 100 arrests</v>
      </c>
      <c r="C55" s="49">
        <f t="shared" si="10"/>
        <v>42.7</v>
      </c>
      <c r="D55" s="49">
        <f t="shared" si="10"/>
        <v>41.53</v>
      </c>
      <c r="E55" s="49">
        <f>MAX(C55:D55)</f>
        <v>42.7</v>
      </c>
      <c r="G55" s="1" t="str">
        <f>G49</f>
        <v>per 100 arrests</v>
      </c>
      <c r="L55" s="58">
        <f>IF(($E49&gt;0),L49,L48)</f>
        <v>100</v>
      </c>
      <c r="M55" s="58"/>
    </row>
    <row r="56" spans="2:18" ht="15" hidden="1" customHeight="1">
      <c r="B56" s="49" t="str">
        <f t="shared" si="10"/>
        <v>per 100 referrals</v>
      </c>
      <c r="C56" s="49">
        <f t="shared" si="10"/>
        <v>70.77</v>
      </c>
      <c r="D56" s="49">
        <f t="shared" si="10"/>
        <v>46.93</v>
      </c>
      <c r="E56" s="49">
        <f>MAX(C56:D56)</f>
        <v>70.77</v>
      </c>
      <c r="G56" s="1" t="str">
        <f>G50</f>
        <v>per 100 referrals</v>
      </c>
      <c r="L56" s="58">
        <f>IF(($E50&gt;0),L50,L49)</f>
        <v>100</v>
      </c>
      <c r="M56" s="58"/>
    </row>
    <row r="57" spans="2:18" ht="15" hidden="1" customHeight="1">
      <c r="B57" s="49" t="str">
        <f>IF(($E51&gt;0),B51,B49)</f>
        <v>per 100 youth petitioned</v>
      </c>
      <c r="C57" s="49">
        <f>IF(($E51&gt;0),C51,C50)</f>
        <v>37.65</v>
      </c>
      <c r="D57" s="49">
        <f>IF(($E51&gt;0),D51,D50)</f>
        <v>27.28</v>
      </c>
      <c r="E57" s="49">
        <f>MAX(C57:D57)</f>
        <v>37.65</v>
      </c>
      <c r="G57" s="1" t="str">
        <f>G51</f>
        <v>per 100 youth petitioned</v>
      </c>
      <c r="L57" s="58">
        <f>IF(($E51&gt;0),L51,L50)</f>
        <v>100</v>
      </c>
      <c r="M57" s="58"/>
    </row>
    <row r="58" spans="2:18" ht="15" hidden="1" customHeight="1">
      <c r="B58" s="49" t="str">
        <f>IF(($E52&gt;0),B52,B51)</f>
        <v>per 100 youth found delinquent</v>
      </c>
      <c r="C58" s="49">
        <f>IF(($E52&gt;0),C52,C51)</f>
        <v>23.34</v>
      </c>
      <c r="D58" s="49">
        <f>IF(($E52&gt;0),D52,D51)</f>
        <v>16.190000000000001</v>
      </c>
      <c r="E58" s="56">
        <f>MAX(C58:D58)</f>
        <v>23.34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679.73699999999997</v>
      </c>
      <c r="D60" s="56">
        <f>D54</f>
        <v>175.02799999999999</v>
      </c>
      <c r="E60" s="56">
        <f>MAX(C60:D60)</f>
        <v>679.73699999999997</v>
      </c>
      <c r="G60" s="1" t="str">
        <f>G54</f>
        <v>per 1000 youth</v>
      </c>
      <c r="L60" s="58">
        <f>L54</f>
        <v>1000</v>
      </c>
      <c r="M60" s="58"/>
    </row>
    <row r="61" spans="2:18" ht="15" hidden="1" customHeight="1">
      <c r="B61" s="49" t="str">
        <f t="shared" ref="B61:D62" si="11">IF(($E55&gt;0),B55,B54)</f>
        <v>per 100 arrests</v>
      </c>
      <c r="C61" s="49">
        <f t="shared" si="11"/>
        <v>42.7</v>
      </c>
      <c r="D61" s="49">
        <f t="shared" si="11"/>
        <v>41.53</v>
      </c>
      <c r="E61" s="49">
        <f>MAX(C61:D61)</f>
        <v>42.7</v>
      </c>
      <c r="G61" s="1" t="str">
        <f>G55</f>
        <v>per 100 arrests</v>
      </c>
      <c r="L61" s="58">
        <f>IF(($E55&gt;0),L55,L54)</f>
        <v>100</v>
      </c>
      <c r="M61" s="58"/>
    </row>
    <row r="62" spans="2:18" ht="15" hidden="1" customHeight="1">
      <c r="B62" s="49" t="str">
        <f t="shared" si="11"/>
        <v>per 100 referrals</v>
      </c>
      <c r="C62" s="49">
        <f t="shared" si="11"/>
        <v>70.77</v>
      </c>
      <c r="D62" s="49">
        <f t="shared" si="11"/>
        <v>46.93</v>
      </c>
      <c r="E62" s="49">
        <f>MAX(C62:D62)</f>
        <v>70.77</v>
      </c>
      <c r="G62" s="1" t="str">
        <f>G56</f>
        <v>per 100 referrals</v>
      </c>
      <c r="L62" s="58">
        <f>IF(($E56&gt;0),L56,L55)</f>
        <v>100</v>
      </c>
      <c r="M62" s="58"/>
    </row>
    <row r="63" spans="2:18" ht="15" hidden="1" customHeight="1">
      <c r="B63" s="49" t="str">
        <f>IF(($E57&gt;0),B57,B55)</f>
        <v>per 100 youth petitioned</v>
      </c>
      <c r="C63" s="49">
        <f>IF(($E57&gt;0),C57,C56)</f>
        <v>37.65</v>
      </c>
      <c r="D63" s="49">
        <f>IF(($E57&gt;0),D57,D56)</f>
        <v>27.28</v>
      </c>
      <c r="E63" s="49">
        <f>MAX(C63:D63)</f>
        <v>37.65</v>
      </c>
      <c r="G63" s="1" t="str">
        <f>G57</f>
        <v>per 100 youth petitioned</v>
      </c>
      <c r="L63" s="58">
        <f>IF(($E57&gt;0),L57,L56)</f>
        <v>100</v>
      </c>
      <c r="M63" s="58"/>
    </row>
    <row r="64" spans="2:18" ht="15" hidden="1" customHeight="1">
      <c r="B64" s="49" t="str">
        <f>IF(($E58&gt;0),B58,B57)</f>
        <v>per 100 youth found delinquent</v>
      </c>
      <c r="C64" s="49">
        <f>IF(($E58&gt;0),C58,C57)</f>
        <v>23.34</v>
      </c>
      <c r="D64" s="49">
        <f>IF(($E58&gt;0),D58,D57)</f>
        <v>16.190000000000001</v>
      </c>
      <c r="E64" s="56">
        <f>MAX(C64:D64)</f>
        <v>23.34</v>
      </c>
      <c r="G64" s="1" t="str">
        <f>G58</f>
        <v>per 100 youth found delinquent</v>
      </c>
      <c r="L64" s="58">
        <f>IF(($E58&gt;0),L58,L57)</f>
        <v>100</v>
      </c>
      <c r="M64" s="58"/>
    </row>
    <row r="65" spans="2:13" ht="15" hidden="1" customHeight="1">
      <c r="B65" s="59" t="s">
        <v>92</v>
      </c>
      <c r="L65" s="57"/>
      <c r="M65" s="57"/>
    </row>
    <row r="66" spans="2:13" ht="15" hidden="1" customHeight="1">
      <c r="B66" s="49" t="str">
        <f>B60</f>
        <v>per 1000 youth</v>
      </c>
      <c r="C66" s="56">
        <f>C60</f>
        <v>679.73699999999997</v>
      </c>
      <c r="D66" s="56">
        <f>D60</f>
        <v>175.02799999999999</v>
      </c>
      <c r="E66" s="56">
        <f>MAX(C66:D66)</f>
        <v>679.73699999999997</v>
      </c>
      <c r="G66" s="1" t="str">
        <f>G60</f>
        <v>per 1000 youth</v>
      </c>
      <c r="L66" s="58">
        <f>L60</f>
        <v>1000</v>
      </c>
      <c r="M66" s="58">
        <f>IF((B66=G66),1,2)</f>
        <v>1</v>
      </c>
    </row>
    <row r="67" spans="2:13" ht="15" hidden="1" customHeight="1">
      <c r="B67" s="49" t="str">
        <f t="shared" ref="B67:D68" si="12">IF(($E61&gt;0),B61,B60)</f>
        <v>per 100 arrests</v>
      </c>
      <c r="C67" s="49">
        <f t="shared" si="12"/>
        <v>42.7</v>
      </c>
      <c r="D67" s="49">
        <f t="shared" si="12"/>
        <v>41.53</v>
      </c>
      <c r="E67" s="49">
        <f>MAX(C67:D67)</f>
        <v>42.7</v>
      </c>
      <c r="G67" s="1" t="str">
        <f>G61</f>
        <v>per 100 arrests</v>
      </c>
      <c r="L67" s="58">
        <f>IF(($E61&gt;0),L61,L60)</f>
        <v>100</v>
      </c>
      <c r="M67" s="58">
        <f>IF((B67=G67),1,2)</f>
        <v>1</v>
      </c>
    </row>
    <row r="68" spans="2:13" ht="15" hidden="1" customHeight="1">
      <c r="B68" s="49" t="str">
        <f t="shared" si="12"/>
        <v>per 100 referrals</v>
      </c>
      <c r="C68" s="49">
        <f t="shared" si="12"/>
        <v>70.77</v>
      </c>
      <c r="D68" s="49">
        <f t="shared" si="12"/>
        <v>46.93</v>
      </c>
      <c r="E68" s="49">
        <f>MAX(C68:D68)</f>
        <v>70.77</v>
      </c>
      <c r="G68" s="1" t="str">
        <f>G62</f>
        <v>per 100 referrals</v>
      </c>
      <c r="L68" s="58">
        <f>IF(($E62&gt;0),L62,L61)</f>
        <v>100</v>
      </c>
      <c r="M68" s="58">
        <f>IF((B68=G68),1,2)</f>
        <v>1</v>
      </c>
    </row>
    <row r="69" spans="2:13" ht="15" hidden="1" customHeight="1">
      <c r="B69" s="49" t="str">
        <f>IF(($E63&gt;0),B63,B61)</f>
        <v>per 100 youth petitioned</v>
      </c>
      <c r="C69" s="49">
        <f>IF(($E63&gt;0),C63,C62)</f>
        <v>37.65</v>
      </c>
      <c r="D69" s="49">
        <f>IF(($E63&gt;0),D63,D62)</f>
        <v>27.28</v>
      </c>
      <c r="E69" s="49">
        <f>MAX(C69:D69)</f>
        <v>37.65</v>
      </c>
      <c r="G69" s="1" t="str">
        <f>G63</f>
        <v>per 100 youth petitioned</v>
      </c>
      <c r="L69" s="58">
        <f>IF(($E63&gt;0),L63,L62)</f>
        <v>100</v>
      </c>
      <c r="M69" s="58">
        <f>IF((B69=G69),1,2)</f>
        <v>1</v>
      </c>
    </row>
    <row r="70" spans="2:13" ht="15" hidden="1" customHeight="1">
      <c r="B70" s="49" t="str">
        <f>IF(($E64&gt;0),B64,B63)</f>
        <v>per 100 youth found delinquent</v>
      </c>
      <c r="C70" s="49">
        <f>IF(($E64&gt;0),C64,C63)</f>
        <v>23.34</v>
      </c>
      <c r="D70" s="49">
        <f>IF(($E64&gt;0),D64,D63)</f>
        <v>16.190000000000001</v>
      </c>
      <c r="E70" s="56">
        <f>MAX(C70:D70)</f>
        <v>23.34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I5" sqref="I5"/>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4" t="str">
        <f>'Data Entry'!F5</f>
        <v>Asian</v>
      </c>
      <c r="G1" s="214"/>
      <c r="H1" s="214"/>
      <c r="I1" s="214"/>
      <c r="J1" s="214"/>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All Reporting Counties</v>
      </c>
      <c r="C3" s="22"/>
      <c r="D3" s="22"/>
      <c r="E3" s="22"/>
      <c r="F3" s="22"/>
      <c r="G3" s="7"/>
      <c r="H3" s="7"/>
      <c r="I3" s="7"/>
      <c r="J3" s="7"/>
      <c r="K3" s="7"/>
      <c r="N3" s="213" t="s">
        <v>31</v>
      </c>
      <c r="O3" s="213"/>
      <c r="P3" s="213"/>
      <c r="Q3" s="213"/>
      <c r="R3" s="213"/>
      <c r="S3" s="213"/>
      <c r="T3" s="213"/>
      <c r="U3" s="213"/>
    </row>
    <row r="4" spans="2:21" ht="8.25" customHeight="1">
      <c r="B4" s="4"/>
      <c r="C4" s="23"/>
      <c r="D4" s="23"/>
      <c r="E4" s="23"/>
      <c r="F4" s="23"/>
      <c r="G4" s="8"/>
      <c r="H4" s="8"/>
      <c r="I4" s="8"/>
      <c r="N4" s="213"/>
      <c r="O4" s="213"/>
      <c r="P4" s="213"/>
      <c r="Q4" s="213"/>
      <c r="R4" s="213"/>
      <c r="S4" s="213"/>
      <c r="T4" s="213"/>
      <c r="U4" s="213"/>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10-17) </v>
      </c>
      <c r="C6" s="33">
        <f>'Data Entry'!C6</f>
        <v>679737</v>
      </c>
      <c r="D6" s="34"/>
      <c r="E6" s="33">
        <f>'Data Entry'!F6</f>
        <v>39232</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2. Juvenile Arrests</v>
      </c>
      <c r="C7" s="33">
        <f>'Data Entry'!C7</f>
        <v>4270</v>
      </c>
      <c r="D7" s="34">
        <f>IF((AND(C66&gt;0,C7&gt;0)),(C7/C66),0)</f>
        <v>6.2818413592315858</v>
      </c>
      <c r="E7" s="33">
        <f>'Data Entry'!F7</f>
        <v>45</v>
      </c>
      <c r="F7" s="34">
        <f>IF((AND($E$7&gt;0,$D$66&gt;0)),($E$7/$D$66),0)</f>
        <v>1.1470228384991843</v>
      </c>
      <c r="G7" s="39">
        <f t="shared" ref="G7:G15" si="0">IF(L$6=100,"*",IF(M7=FALSE,"--",IF(K7=20,"**",($F7/$D7))))</f>
        <v>0.18259341057913817</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45</v>
      </c>
      <c r="O7" s="42">
        <f>E6-E7</f>
        <v>39187</v>
      </c>
      <c r="P7" s="42">
        <f t="shared" ref="P7:P15" si="4">C7</f>
        <v>4270</v>
      </c>
      <c r="Q7" s="42">
        <f>C6-C7</f>
        <v>675467</v>
      </c>
      <c r="R7" s="42">
        <f t="shared" ref="R7:R15" si="5">SUM(N7:Q7)</f>
        <v>718969</v>
      </c>
      <c r="S7" s="30">
        <f t="shared" ref="S7:S15" si="6">R7*((((N7*Q7)-(O7*P7))^2))</f>
        <v>1.3481030182636825E+22</v>
      </c>
      <c r="T7" s="30">
        <f t="shared" ref="T7:T15" si="7">(N7+O7)*(P7+Q7)*(N7+P7)*(O7+Q7)</f>
        <v>8.2235244470878716E+19</v>
      </c>
      <c r="U7" s="31">
        <f t="shared" ref="U7:U15" si="8">IF((S7&gt;0),S7/T7,"- -")</f>
        <v>163.93251177614911</v>
      </c>
    </row>
    <row r="8" spans="2:21" ht="18" customHeight="1">
      <c r="B8" s="32" t="str">
        <f>'Data Entry'!A8</f>
        <v>3. Refer to Juvenile Court</v>
      </c>
      <c r="C8" s="33">
        <f>'Data Entry'!C8</f>
        <v>7077</v>
      </c>
      <c r="D8" s="34">
        <f>IF((AND(C67&gt;0,C8&gt;0)),(C8/C67),0)</f>
        <v>165.73770491803276</v>
      </c>
      <c r="E8" s="33">
        <f>'Data Entry'!F8</f>
        <v>76</v>
      </c>
      <c r="F8" s="34">
        <f>IF((AND($E$8&gt;0,$D$67&gt;0)),($E8/$D67),0)</f>
        <v>168.88888888888889</v>
      </c>
      <c r="G8" s="39">
        <f t="shared" si="0"/>
        <v>1.0190130783602596</v>
      </c>
      <c r="H8" s="40"/>
      <c r="I8" s="41"/>
      <c r="J8" s="40">
        <f>IF((ABS($U8)&gt;Defaults!D$7),1,2)</f>
        <v>2</v>
      </c>
      <c r="K8" s="39">
        <f>IF((AND(N8&gt;Defaults!B$12,(N8+O8)&gt;Defaults!B$13, P8 &gt; Defaults!B$12, (P8+Q8) &gt; Defaults!B$13)),1,20)</f>
        <v>1</v>
      </c>
      <c r="L8" s="1">
        <f t="shared" si="1"/>
        <v>2</v>
      </c>
      <c r="M8" s="1" t="b">
        <f t="shared" si="2"/>
        <v>1</v>
      </c>
      <c r="N8" s="42">
        <f t="shared" si="3"/>
        <v>76</v>
      </c>
      <c r="O8" s="42">
        <f>((D67*L67)-E8)+0.05</f>
        <v>-30.95</v>
      </c>
      <c r="P8" s="42">
        <f t="shared" si="4"/>
        <v>7077</v>
      </c>
      <c r="Q8" s="42">
        <f>(C$67*L67)-C8</f>
        <v>-2807</v>
      </c>
      <c r="R8" s="42">
        <f t="shared" si="5"/>
        <v>4315.05</v>
      </c>
      <c r="S8" s="30">
        <f t="shared" si="6"/>
        <v>140252550512.15335</v>
      </c>
      <c r="T8" s="30">
        <f t="shared" si="7"/>
        <v>-3904951416983.2246</v>
      </c>
      <c r="U8" s="31">
        <f t="shared" si="8"/>
        <v>-3.5916592944581535E-2</v>
      </c>
    </row>
    <row r="9" spans="2:21" ht="18" customHeight="1">
      <c r="B9" s="32" t="str">
        <f>'Data Entry'!A9</f>
        <v xml:space="preserve">4. Cases Diverted </v>
      </c>
      <c r="C9" s="33">
        <f>'Data Entry'!C9</f>
        <v>1540</v>
      </c>
      <c r="D9" s="34">
        <f>IF((AND(C68&gt;0,C9&gt;0)),((C9/C68)),0)</f>
        <v>21.760633036597429</v>
      </c>
      <c r="E9" s="33">
        <f>'Data Entry'!F9</f>
        <v>22</v>
      </c>
      <c r="F9" s="34">
        <f>IF((AND($E$9&gt;0,$D$68&gt;0)),(($E$9/$D$68)),0)</f>
        <v>28.94736842105263</v>
      </c>
      <c r="G9" s="39">
        <f t="shared" si="0"/>
        <v>1.3302631578947368</v>
      </c>
      <c r="H9" s="40"/>
      <c r="I9" s="41"/>
      <c r="J9" s="40">
        <f>IF((ABS($U9)&gt;Defaults!D$7),1,2)</f>
        <v>2</v>
      </c>
      <c r="K9" s="39">
        <f>IF((AND(N9&gt;Defaults!B$12,(N9+O9)&gt;Defaults!B$13, P9 &gt; Defaults!B$12, (P9+Q9) &gt; Defaults!B$13)),1,20)</f>
        <v>1</v>
      </c>
      <c r="L9" s="1">
        <f t="shared" si="1"/>
        <v>2</v>
      </c>
      <c r="M9" s="1" t="b">
        <f t="shared" si="2"/>
        <v>1</v>
      </c>
      <c r="N9" s="42">
        <f t="shared" si="3"/>
        <v>22</v>
      </c>
      <c r="O9" s="42">
        <f>(D$68*L68)-E9</f>
        <v>54</v>
      </c>
      <c r="P9" s="42">
        <f t="shared" si="4"/>
        <v>1540</v>
      </c>
      <c r="Q9" s="42">
        <f>(C$68*L68)-C9</f>
        <v>5537</v>
      </c>
      <c r="R9" s="42">
        <f t="shared" si="5"/>
        <v>7153</v>
      </c>
      <c r="S9" s="30">
        <f t="shared" si="6"/>
        <v>10687524164548</v>
      </c>
      <c r="T9" s="30">
        <f t="shared" si="7"/>
        <v>4697137890984</v>
      </c>
      <c r="U9" s="31">
        <f t="shared" si="8"/>
        <v>2.275326893226266</v>
      </c>
    </row>
    <row r="10" spans="2:21" ht="18" customHeight="1">
      <c r="B10" s="32" t="str">
        <f>'Data Entry'!A10</f>
        <v>5. Cases Involving Secure Detention</v>
      </c>
      <c r="C10" s="33">
        <f>'Data Entry'!C10</f>
        <v>880</v>
      </c>
      <c r="D10" s="34">
        <f>IF(((AND(C68&gt;0,C10&gt;0))),(C10/(C68)),0)</f>
        <v>12.434647449484245</v>
      </c>
      <c r="E10" s="33">
        <f>'Data Entry'!F10</f>
        <v>18</v>
      </c>
      <c r="F10" s="34">
        <f>IF(((AND($E$10&gt;0,$D$68&gt;0))),($E$10/($D$68)),0)</f>
        <v>23.684210526315788</v>
      </c>
      <c r="G10" s="39">
        <f t="shared" si="0"/>
        <v>1.9046949760765548</v>
      </c>
      <c r="H10" s="40"/>
      <c r="I10" s="41"/>
      <c r="J10" s="40">
        <f>IF((ABS($U10)&gt;Defaults!D$7),1,2)</f>
        <v>1</v>
      </c>
      <c r="K10" s="39">
        <f>IF((AND(N10&gt;Defaults!B$12,(N10+O10)&gt;Defaults!B$13, P10 &gt; Defaults!B$12, (P10+Q10) &gt; Defaults!B$13)),1,20)</f>
        <v>1</v>
      </c>
      <c r="L10" s="1">
        <f t="shared" si="1"/>
        <v>1</v>
      </c>
      <c r="M10" s="1" t="b">
        <f t="shared" si="2"/>
        <v>1</v>
      </c>
      <c r="N10" s="42">
        <f t="shared" si="3"/>
        <v>18</v>
      </c>
      <c r="O10" s="42">
        <f>(D$68*L68)-E10</f>
        <v>58</v>
      </c>
      <c r="P10" s="42">
        <f t="shared" si="4"/>
        <v>880</v>
      </c>
      <c r="Q10" s="42">
        <f>(C$68*L68)-C10</f>
        <v>6197</v>
      </c>
      <c r="R10" s="42">
        <f t="shared" si="5"/>
        <v>7153</v>
      </c>
      <c r="S10" s="30">
        <f t="shared" si="6"/>
        <v>26186961585508</v>
      </c>
      <c r="T10" s="30">
        <f t="shared" si="7"/>
        <v>3021109305480</v>
      </c>
      <c r="U10" s="31">
        <f t="shared" si="8"/>
        <v>8.6679954075171608</v>
      </c>
    </row>
    <row r="11" spans="2:21" ht="18" customHeight="1">
      <c r="B11" s="32" t="str">
        <f>'Data Entry'!A11</f>
        <v>6. Cases Petitioned (Charge Filed)</v>
      </c>
      <c r="C11" s="33">
        <f>'Data Entry'!C11</f>
        <v>3765</v>
      </c>
      <c r="D11" s="34">
        <f>IF(((AND(C68&gt;0,C11&gt;0))),(C11/(C68)),0)</f>
        <v>53.200508690122938</v>
      </c>
      <c r="E11" s="33">
        <f>'Data Entry'!F11</f>
        <v>42</v>
      </c>
      <c r="F11" s="34">
        <f>IF(((AND($E$11&gt;0,$D$68&gt;0))),($E$11/($D$68)),0)</f>
        <v>55.263157894736842</v>
      </c>
      <c r="G11" s="39">
        <f t="shared" si="0"/>
        <v>1.0387712308660095</v>
      </c>
      <c r="H11" s="40"/>
      <c r="I11" s="41"/>
      <c r="J11" s="40">
        <f>IF((ABS($U11)&gt;Defaults!D$7),1,2)</f>
        <v>2</v>
      </c>
      <c r="K11" s="39">
        <f>IF((AND(N11&gt;Defaults!B$12,(N11+O11)&gt;Defaults!B$13, P11 &gt; Defaults!B$12, (P11+Q11) &gt; Defaults!B$13)),1,20)</f>
        <v>1</v>
      </c>
      <c r="L11" s="1">
        <f t="shared" si="1"/>
        <v>2</v>
      </c>
      <c r="M11" s="1" t="b">
        <f t="shared" si="2"/>
        <v>1</v>
      </c>
      <c r="N11" s="42">
        <f t="shared" si="3"/>
        <v>42</v>
      </c>
      <c r="O11" s="42">
        <f>(D$68*L68)-E11</f>
        <v>34</v>
      </c>
      <c r="P11" s="42">
        <f t="shared" si="4"/>
        <v>3765</v>
      </c>
      <c r="Q11" s="42">
        <f>(C$68*L68)-C11</f>
        <v>3312</v>
      </c>
      <c r="R11" s="42">
        <f t="shared" si="5"/>
        <v>7153</v>
      </c>
      <c r="S11" s="30">
        <f t="shared" si="6"/>
        <v>880368607908</v>
      </c>
      <c r="T11" s="30">
        <f t="shared" si="7"/>
        <v>6851278179144</v>
      </c>
      <c r="U11" s="31">
        <f t="shared" si="8"/>
        <v>0.12849698769901552</v>
      </c>
    </row>
    <row r="12" spans="2:21" ht="18" customHeight="1">
      <c r="B12" s="32" t="str">
        <f>'Data Entry'!A12</f>
        <v>7. Cases Resulting in Delinquent Findings</v>
      </c>
      <c r="C12" s="33">
        <f>'Data Entry'!C12</f>
        <v>2334</v>
      </c>
      <c r="D12" s="34">
        <f>IF(((AND(C69&gt;0,C12&gt;0))),(C12/(C69)),0)</f>
        <v>61.992031872509962</v>
      </c>
      <c r="E12" s="33">
        <f>'Data Entry'!F12</f>
        <v>24</v>
      </c>
      <c r="F12" s="34">
        <f>IF(((AND($D$69&gt;0,$E$12&gt;0))),(E12/(D69)),0)</f>
        <v>57.142857142857146</v>
      </c>
      <c r="G12" s="39">
        <f t="shared" si="0"/>
        <v>0.92177745134043332</v>
      </c>
      <c r="H12" s="40"/>
      <c r="I12" s="41"/>
      <c r="J12" s="40">
        <f>IF((ABS($U12)&gt;Defaults!D$7),1,2)</f>
        <v>2</v>
      </c>
      <c r="K12" s="39">
        <f>IF((AND(N12&gt;Defaults!B$12,(N12+O12)&gt;Defaults!B$13, P12 &gt; Defaults!B$12, (P12+Q12) &gt; Defaults!B$13)),1,20)</f>
        <v>1</v>
      </c>
      <c r="L12" s="1">
        <f t="shared" si="1"/>
        <v>2</v>
      </c>
      <c r="M12" s="1" t="b">
        <f t="shared" si="2"/>
        <v>1</v>
      </c>
      <c r="N12" s="42">
        <f t="shared" si="3"/>
        <v>24</v>
      </c>
      <c r="O12" s="42">
        <f>(D69*L69)-E12</f>
        <v>18</v>
      </c>
      <c r="P12" s="42">
        <f t="shared" si="4"/>
        <v>2334</v>
      </c>
      <c r="Q12" s="42">
        <f>(C69*L69)-C12</f>
        <v>1431</v>
      </c>
      <c r="R12" s="42">
        <f t="shared" si="5"/>
        <v>3807</v>
      </c>
      <c r="S12" s="30">
        <f t="shared" si="6"/>
        <v>223844838768</v>
      </c>
      <c r="T12" s="30">
        <f t="shared" si="7"/>
        <v>540289412460</v>
      </c>
      <c r="U12" s="31">
        <f t="shared" si="8"/>
        <v>0.41430543261769398</v>
      </c>
    </row>
    <row r="13" spans="2:21" ht="18" customHeight="1">
      <c r="B13" s="32" t="str">
        <f>'Data Entry'!A13</f>
        <v>8. Cases Resulting in Probation Placement</v>
      </c>
      <c r="C13" s="33">
        <f>'Data Entry'!C13</f>
        <v>2458</v>
      </c>
      <c r="D13" s="34">
        <f>IF(((AND(C70&gt;0,C13&gt;0))),(C13/(C70)),0)</f>
        <v>105.3127677806341</v>
      </c>
      <c r="E13" s="33">
        <f>'Data Entry'!F13</f>
        <v>19</v>
      </c>
      <c r="F13" s="34">
        <f>IF(((AND($D$70&gt;0,$E$13&gt;0))),($E$13/($D$70)),0)</f>
        <v>79.166666666666671</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19</v>
      </c>
      <c r="O13" s="42">
        <f>(D70*L70)-E13</f>
        <v>5</v>
      </c>
      <c r="P13" s="42">
        <f t="shared" si="4"/>
        <v>2458</v>
      </c>
      <c r="Q13" s="42">
        <f>(C70*L70)-C13</f>
        <v>-124</v>
      </c>
      <c r="R13" s="42">
        <f t="shared" si="5"/>
        <v>2358</v>
      </c>
      <c r="S13" s="30">
        <f t="shared" si="6"/>
        <v>505803535128</v>
      </c>
      <c r="T13" s="30">
        <f t="shared" si="7"/>
        <v>-16511444208</v>
      </c>
      <c r="U13" s="31">
        <f t="shared" si="8"/>
        <v>-30.633512656811202</v>
      </c>
    </row>
    <row r="14" spans="2:21" ht="30.75" customHeight="1">
      <c r="B14" s="32" t="str">
        <f>'Data Entry'!A14</f>
        <v xml:space="preserve">9. Cases Resulting in Confinement in Secure Juvenile Correctional Facilities </v>
      </c>
      <c r="C14" s="33">
        <f>'Data Entry'!C14</f>
        <v>423</v>
      </c>
      <c r="D14" s="34">
        <f>IF(((AND(C70&gt;0,C14&gt;0))), ((C14/(C70))),0)</f>
        <v>18.123393316195372</v>
      </c>
      <c r="E14" s="33">
        <f>'Data Entry'!F14</f>
        <v>15</v>
      </c>
      <c r="F14" s="34">
        <f>IF(((AND($D$70&gt;0,$E$14&gt;0))), (($E$14/($D$70))),0)</f>
        <v>62.5</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15</v>
      </c>
      <c r="O14" s="42">
        <f>(D70*L70)-E14</f>
        <v>9</v>
      </c>
      <c r="P14" s="42">
        <f t="shared" si="4"/>
        <v>423</v>
      </c>
      <c r="Q14" s="42">
        <f>(C70*L70)-C14</f>
        <v>1911</v>
      </c>
      <c r="R14" s="42">
        <f t="shared" si="5"/>
        <v>2358</v>
      </c>
      <c r="S14" s="30">
        <f t="shared" si="6"/>
        <v>1457055746712</v>
      </c>
      <c r="T14" s="30">
        <f t="shared" si="7"/>
        <v>47107215360</v>
      </c>
      <c r="U14" s="31">
        <f t="shared" si="8"/>
        <v>30.930627836457194</v>
      </c>
    </row>
    <row r="15" spans="2:21" ht="15.75" customHeight="1">
      <c r="B15" s="32" t="str">
        <f>'Data Entry'!A15</f>
        <v xml:space="preserve">10. Cases Transferred to Adult Court </v>
      </c>
      <c r="C15" s="33">
        <f>'Data Entry'!C15</f>
        <v>3</v>
      </c>
      <c r="D15" s="34">
        <f>IF(((AND(C69&gt;0,C15&gt;0))),((C15/(C69))),0)</f>
        <v>7.9681274900398405E-2</v>
      </c>
      <c r="E15" s="33">
        <f>'Data Entry'!F15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42</v>
      </c>
      <c r="P15" s="42">
        <f t="shared" si="4"/>
        <v>3</v>
      </c>
      <c r="Q15" s="42">
        <f>(C69*L69)-C15</f>
        <v>3762</v>
      </c>
      <c r="R15" s="42">
        <f t="shared" si="5"/>
        <v>3807</v>
      </c>
      <c r="S15" s="30">
        <f t="shared" si="6"/>
        <v>60439932</v>
      </c>
      <c r="T15" s="30">
        <f t="shared" si="7"/>
        <v>1804579560</v>
      </c>
      <c r="U15" s="31">
        <f t="shared" si="8"/>
        <v>3.3492528309475036E-2</v>
      </c>
    </row>
    <row r="16" spans="2:21" ht="12" customHeight="1">
      <c r="B16" s="43" t="s">
        <v>93</v>
      </c>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94</v>
      </c>
      <c r="L17" s="1" t="s">
        <v>95</v>
      </c>
      <c r="N17" s="21"/>
      <c r="O17" s="21"/>
      <c r="P17" s="21"/>
      <c r="Q17" s="21"/>
      <c r="R17" s="21"/>
      <c r="S17" s="30"/>
      <c r="T17" s="30"/>
      <c r="U17" s="31"/>
    </row>
    <row r="18" spans="2:21" ht="15" customHeight="1">
      <c r="B18" s="1" t="s">
        <v>52</v>
      </c>
    </row>
    <row r="19" spans="2:21" ht="15" customHeight="1">
      <c r="B19" s="1" t="s">
        <v>53</v>
      </c>
      <c r="D19" s="45" t="s">
        <v>54</v>
      </c>
    </row>
    <row r="20" spans="2:21" ht="15" customHeight="1">
      <c r="B20" s="1" t="s">
        <v>55</v>
      </c>
      <c r="D20" s="1" t="s">
        <v>56</v>
      </c>
    </row>
    <row r="21" spans="2:21" ht="15" customHeight="1">
      <c r="B21" s="1" t="s">
        <v>57</v>
      </c>
      <c r="D21" s="1" t="s">
        <v>58</v>
      </c>
    </row>
    <row r="22" spans="2:21" ht="15" customHeight="1">
      <c r="B22" s="1" t="s">
        <v>59</v>
      </c>
      <c r="D22" s="1" t="s">
        <v>60</v>
      </c>
    </row>
    <row r="23" spans="2:21" ht="15" customHeight="1">
      <c r="B23" s="1" t="s">
        <v>61</v>
      </c>
      <c r="D23" s="1" t="s">
        <v>62</v>
      </c>
    </row>
    <row r="24" spans="2:21" ht="26.25" customHeight="1">
      <c r="B24" s="62"/>
      <c r="C24" s="62"/>
      <c r="D24" s="62"/>
      <c r="E24" s="62"/>
      <c r="F24" s="62"/>
      <c r="G24" s="62"/>
      <c r="H24" s="62"/>
      <c r="I24" s="62"/>
      <c r="N24" s="21"/>
      <c r="O24" s="21"/>
      <c r="P24" s="21"/>
      <c r="Q24" s="21"/>
      <c r="R24" s="21"/>
      <c r="S24" s="30"/>
      <c r="T24" s="30"/>
      <c r="U24" s="31"/>
    </row>
    <row r="25" spans="2:21" ht="15" customHeight="1">
      <c r="B25" s="46" t="s">
        <v>63</v>
      </c>
      <c r="K25" s="1" t="s">
        <v>64</v>
      </c>
      <c r="L25" s="1" t="s">
        <v>65</v>
      </c>
      <c r="N25" s="21"/>
      <c r="O25" s="21" t="b">
        <f>ISBLANK(N12)</f>
        <v>0</v>
      </c>
      <c r="P25" s="21"/>
      <c r="Q25" s="21"/>
      <c r="R25" s="21"/>
    </row>
    <row r="26" spans="2:21" ht="15" customHeight="1">
      <c r="B26" s="47" t="s">
        <v>66</v>
      </c>
      <c r="F26" s="47" t="s">
        <v>67</v>
      </c>
      <c r="G26" s="47"/>
      <c r="H26" s="47"/>
      <c r="I26" s="47"/>
      <c r="J26" s="47"/>
      <c r="K26" s="48" t="s">
        <v>62</v>
      </c>
      <c r="L26" s="48" t="s">
        <v>68</v>
      </c>
      <c r="M26" s="48"/>
      <c r="R26" s="49"/>
    </row>
    <row r="27" spans="2:21" ht="15" customHeight="1">
      <c r="B27" s="50" t="s">
        <v>69</v>
      </c>
      <c r="C27" s="50"/>
      <c r="D27" s="50"/>
      <c r="E27" s="50"/>
      <c r="F27" s="50" t="str">
        <f>B66</f>
        <v>per 1000 youth</v>
      </c>
      <c r="G27" s="50"/>
      <c r="H27" s="50"/>
      <c r="I27" s="50"/>
      <c r="J27" s="50">
        <f>F66</f>
        <v>0</v>
      </c>
      <c r="K27" s="50" t="s">
        <v>60</v>
      </c>
      <c r="L27" s="51" t="s">
        <v>70</v>
      </c>
      <c r="R27" s="49"/>
    </row>
    <row r="28" spans="2:21" ht="15" customHeight="1">
      <c r="B28" s="50" t="s">
        <v>71</v>
      </c>
      <c r="C28" s="50"/>
      <c r="D28" s="50"/>
      <c r="E28" s="50"/>
      <c r="F28" s="52" t="str">
        <f>B67</f>
        <v>per 100 arrests</v>
      </c>
      <c r="G28" s="52"/>
      <c r="H28" s="52"/>
      <c r="I28" s="52"/>
      <c r="J28" s="52"/>
      <c r="K28" s="52" t="s">
        <v>58</v>
      </c>
      <c r="L28" s="53" t="s">
        <v>72</v>
      </c>
      <c r="R28" s="49"/>
    </row>
    <row r="29" spans="2:21" ht="15" customHeight="1">
      <c r="B29" s="52" t="s">
        <v>73</v>
      </c>
      <c r="C29" s="52"/>
      <c r="D29" s="52"/>
      <c r="E29" s="52"/>
      <c r="F29" s="52" t="str">
        <f>B68</f>
        <v>per 100 referrals</v>
      </c>
      <c r="G29" s="52"/>
      <c r="H29" s="52"/>
      <c r="I29" s="52"/>
      <c r="J29" s="52"/>
      <c r="K29" s="52"/>
      <c r="L29" s="53"/>
      <c r="R29" s="49"/>
    </row>
    <row r="30" spans="2:21" ht="15" customHeight="1">
      <c r="B30" s="52" t="s">
        <v>74</v>
      </c>
      <c r="C30" s="52"/>
      <c r="D30" s="52"/>
      <c r="E30" s="52"/>
      <c r="F30" s="52" t="str">
        <f>B68</f>
        <v>per 100 referrals</v>
      </c>
      <c r="G30" s="52"/>
      <c r="H30" s="52"/>
      <c r="I30" s="52"/>
      <c r="J30" s="52"/>
      <c r="K30" s="52"/>
      <c r="L30" s="53"/>
      <c r="N30" s="1" t="b">
        <f>ISNUMBER(J14)</f>
        <v>1</v>
      </c>
      <c r="R30" s="49"/>
    </row>
    <row r="31" spans="2:21" ht="15" customHeight="1">
      <c r="B31" s="52" t="s">
        <v>75</v>
      </c>
      <c r="C31" s="52"/>
      <c r="D31" s="52"/>
      <c r="E31" s="52"/>
      <c r="F31" s="52" t="str">
        <f>B68</f>
        <v>per 100 referrals</v>
      </c>
      <c r="G31" s="52"/>
      <c r="H31" s="52"/>
      <c r="I31" s="52"/>
      <c r="J31" s="52"/>
      <c r="K31" s="52"/>
      <c r="L31" s="53"/>
      <c r="R31" s="49"/>
    </row>
    <row r="32" spans="2:21" ht="15" customHeight="1">
      <c r="B32" s="52" t="s">
        <v>76</v>
      </c>
      <c r="C32" s="52"/>
      <c r="D32" s="52"/>
      <c r="E32" s="52"/>
      <c r="F32" s="52" t="str">
        <f>B69</f>
        <v>per 100 youth petitioned</v>
      </c>
      <c r="G32" s="52"/>
      <c r="H32" s="52"/>
      <c r="I32" s="52"/>
      <c r="J32" s="52"/>
      <c r="K32" s="52"/>
      <c r="L32" s="53"/>
      <c r="R32" s="49"/>
    </row>
    <row r="33" spans="2:18" ht="15" customHeight="1">
      <c r="B33" s="52" t="s">
        <v>77</v>
      </c>
      <c r="C33" s="52"/>
      <c r="D33" s="52"/>
      <c r="E33" s="52"/>
      <c r="F33" s="52" t="str">
        <f>B70</f>
        <v>per 100 youth found delinquent</v>
      </c>
      <c r="G33" s="52"/>
      <c r="H33" s="52"/>
      <c r="I33" s="52"/>
      <c r="J33" s="52"/>
      <c r="K33" s="52"/>
      <c r="L33" s="53"/>
      <c r="R33" s="49"/>
    </row>
    <row r="34" spans="2:18" ht="15" customHeight="1">
      <c r="B34" s="52" t="s">
        <v>78</v>
      </c>
      <c r="C34" s="52"/>
      <c r="D34" s="52"/>
      <c r="E34" s="52"/>
      <c r="F34" s="52" t="str">
        <f>B70</f>
        <v>per 100 youth found delinquent</v>
      </c>
      <c r="G34" s="52"/>
      <c r="H34" s="52"/>
      <c r="I34" s="52"/>
      <c r="J34" s="52"/>
      <c r="K34" s="52"/>
      <c r="L34" s="53"/>
      <c r="R34" s="49"/>
    </row>
    <row r="35" spans="2:18" ht="15" customHeight="1">
      <c r="B35" s="52" t="s">
        <v>79</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2" t="s">
        <v>80</v>
      </c>
      <c r="C40" s="212"/>
      <c r="D40" s="212"/>
      <c r="E40" s="212"/>
      <c r="F40" s="212"/>
      <c r="G40" s="212"/>
      <c r="H40" s="212"/>
      <c r="I40" s="212"/>
      <c r="J40" s="212"/>
      <c r="K40" s="8"/>
      <c r="R40" s="49"/>
    </row>
    <row r="41" spans="2:18" ht="15" hidden="1" customHeight="1">
      <c r="B41" s="54" t="s">
        <v>81</v>
      </c>
      <c r="C41" s="54" t="s">
        <v>82</v>
      </c>
      <c r="D41" s="55" t="s">
        <v>83</v>
      </c>
      <c r="E41" s="54" t="s">
        <v>84</v>
      </c>
      <c r="G41" s="54" t="s">
        <v>85</v>
      </c>
      <c r="H41" s="54"/>
      <c r="I41" s="54"/>
      <c r="L41" s="1" t="s">
        <v>86</v>
      </c>
      <c r="R41" s="49"/>
    </row>
    <row r="42" spans="2:18" ht="15" hidden="1" customHeight="1">
      <c r="B42" s="49" t="s">
        <v>87</v>
      </c>
      <c r="C42" s="56">
        <f>C6/1000</f>
        <v>679.73699999999997</v>
      </c>
      <c r="D42" s="56">
        <f>E6/1000</f>
        <v>39.231999999999999</v>
      </c>
      <c r="E42" s="56">
        <f>MAX(C42:D42)</f>
        <v>679.73699999999997</v>
      </c>
      <c r="G42" s="1" t="str">
        <f>B42</f>
        <v>per 1000 youth</v>
      </c>
      <c r="L42" s="57">
        <v>1000</v>
      </c>
      <c r="M42" s="57"/>
      <c r="R42" s="49"/>
    </row>
    <row r="43" spans="2:18" ht="15" hidden="1" customHeight="1">
      <c r="B43" s="49" t="s">
        <v>88</v>
      </c>
      <c r="C43" s="56">
        <f>C7/100</f>
        <v>42.7</v>
      </c>
      <c r="D43" s="56">
        <f>E7/100</f>
        <v>0.45</v>
      </c>
      <c r="E43" s="56">
        <f>MAX(C43:D43,0)</f>
        <v>42.7</v>
      </c>
      <c r="G43" s="1" t="str">
        <f>B43</f>
        <v>per 100 arrests</v>
      </c>
      <c r="L43" s="57">
        <v>100</v>
      </c>
      <c r="M43" s="57"/>
      <c r="R43" s="49"/>
    </row>
    <row r="44" spans="2:18" ht="15" hidden="1" customHeight="1">
      <c r="B44" s="49" t="s">
        <v>89</v>
      </c>
      <c r="C44" s="56">
        <f>C8/100</f>
        <v>70.77</v>
      </c>
      <c r="D44" s="56">
        <f>E8/100</f>
        <v>0.76</v>
      </c>
      <c r="E44" s="56">
        <f>MAX(C44:D44,0)</f>
        <v>70.77</v>
      </c>
      <c r="G44" s="1" t="str">
        <f>B44</f>
        <v>per 100 referrals</v>
      </c>
      <c r="L44" s="57">
        <v>100</v>
      </c>
      <c r="M44" s="57"/>
      <c r="R44" s="49"/>
    </row>
    <row r="45" spans="2:18" ht="15" hidden="1" customHeight="1">
      <c r="B45" s="49" t="s">
        <v>90</v>
      </c>
      <c r="C45" s="49">
        <f>C11/100</f>
        <v>37.65</v>
      </c>
      <c r="D45" s="49">
        <f>E11/100</f>
        <v>0.42</v>
      </c>
      <c r="E45" s="56">
        <f>MAX(C45:D45,0)</f>
        <v>37.65</v>
      </c>
      <c r="G45" s="1" t="str">
        <f>B45</f>
        <v>per 100 youth petitioned</v>
      </c>
      <c r="L45" s="57">
        <v>100</v>
      </c>
      <c r="M45" s="57"/>
      <c r="R45" s="49"/>
    </row>
    <row r="46" spans="2:18" ht="15" hidden="1" customHeight="1">
      <c r="B46" s="49" t="s">
        <v>91</v>
      </c>
      <c r="C46" s="49">
        <f>C12/100</f>
        <v>23.34</v>
      </c>
      <c r="D46" s="49">
        <f>E12/100</f>
        <v>0.24</v>
      </c>
      <c r="E46" s="56">
        <f>MAX(C46:D46)</f>
        <v>23.34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679.73699999999997</v>
      </c>
      <c r="D48" s="56">
        <f>D42</f>
        <v>39.231999999999999</v>
      </c>
      <c r="E48" s="56">
        <f>MAX(C48:D48)</f>
        <v>679.73699999999997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42.7</v>
      </c>
      <c r="D49" s="49">
        <f t="shared" si="9"/>
        <v>0.45</v>
      </c>
      <c r="E49" s="49">
        <f>MAX(C49:D49)</f>
        <v>42.7</v>
      </c>
      <c r="G49" s="1" t="str">
        <f>G43</f>
        <v>per 100 arrests</v>
      </c>
      <c r="L49" s="58">
        <f>IF(($E43&gt;0),L43,L42)</f>
        <v>100</v>
      </c>
      <c r="M49" s="58"/>
      <c r="N49" s="21"/>
      <c r="O49" s="21"/>
      <c r="P49" s="21"/>
      <c r="Q49" s="21"/>
      <c r="R49" s="21"/>
    </row>
    <row r="50" spans="2:18" ht="15" hidden="1" customHeight="1">
      <c r="B50" s="49" t="str">
        <f t="shared" si="9"/>
        <v>per 100 referrals</v>
      </c>
      <c r="C50" s="49">
        <f t="shared" si="9"/>
        <v>70.77</v>
      </c>
      <c r="D50" s="49">
        <f t="shared" si="9"/>
        <v>0.76</v>
      </c>
      <c r="E50" s="49">
        <f>MAX(C50:D50)</f>
        <v>70.77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37.65</v>
      </c>
      <c r="D51" s="49">
        <f>IF(($E45&gt;0),D45,D44)</f>
        <v>0.42</v>
      </c>
      <c r="E51" s="49">
        <f>MAX(C51:D51)</f>
        <v>37.65</v>
      </c>
      <c r="G51" s="1" t="str">
        <f>G45</f>
        <v>per 100 youth petitioned</v>
      </c>
      <c r="L51" s="58">
        <f>IF(($E45&gt;0),L45,L44)</f>
        <v>100</v>
      </c>
      <c r="M51" s="58"/>
    </row>
    <row r="52" spans="2:18" ht="15" hidden="1" customHeight="1">
      <c r="B52" s="49" t="str">
        <f>IF(($E46&gt;0),B46,B45)</f>
        <v>per 100 youth found delinquent</v>
      </c>
      <c r="C52" s="49">
        <f>IF(($E46&gt;0),C46,C45)</f>
        <v>23.34</v>
      </c>
      <c r="D52" s="49">
        <f>IF(($E46&gt;0),D46,D45)</f>
        <v>0.24</v>
      </c>
      <c r="E52" s="56">
        <f>MAX(C52:D52)</f>
        <v>23.34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679.73699999999997</v>
      </c>
      <c r="D54" s="56">
        <f>D48</f>
        <v>39.231999999999999</v>
      </c>
      <c r="E54" s="56">
        <f>MAX(C54:D54)</f>
        <v>679.73699999999997</v>
      </c>
      <c r="G54" s="1" t="str">
        <f>G48</f>
        <v>per 1000 youth</v>
      </c>
      <c r="L54" s="58">
        <f>L48</f>
        <v>1000</v>
      </c>
      <c r="M54" s="58"/>
    </row>
    <row r="55" spans="2:18" ht="15" hidden="1" customHeight="1">
      <c r="B55" s="49" t="str">
        <f t="shared" ref="B55:D56" si="10">IF(($E49&gt;0),B49,B48)</f>
        <v>per 100 arrests</v>
      </c>
      <c r="C55" s="49">
        <f t="shared" si="10"/>
        <v>42.7</v>
      </c>
      <c r="D55" s="49">
        <f t="shared" si="10"/>
        <v>0.45</v>
      </c>
      <c r="E55" s="49">
        <f>MAX(C55:D55)</f>
        <v>42.7</v>
      </c>
      <c r="G55" s="1" t="str">
        <f>G49</f>
        <v>per 100 arrests</v>
      </c>
      <c r="L55" s="58">
        <f>IF(($E49&gt;0),L49,L48)</f>
        <v>100</v>
      </c>
      <c r="M55" s="58"/>
    </row>
    <row r="56" spans="2:18" ht="15" hidden="1" customHeight="1">
      <c r="B56" s="49" t="str">
        <f t="shared" si="10"/>
        <v>per 100 referrals</v>
      </c>
      <c r="C56" s="49">
        <f t="shared" si="10"/>
        <v>70.77</v>
      </c>
      <c r="D56" s="49">
        <f t="shared" si="10"/>
        <v>0.76</v>
      </c>
      <c r="E56" s="49">
        <f>MAX(C56:D56)</f>
        <v>70.77</v>
      </c>
      <c r="G56" s="1" t="str">
        <f>G50</f>
        <v>per 100 referrals</v>
      </c>
      <c r="L56" s="58">
        <f>IF(($E50&gt;0),L50,L49)</f>
        <v>100</v>
      </c>
      <c r="M56" s="58"/>
    </row>
    <row r="57" spans="2:18" ht="15" hidden="1" customHeight="1">
      <c r="B57" s="49" t="str">
        <f>IF(($E51&gt;0),B51,B49)</f>
        <v>per 100 youth petitioned</v>
      </c>
      <c r="C57" s="49">
        <f>IF(($E51&gt;0),C51,C50)</f>
        <v>37.65</v>
      </c>
      <c r="D57" s="49">
        <f>IF(($E51&gt;0),D51,D50)</f>
        <v>0.42</v>
      </c>
      <c r="E57" s="49">
        <f>MAX(C57:D57)</f>
        <v>37.65</v>
      </c>
      <c r="G57" s="1" t="str">
        <f>G51</f>
        <v>per 100 youth petitioned</v>
      </c>
      <c r="L57" s="58">
        <f>IF(($E51&gt;0),L51,L50)</f>
        <v>100</v>
      </c>
      <c r="M57" s="58"/>
    </row>
    <row r="58" spans="2:18" ht="15" hidden="1" customHeight="1">
      <c r="B58" s="49" t="str">
        <f>IF(($E52&gt;0),B52,B51)</f>
        <v>per 100 youth found delinquent</v>
      </c>
      <c r="C58" s="49">
        <f>IF(($E52&gt;0),C52,C51)</f>
        <v>23.34</v>
      </c>
      <c r="D58" s="49">
        <f>IF(($E52&gt;0),D52,D51)</f>
        <v>0.24</v>
      </c>
      <c r="E58" s="56">
        <f>MAX(C58:D58)</f>
        <v>23.34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679.73699999999997</v>
      </c>
      <c r="D60" s="56">
        <f>D54</f>
        <v>39.231999999999999</v>
      </c>
      <c r="E60" s="56">
        <f>MAX(C60:D60)</f>
        <v>679.73699999999997</v>
      </c>
      <c r="G60" s="1" t="str">
        <f>G54</f>
        <v>per 1000 youth</v>
      </c>
      <c r="L60" s="58">
        <f>L54</f>
        <v>1000</v>
      </c>
      <c r="M60" s="58"/>
    </row>
    <row r="61" spans="2:18" ht="15" hidden="1" customHeight="1">
      <c r="B61" s="49" t="str">
        <f t="shared" ref="B61:D62" si="11">IF(($E55&gt;0),B55,B54)</f>
        <v>per 100 arrests</v>
      </c>
      <c r="C61" s="49">
        <f t="shared" si="11"/>
        <v>42.7</v>
      </c>
      <c r="D61" s="49">
        <f t="shared" si="11"/>
        <v>0.45</v>
      </c>
      <c r="E61" s="49">
        <f>MAX(C61:D61)</f>
        <v>42.7</v>
      </c>
      <c r="G61" s="1" t="str">
        <f>G55</f>
        <v>per 100 arrests</v>
      </c>
      <c r="L61" s="58">
        <f>IF(($E55&gt;0),L55,L54)</f>
        <v>100</v>
      </c>
      <c r="M61" s="58"/>
    </row>
    <row r="62" spans="2:18" ht="15" hidden="1" customHeight="1">
      <c r="B62" s="49" t="str">
        <f t="shared" si="11"/>
        <v>per 100 referrals</v>
      </c>
      <c r="C62" s="49">
        <f t="shared" si="11"/>
        <v>70.77</v>
      </c>
      <c r="D62" s="49">
        <f t="shared" si="11"/>
        <v>0.76</v>
      </c>
      <c r="E62" s="49">
        <f>MAX(C62:D62)</f>
        <v>70.77</v>
      </c>
      <c r="G62" s="1" t="str">
        <f>G56</f>
        <v>per 100 referrals</v>
      </c>
      <c r="L62" s="58">
        <f>IF(($E56&gt;0),L56,L55)</f>
        <v>100</v>
      </c>
      <c r="M62" s="58"/>
    </row>
    <row r="63" spans="2:18" ht="15" hidden="1" customHeight="1">
      <c r="B63" s="49" t="str">
        <f>IF(($E57&gt;0),B57,B55)</f>
        <v>per 100 youth petitioned</v>
      </c>
      <c r="C63" s="49">
        <f>IF(($E57&gt;0),C57,C56)</f>
        <v>37.65</v>
      </c>
      <c r="D63" s="49">
        <f>IF(($E57&gt;0),D57,D56)</f>
        <v>0.42</v>
      </c>
      <c r="E63" s="49">
        <f>MAX(C63:D63)</f>
        <v>37.65</v>
      </c>
      <c r="G63" s="1" t="str">
        <f>G57</f>
        <v>per 100 youth petitioned</v>
      </c>
      <c r="L63" s="58">
        <f>IF(($E57&gt;0),L57,L56)</f>
        <v>100</v>
      </c>
      <c r="M63" s="58"/>
    </row>
    <row r="64" spans="2:18" ht="15" hidden="1" customHeight="1">
      <c r="B64" s="49" t="str">
        <f>IF(($E58&gt;0),B58,B57)</f>
        <v>per 100 youth found delinquent</v>
      </c>
      <c r="C64" s="49">
        <f>IF(($E58&gt;0),C58,C57)</f>
        <v>23.34</v>
      </c>
      <c r="D64" s="49">
        <f>IF(($E58&gt;0),D58,D57)</f>
        <v>0.24</v>
      </c>
      <c r="E64" s="56">
        <f>MAX(C64:D64)</f>
        <v>23.34</v>
      </c>
      <c r="G64" s="1" t="str">
        <f>G58</f>
        <v>per 100 youth found delinquent</v>
      </c>
      <c r="L64" s="58">
        <f>IF(($E58&gt;0),L58,L57)</f>
        <v>100</v>
      </c>
      <c r="M64" s="58"/>
    </row>
    <row r="65" spans="2:13" ht="15" hidden="1" customHeight="1">
      <c r="B65" s="59" t="s">
        <v>92</v>
      </c>
      <c r="L65" s="57"/>
      <c r="M65" s="57"/>
    </row>
    <row r="66" spans="2:13" ht="15" hidden="1" customHeight="1">
      <c r="B66" s="49" t="str">
        <f>B60</f>
        <v>per 1000 youth</v>
      </c>
      <c r="C66" s="56">
        <f>C60</f>
        <v>679.73699999999997</v>
      </c>
      <c r="D66" s="56">
        <f>D60</f>
        <v>39.231999999999999</v>
      </c>
      <c r="E66" s="56">
        <f>MAX(C66:D66)</f>
        <v>679.73699999999997</v>
      </c>
      <c r="G66" s="1" t="str">
        <f>G60</f>
        <v>per 1000 youth</v>
      </c>
      <c r="L66" s="58">
        <f>L60</f>
        <v>1000</v>
      </c>
      <c r="M66" s="58">
        <f>IF((B66=G66),1,2)</f>
        <v>1</v>
      </c>
    </row>
    <row r="67" spans="2:13" ht="15" hidden="1" customHeight="1">
      <c r="B67" s="49" t="str">
        <f t="shared" ref="B67:D68" si="12">IF(($E61&gt;0),B61,B60)</f>
        <v>per 100 arrests</v>
      </c>
      <c r="C67" s="49">
        <f t="shared" si="12"/>
        <v>42.7</v>
      </c>
      <c r="D67" s="49">
        <f t="shared" si="12"/>
        <v>0.45</v>
      </c>
      <c r="E67" s="49">
        <f>MAX(C67:D67)</f>
        <v>42.7</v>
      </c>
      <c r="G67" s="1" t="str">
        <f>G61</f>
        <v>per 100 arrests</v>
      </c>
      <c r="L67" s="58">
        <f>IF(($E61&gt;0),L61,L60)</f>
        <v>100</v>
      </c>
      <c r="M67" s="58">
        <f>IF((B67=G67),1,2)</f>
        <v>1</v>
      </c>
    </row>
    <row r="68" spans="2:13" ht="15" hidden="1" customHeight="1">
      <c r="B68" s="49" t="str">
        <f t="shared" si="12"/>
        <v>per 100 referrals</v>
      </c>
      <c r="C68" s="49">
        <f t="shared" si="12"/>
        <v>70.77</v>
      </c>
      <c r="D68" s="49">
        <f t="shared" si="12"/>
        <v>0.76</v>
      </c>
      <c r="E68" s="49">
        <f>MAX(C68:D68)</f>
        <v>70.77</v>
      </c>
      <c r="G68" s="1" t="str">
        <f>G62</f>
        <v>per 100 referrals</v>
      </c>
      <c r="L68" s="58">
        <f>IF(($E62&gt;0),L62,L61)</f>
        <v>100</v>
      </c>
      <c r="M68" s="58">
        <f>IF((B68=G68),1,2)</f>
        <v>1</v>
      </c>
    </row>
    <row r="69" spans="2:13" ht="15" hidden="1" customHeight="1">
      <c r="B69" s="49" t="str">
        <f>IF(($E63&gt;0),B63,B61)</f>
        <v>per 100 youth petitioned</v>
      </c>
      <c r="C69" s="49">
        <f>IF(($E63&gt;0),C63,C62)</f>
        <v>37.65</v>
      </c>
      <c r="D69" s="49">
        <f>IF(($E63&gt;0),D63,D62)</f>
        <v>0.42</v>
      </c>
      <c r="E69" s="49">
        <f>MAX(C69:D69)</f>
        <v>37.65</v>
      </c>
      <c r="G69" s="1" t="str">
        <f>G63</f>
        <v>per 100 youth petitioned</v>
      </c>
      <c r="L69" s="58">
        <f>IF(($E63&gt;0),L63,L62)</f>
        <v>100</v>
      </c>
      <c r="M69" s="58">
        <f>IF((B69=G69),1,2)</f>
        <v>1</v>
      </c>
    </row>
    <row r="70" spans="2:13" ht="15" hidden="1" customHeight="1">
      <c r="B70" s="49" t="str">
        <f>IF(($E64&gt;0),B64,B63)</f>
        <v>per 100 youth found delinquent</v>
      </c>
      <c r="C70" s="49">
        <f>IF(($E64&gt;0),C64,C63)</f>
        <v>23.34</v>
      </c>
      <c r="D70" s="49">
        <f>IF(($E64&gt;0),D64,D63)</f>
        <v>0.24</v>
      </c>
      <c r="E70" s="56">
        <f>MAX(C70:D70)</f>
        <v>23.34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I5" sqref="I5"/>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4" t="str">
        <f>'Data Entry'!E5</f>
        <v>Hispanic or Latino</v>
      </c>
      <c r="G1" s="214"/>
      <c r="H1" s="214"/>
      <c r="I1" s="214"/>
      <c r="J1" s="214"/>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All Reporting Counties</v>
      </c>
      <c r="C3" s="22"/>
      <c r="D3" s="22"/>
      <c r="E3" s="22"/>
      <c r="F3" s="22"/>
      <c r="G3" s="7"/>
      <c r="H3" s="7"/>
      <c r="I3" s="7"/>
      <c r="J3" s="7"/>
      <c r="K3" s="7"/>
      <c r="N3" s="213" t="s">
        <v>31</v>
      </c>
      <c r="O3" s="213"/>
      <c r="P3" s="213"/>
      <c r="Q3" s="213"/>
      <c r="R3" s="213"/>
      <c r="S3" s="213"/>
      <c r="T3" s="213"/>
      <c r="U3" s="213"/>
    </row>
    <row r="4" spans="2:21" ht="24.75" customHeight="1">
      <c r="B4" s="4"/>
      <c r="C4" s="23"/>
      <c r="D4" s="23"/>
      <c r="E4" s="23"/>
      <c r="F4" s="23"/>
      <c r="G4" s="8"/>
      <c r="H4" s="8"/>
      <c r="I4" s="8"/>
      <c r="N4" s="213"/>
      <c r="O4" s="213"/>
      <c r="P4" s="213"/>
      <c r="Q4" s="213"/>
      <c r="R4" s="213"/>
      <c r="S4" s="213"/>
      <c r="T4" s="213"/>
      <c r="U4" s="213"/>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10-17) </v>
      </c>
      <c r="C6" s="33">
        <f>'Data Entry'!C6</f>
        <v>679737</v>
      </c>
      <c r="D6" s="34"/>
      <c r="E6" s="33">
        <f>'Data Entry'!E6</f>
        <v>89856</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2. Juvenile Arrests</v>
      </c>
      <c r="C7" s="33">
        <f>'Data Entry'!C7</f>
        <v>4270</v>
      </c>
      <c r="D7" s="34">
        <f>IF((AND(C66&gt;0,C7&gt;0)),(C7/C66),0)</f>
        <v>6.2818413592315858</v>
      </c>
      <c r="E7" s="33">
        <f>'Data Entry'!E7</f>
        <v>263</v>
      </c>
      <c r="F7" s="34">
        <f>IF((AND($E$7&gt;0,$D$66&gt;0)),($E$7/$D$66),0)</f>
        <v>2.9269052706552707</v>
      </c>
      <c r="G7" s="39">
        <f t="shared" ref="G7:G15" si="0">IF(L$6=100,"*",IF(M7=FALSE,"--",IF(K7=20,"**",($F7/$D7))))</f>
        <v>0.46593110256660458</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263</v>
      </c>
      <c r="O7" s="42">
        <f>E6-E7</f>
        <v>89593</v>
      </c>
      <c r="P7" s="42">
        <f t="shared" ref="P7:P15" si="4">C7</f>
        <v>4270</v>
      </c>
      <c r="Q7" s="42">
        <f>C6-C7</f>
        <v>675467</v>
      </c>
      <c r="R7" s="42">
        <f t="shared" ref="R7:R15" si="5">SUM(N7:Q7)</f>
        <v>769593</v>
      </c>
      <c r="S7" s="30">
        <f t="shared" ref="S7:S15" si="6">R7*((((N7*Q7)-(O7*P7))^2))</f>
        <v>3.2315106818613746E+22</v>
      </c>
      <c r="T7" s="30">
        <f t="shared" ref="T7:T15" si="7">(N7+O7)*(P7+Q7)*(N7+P7)*(O7+Q7)</f>
        <v>2.1182109433214088E+20</v>
      </c>
      <c r="U7" s="31">
        <f t="shared" ref="U7:U15" si="8">IF((S7&gt;0),S7/T7,"- -")</f>
        <v>152.55849244146967</v>
      </c>
    </row>
    <row r="8" spans="2:21" ht="18" customHeight="1">
      <c r="B8" s="32" t="str">
        <f>'Data Entry'!A8</f>
        <v>3. Refer to Juvenile Court</v>
      </c>
      <c r="C8" s="33">
        <f>'Data Entry'!C8</f>
        <v>7077</v>
      </c>
      <c r="D8" s="34">
        <f>IF((AND(C67&gt;0,C8&gt;0)),(C8/C67),0)</f>
        <v>165.73770491803276</v>
      </c>
      <c r="E8" s="33">
        <f>'Data Entry'!E8</f>
        <v>553</v>
      </c>
      <c r="F8" s="34">
        <f>IF((AND($E$8&gt;0,$D$67&gt;0)),($E8/$D67),0)</f>
        <v>210.26615969581749</v>
      </c>
      <c r="G8" s="39">
        <f t="shared" si="0"/>
        <v>1.2686682236839633</v>
      </c>
      <c r="H8" s="40"/>
      <c r="I8" s="41"/>
      <c r="J8" s="40">
        <f>IF((ABS($U8)&gt;Defaults!D$7),1,2)</f>
        <v>1</v>
      </c>
      <c r="K8" s="39">
        <f>IF((AND(N8&gt;Defaults!B$12,(N8+O8)&gt;Defaults!B$13, P8 &gt; Defaults!B$12, (P8+Q8) &gt; Defaults!B$13)),1,20)</f>
        <v>1</v>
      </c>
      <c r="L8" s="1">
        <f t="shared" si="1"/>
        <v>1</v>
      </c>
      <c r="M8" s="1" t="b">
        <f t="shared" si="2"/>
        <v>1</v>
      </c>
      <c r="N8" s="42">
        <f t="shared" si="3"/>
        <v>553</v>
      </c>
      <c r="O8" s="42">
        <f>((D67*L67)-E8)+0.05</f>
        <v>-289.95</v>
      </c>
      <c r="P8" s="42">
        <f t="shared" si="4"/>
        <v>7077</v>
      </c>
      <c r="Q8" s="42">
        <f>(C$67*L67)-C8</f>
        <v>-2807</v>
      </c>
      <c r="R8" s="42">
        <f t="shared" si="5"/>
        <v>4533.05</v>
      </c>
      <c r="S8" s="30">
        <f t="shared" si="6"/>
        <v>1131926324295103</v>
      </c>
      <c r="T8" s="30">
        <f t="shared" si="7"/>
        <v>-26541466349819.75</v>
      </c>
      <c r="U8" s="31">
        <f t="shared" si="8"/>
        <v>-42.647467527836504</v>
      </c>
    </row>
    <row r="9" spans="2:21" ht="18" customHeight="1">
      <c r="B9" s="32" t="str">
        <f>'Data Entry'!A9</f>
        <v xml:space="preserve">4. Cases Diverted </v>
      </c>
      <c r="C9" s="33">
        <f>'Data Entry'!C9</f>
        <v>1540</v>
      </c>
      <c r="D9" s="34">
        <f>IF((AND(C68&gt;0,C9&gt;0)),((C9/C68)),0)</f>
        <v>21.760633036597429</v>
      </c>
      <c r="E9" s="33">
        <f>'Data Entry'!E9</f>
        <v>157</v>
      </c>
      <c r="F9" s="34">
        <f>IF((AND($E$9&gt;0,$D$68&gt;0)),(($E$9/$D$68)),0)</f>
        <v>28.390596745027125</v>
      </c>
      <c r="G9" s="39">
        <f t="shared" si="0"/>
        <v>1.3046769686010191</v>
      </c>
      <c r="H9" s="40"/>
      <c r="I9" s="41"/>
      <c r="J9" s="40">
        <f>IF((ABS($U9)&gt;Defaults!D$7),1,2)</f>
        <v>1</v>
      </c>
      <c r="K9" s="39">
        <f>IF((AND(N9&gt;Defaults!B$12,(N9+O9)&gt;Defaults!B$13, P9 &gt; Defaults!B$12, (P9+Q9) &gt; Defaults!B$13)),1,20)</f>
        <v>1</v>
      </c>
      <c r="L9" s="1">
        <f t="shared" si="1"/>
        <v>1</v>
      </c>
      <c r="M9" s="1" t="b">
        <f t="shared" si="2"/>
        <v>1</v>
      </c>
      <c r="N9" s="42">
        <f t="shared" si="3"/>
        <v>157</v>
      </c>
      <c r="O9" s="42">
        <f>(D$68*L68)-E9</f>
        <v>396</v>
      </c>
      <c r="P9" s="42">
        <f t="shared" si="4"/>
        <v>1540</v>
      </c>
      <c r="Q9" s="42">
        <f>(C$68*L68)-C9</f>
        <v>5537</v>
      </c>
      <c r="R9" s="42">
        <f t="shared" si="5"/>
        <v>7630</v>
      </c>
      <c r="S9" s="30">
        <f t="shared" si="6"/>
        <v>513683355762430</v>
      </c>
      <c r="T9" s="30">
        <f t="shared" si="7"/>
        <v>39403111495881</v>
      </c>
      <c r="U9" s="31">
        <f t="shared" si="8"/>
        <v>13.036619095832771</v>
      </c>
    </row>
    <row r="10" spans="2:21" ht="18" customHeight="1">
      <c r="B10" s="32" t="str">
        <f>'Data Entry'!A10</f>
        <v>5. Cases Involving Secure Detention</v>
      </c>
      <c r="C10" s="33">
        <f>'Data Entry'!C10</f>
        <v>880</v>
      </c>
      <c r="D10" s="34">
        <f>IF(((AND(C68&gt;0,C10&gt;0))),(C10/(C68)),0)</f>
        <v>12.434647449484245</v>
      </c>
      <c r="E10" s="33">
        <f>'Data Entry'!E10</f>
        <v>184</v>
      </c>
      <c r="F10" s="34">
        <f>IF(((AND($E$10&gt;0,$D$68&gt;0))),($E$10/($D$68)),0)</f>
        <v>33.273056057866185</v>
      </c>
      <c r="G10" s="39">
        <f t="shared" si="0"/>
        <v>2.6758342922899883</v>
      </c>
      <c r="H10" s="40"/>
      <c r="I10" s="41"/>
      <c r="J10" s="40">
        <f>IF((ABS($U10)&gt;Defaults!D$7),1,2)</f>
        <v>1</v>
      </c>
      <c r="K10" s="39">
        <f>IF((AND(N10&gt;Defaults!B$12,(N10+O10)&gt;Defaults!B$13, P10 &gt; Defaults!B$12, (P10+Q10) &gt; Defaults!B$13)),1,20)</f>
        <v>1</v>
      </c>
      <c r="L10" s="1">
        <f t="shared" si="1"/>
        <v>1</v>
      </c>
      <c r="M10" s="1" t="b">
        <f t="shared" si="2"/>
        <v>1</v>
      </c>
      <c r="N10" s="42">
        <f t="shared" si="3"/>
        <v>184</v>
      </c>
      <c r="O10" s="42">
        <f>(D$68*L68)-E10</f>
        <v>369</v>
      </c>
      <c r="P10" s="42">
        <f t="shared" si="4"/>
        <v>880</v>
      </c>
      <c r="Q10" s="42">
        <f>(C$68*L68)-C10</f>
        <v>6197</v>
      </c>
      <c r="R10" s="42">
        <f t="shared" si="5"/>
        <v>7630</v>
      </c>
      <c r="S10" s="30">
        <f t="shared" si="6"/>
        <v>5074605560321920</v>
      </c>
      <c r="T10" s="30">
        <f t="shared" si="7"/>
        <v>27341153508144</v>
      </c>
      <c r="U10" s="31">
        <f t="shared" si="8"/>
        <v>185.60319917776576</v>
      </c>
    </row>
    <row r="11" spans="2:21" ht="18" customHeight="1">
      <c r="B11" s="32" t="str">
        <f>'Data Entry'!A11</f>
        <v>6. Cases Petitioned (Charge Filed)</v>
      </c>
      <c r="C11" s="33">
        <f>'Data Entry'!C11</f>
        <v>3765</v>
      </c>
      <c r="D11" s="34">
        <f>IF(((AND(C68&gt;0,C11&gt;0))),(C11/(C68)),0)</f>
        <v>53.200508690122938</v>
      </c>
      <c r="E11" s="33">
        <f>'Data Entry'!E11</f>
        <v>392</v>
      </c>
      <c r="F11" s="34">
        <f>IF(((AND($E$11&gt;0,$D$68&gt;0))),($E$11/($D$68)),0)</f>
        <v>70.886075949367083</v>
      </c>
      <c r="G11" s="39">
        <f t="shared" si="0"/>
        <v>1.3324322961319277</v>
      </c>
      <c r="H11" s="40"/>
      <c r="I11" s="41"/>
      <c r="J11" s="40">
        <f>IF((ABS($U11)&gt;Defaults!D$7),1,2)</f>
        <v>1</v>
      </c>
      <c r="K11" s="39">
        <f>IF((AND(N11&gt;Defaults!B$12,(N11+O11)&gt;Defaults!B$13, P11 &gt; Defaults!B$12, (P11+Q11) &gt; Defaults!B$13)),1,20)</f>
        <v>1</v>
      </c>
      <c r="L11" s="1">
        <f t="shared" si="1"/>
        <v>1</v>
      </c>
      <c r="M11" s="1" t="b">
        <f t="shared" si="2"/>
        <v>1</v>
      </c>
      <c r="N11" s="42">
        <f t="shared" si="3"/>
        <v>392</v>
      </c>
      <c r="O11" s="42">
        <f>(D$68*L68)-E11</f>
        <v>161</v>
      </c>
      <c r="P11" s="42">
        <f t="shared" si="4"/>
        <v>3765</v>
      </c>
      <c r="Q11" s="42">
        <f>(C$68*L68)-C11</f>
        <v>3312</v>
      </c>
      <c r="R11" s="42">
        <f t="shared" si="5"/>
        <v>7630</v>
      </c>
      <c r="S11" s="30">
        <f t="shared" si="6"/>
        <v>3655200296299230</v>
      </c>
      <c r="T11" s="30">
        <f t="shared" si="7"/>
        <v>56501390341641</v>
      </c>
      <c r="U11" s="31">
        <f t="shared" si="8"/>
        <v>64.692218619713884</v>
      </c>
    </row>
    <row r="12" spans="2:21" ht="18" customHeight="1">
      <c r="B12" s="32" t="str">
        <f>'Data Entry'!A12</f>
        <v>7. Cases Resulting in Delinquent Findings</v>
      </c>
      <c r="C12" s="33">
        <f>'Data Entry'!C12</f>
        <v>2334</v>
      </c>
      <c r="D12" s="34">
        <f>IF(((AND(C69&gt;0,C12&gt;0))),(C12/(C69)),0)</f>
        <v>61.992031872509962</v>
      </c>
      <c r="E12" s="33">
        <f>'Data Entry'!E12</f>
        <v>238</v>
      </c>
      <c r="F12" s="34">
        <f>IF(((AND($D$69&gt;0,$E$12&gt;0))),(E12/(D69)),0)</f>
        <v>60.714285714285715</v>
      </c>
      <c r="G12" s="39">
        <f t="shared" si="0"/>
        <v>0.97938854204921044</v>
      </c>
      <c r="H12" s="40"/>
      <c r="I12" s="41"/>
      <c r="J12" s="40">
        <f>IF((ABS($U12)&gt;Defaults!D$7),1,2)</f>
        <v>2</v>
      </c>
      <c r="K12" s="39">
        <f>IF((AND(N12&gt;Defaults!B$12,(N12+O12)&gt;Defaults!B$13, P12 &gt; Defaults!B$12, (P12+Q12) &gt; Defaults!B$13)),1,20)</f>
        <v>1</v>
      </c>
      <c r="L12" s="1">
        <f t="shared" si="1"/>
        <v>2</v>
      </c>
      <c r="M12" s="1" t="b">
        <f t="shared" si="2"/>
        <v>1</v>
      </c>
      <c r="N12" s="42">
        <f t="shared" si="3"/>
        <v>238</v>
      </c>
      <c r="O12" s="42">
        <f>(D69*L69)-E12</f>
        <v>154</v>
      </c>
      <c r="P12" s="42">
        <f t="shared" si="4"/>
        <v>2334</v>
      </c>
      <c r="Q12" s="42">
        <f>(C69*L69)-C12</f>
        <v>1431</v>
      </c>
      <c r="R12" s="42">
        <f t="shared" si="5"/>
        <v>4157</v>
      </c>
      <c r="S12" s="30">
        <f t="shared" si="6"/>
        <v>1478329649748</v>
      </c>
      <c r="T12" s="30">
        <f t="shared" si="7"/>
        <v>6016601925600</v>
      </c>
      <c r="U12" s="31">
        <f t="shared" si="8"/>
        <v>0.24570840285408693</v>
      </c>
    </row>
    <row r="13" spans="2:21" ht="18" customHeight="1">
      <c r="B13" s="32" t="str">
        <f>'Data Entry'!A13</f>
        <v>8. Cases Resulting in Probation Placement</v>
      </c>
      <c r="C13" s="33">
        <f>'Data Entry'!C13</f>
        <v>2458</v>
      </c>
      <c r="D13" s="34">
        <f>IF(((AND(C70&gt;0,C13&gt;0))),(C13/(C70)),0)</f>
        <v>105.3127677806341</v>
      </c>
      <c r="E13" s="33">
        <f>'Data Entry'!E13</f>
        <v>220</v>
      </c>
      <c r="F13" s="34">
        <f>IF(((AND($D$70&gt;0,$E$13&gt;0))),($E$13/($D$70)),0)</f>
        <v>92.436974789915965</v>
      </c>
      <c r="G13" s="39">
        <f t="shared" si="0"/>
        <v>0.87773758811905556</v>
      </c>
      <c r="H13" s="40"/>
      <c r="I13" s="41"/>
      <c r="J13" s="40">
        <f>IF((ABS($U13)&gt;Defaults!D$7),1,2)</f>
        <v>1</v>
      </c>
      <c r="K13" s="39">
        <f>IF((AND(N13&gt;Defaults!B$12,(N13+O13)&gt;Defaults!B$13, P13 &gt; Defaults!B$12, (P13+Q13) &gt; Defaults!B$13)),1,20)</f>
        <v>1</v>
      </c>
      <c r="L13" s="1">
        <f t="shared" si="1"/>
        <v>1</v>
      </c>
      <c r="M13" s="1" t="b">
        <f t="shared" si="2"/>
        <v>1</v>
      </c>
      <c r="N13" s="42">
        <f t="shared" si="3"/>
        <v>220</v>
      </c>
      <c r="O13" s="42">
        <f>(D70*L70)-E13</f>
        <v>18</v>
      </c>
      <c r="P13" s="42">
        <f t="shared" si="4"/>
        <v>2458</v>
      </c>
      <c r="Q13" s="42">
        <f>(C70*L70)-C13</f>
        <v>-124</v>
      </c>
      <c r="R13" s="42">
        <f t="shared" si="5"/>
        <v>2572</v>
      </c>
      <c r="S13" s="30">
        <f t="shared" si="6"/>
        <v>13157535585472</v>
      </c>
      <c r="T13" s="30">
        <f t="shared" si="7"/>
        <v>-157686403056</v>
      </c>
      <c r="U13" s="31">
        <f t="shared" si="8"/>
        <v>-83.441154915552829</v>
      </c>
    </row>
    <row r="14" spans="2:21" ht="30.75" customHeight="1">
      <c r="B14" s="32" t="str">
        <f>'Data Entry'!A14</f>
        <v xml:space="preserve">9. Cases Resulting in Confinement in Secure Juvenile Correctional Facilities </v>
      </c>
      <c r="C14" s="33">
        <f>'Data Entry'!C14</f>
        <v>423</v>
      </c>
      <c r="D14" s="34">
        <f>IF(((AND(C70&gt;0,C14&gt;0))), ((C14/(C70))),0)</f>
        <v>18.123393316195372</v>
      </c>
      <c r="E14" s="33">
        <f>'Data Entry'!E14</f>
        <v>10</v>
      </c>
      <c r="F14" s="34">
        <f>IF(((AND($D$70&gt;0,$E$14&gt;0))), (($E$14/($D$70))),0)</f>
        <v>4.2016806722689077</v>
      </c>
      <c r="G14" s="39">
        <f t="shared" si="0"/>
        <v>0.23183741581739081</v>
      </c>
      <c r="H14" s="40"/>
      <c r="I14" s="41"/>
      <c r="J14" s="40">
        <f>IF((ABS($U14)&gt;Defaults!D$7),1,2)</f>
        <v>1</v>
      </c>
      <c r="K14" s="39">
        <f>IF((AND(N14&gt;Defaults!B$12,(N14+O14)&gt;Defaults!B$13, P14 &gt; Defaults!B$12, (P14+Q14) &gt; Defaults!B$13)),1,20)</f>
        <v>1</v>
      </c>
      <c r="L14" s="1">
        <f t="shared" si="1"/>
        <v>1</v>
      </c>
      <c r="M14" s="1" t="b">
        <f t="shared" si="2"/>
        <v>1</v>
      </c>
      <c r="N14" s="42">
        <f t="shared" si="3"/>
        <v>10</v>
      </c>
      <c r="O14" s="42">
        <f>(D70*L70)-E14</f>
        <v>228</v>
      </c>
      <c r="P14" s="42">
        <f t="shared" si="4"/>
        <v>423</v>
      </c>
      <c r="Q14" s="42">
        <f>(C70*L70)-C14</f>
        <v>1911</v>
      </c>
      <c r="R14" s="42">
        <f t="shared" si="5"/>
        <v>2572</v>
      </c>
      <c r="S14" s="30">
        <f t="shared" si="6"/>
        <v>15381968314032</v>
      </c>
      <c r="T14" s="30">
        <f t="shared" si="7"/>
        <v>514489469004</v>
      </c>
      <c r="U14" s="31">
        <f t="shared" si="8"/>
        <v>29.897537735436931</v>
      </c>
    </row>
    <row r="15" spans="2:21" ht="15.75" customHeight="1">
      <c r="B15" s="32" t="str">
        <f>'Data Entry'!A15</f>
        <v xml:space="preserve">10. Cases Transferred to Adult Court </v>
      </c>
      <c r="C15" s="33">
        <f>'Data Entry'!C15</f>
        <v>3</v>
      </c>
      <c r="D15" s="34">
        <f>IF(((AND(C69&gt;0,C15&gt;0))),((C15/(C69))),0)</f>
        <v>7.9681274900398405E-2</v>
      </c>
      <c r="E15" s="33">
        <f>'Data Entry'!E15</f>
        <v>4</v>
      </c>
      <c r="F15" s="34">
        <f>IF(((AND($D$69&gt;0,$E$15&gt;0))),(($E$15/($D$69))),0)</f>
        <v>1.0204081632653061</v>
      </c>
      <c r="G15" s="39" t="str">
        <f t="shared" si="0"/>
        <v>**</v>
      </c>
      <c r="H15" s="40"/>
      <c r="I15" s="41"/>
      <c r="J15" s="40">
        <f>IF((ABS($U15)&gt;Defaults!D$7),1,2)</f>
        <v>1</v>
      </c>
      <c r="K15" s="39">
        <f>IF((AND(N15&gt;Defaults!B$12,(N15+O15)&gt;Defaults!B$13, P15 &gt; Defaults!B$12, (P15+Q15) &gt; Defaults!B$13)),1,20)</f>
        <v>20</v>
      </c>
      <c r="L15" s="1">
        <f t="shared" si="1"/>
        <v>20</v>
      </c>
      <c r="M15" s="1" t="b">
        <f t="shared" si="2"/>
        <v>1</v>
      </c>
      <c r="N15" s="42">
        <f t="shared" si="3"/>
        <v>4</v>
      </c>
      <c r="O15" s="42">
        <f>(D69*L69)-E15</f>
        <v>388</v>
      </c>
      <c r="P15" s="42">
        <f t="shared" si="4"/>
        <v>3</v>
      </c>
      <c r="Q15" s="42">
        <f>(C69*L69)-C15</f>
        <v>3762</v>
      </c>
      <c r="R15" s="42">
        <f t="shared" si="5"/>
        <v>4157</v>
      </c>
      <c r="S15" s="30">
        <f t="shared" si="6"/>
        <v>801326000592</v>
      </c>
      <c r="T15" s="30">
        <f t="shared" si="7"/>
        <v>42874314000</v>
      </c>
      <c r="U15" s="31">
        <f t="shared" si="8"/>
        <v>18.690118297682851</v>
      </c>
    </row>
    <row r="16" spans="2:21" ht="12" customHeight="1">
      <c r="B16" s="43" t="s">
        <v>93</v>
      </c>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52</v>
      </c>
    </row>
    <row r="19" spans="2:21" ht="15" customHeight="1">
      <c r="B19" s="1" t="s">
        <v>53</v>
      </c>
      <c r="D19" s="45" t="s">
        <v>54</v>
      </c>
    </row>
    <row r="20" spans="2:21" ht="15" customHeight="1">
      <c r="B20" s="1" t="s">
        <v>55</v>
      </c>
      <c r="D20" s="1" t="s">
        <v>56</v>
      </c>
    </row>
    <row r="21" spans="2:21" ht="15" customHeight="1">
      <c r="B21" s="1" t="s">
        <v>57</v>
      </c>
      <c r="D21" s="1" t="s">
        <v>58</v>
      </c>
    </row>
    <row r="22" spans="2:21" ht="15" customHeight="1">
      <c r="B22" s="1" t="s">
        <v>59</v>
      </c>
      <c r="D22" s="1" t="s">
        <v>60</v>
      </c>
    </row>
    <row r="23" spans="2:21" ht="15" customHeight="1">
      <c r="B23" s="1" t="s">
        <v>61</v>
      </c>
      <c r="D23" s="1" t="s">
        <v>62</v>
      </c>
    </row>
    <row r="24" spans="2:21" ht="11.25" customHeight="1">
      <c r="B24" s="62"/>
      <c r="C24" s="62"/>
      <c r="D24" s="62"/>
      <c r="E24" s="62"/>
      <c r="F24" s="62"/>
      <c r="G24" s="62"/>
      <c r="H24" s="62"/>
      <c r="I24" s="62"/>
      <c r="K24" s="1" t="s">
        <v>94</v>
      </c>
      <c r="L24" s="1" t="s">
        <v>95</v>
      </c>
      <c r="N24" s="21"/>
      <c r="O24" s="21"/>
      <c r="P24" s="21"/>
      <c r="Q24" s="21"/>
      <c r="R24" s="21"/>
      <c r="S24" s="30"/>
      <c r="T24" s="30"/>
      <c r="U24" s="31"/>
    </row>
    <row r="25" spans="2:21" ht="15" customHeight="1">
      <c r="B25" s="46" t="s">
        <v>63</v>
      </c>
      <c r="K25" s="1" t="s">
        <v>64</v>
      </c>
      <c r="L25" s="1" t="s">
        <v>65</v>
      </c>
      <c r="N25" s="21"/>
      <c r="O25" s="21" t="b">
        <f>ISBLANK(N12)</f>
        <v>0</v>
      </c>
      <c r="P25" s="21"/>
      <c r="Q25" s="21"/>
      <c r="R25" s="21"/>
    </row>
    <row r="26" spans="2:21" ht="15" customHeight="1">
      <c r="B26" s="47" t="s">
        <v>66</v>
      </c>
      <c r="F26" s="47" t="s">
        <v>67</v>
      </c>
      <c r="G26" s="47"/>
      <c r="H26" s="47"/>
      <c r="I26" s="47"/>
      <c r="J26" s="47"/>
      <c r="K26" s="48" t="s">
        <v>62</v>
      </c>
      <c r="L26" s="48" t="s">
        <v>68</v>
      </c>
      <c r="M26" s="48"/>
      <c r="R26" s="49"/>
    </row>
    <row r="27" spans="2:21" ht="15" customHeight="1">
      <c r="B27" s="50" t="s">
        <v>69</v>
      </c>
      <c r="C27" s="50"/>
      <c r="D27" s="50"/>
      <c r="E27" s="50"/>
      <c r="F27" s="50" t="str">
        <f>B66</f>
        <v>per 1000 youth</v>
      </c>
      <c r="G27" s="50"/>
      <c r="H27" s="50"/>
      <c r="I27" s="50"/>
      <c r="J27" s="50">
        <f>F66</f>
        <v>0</v>
      </c>
      <c r="K27" s="50" t="s">
        <v>60</v>
      </c>
      <c r="L27" s="51" t="s">
        <v>70</v>
      </c>
      <c r="R27" s="49"/>
    </row>
    <row r="28" spans="2:21" ht="15" customHeight="1">
      <c r="B28" s="50" t="s">
        <v>71</v>
      </c>
      <c r="C28" s="50"/>
      <c r="D28" s="50"/>
      <c r="E28" s="50"/>
      <c r="F28" s="52" t="str">
        <f>B67</f>
        <v>per 100 arrests</v>
      </c>
      <c r="G28" s="52"/>
      <c r="H28" s="52"/>
      <c r="I28" s="52"/>
      <c r="J28" s="52"/>
      <c r="K28" s="52" t="s">
        <v>58</v>
      </c>
      <c r="L28" s="53" t="s">
        <v>72</v>
      </c>
      <c r="R28" s="49"/>
    </row>
    <row r="29" spans="2:21" ht="15" customHeight="1">
      <c r="B29" s="52" t="s">
        <v>73</v>
      </c>
      <c r="C29" s="52"/>
      <c r="D29" s="52"/>
      <c r="E29" s="52"/>
      <c r="F29" s="52" t="str">
        <f>B68</f>
        <v>per 100 referrals</v>
      </c>
      <c r="G29" s="52"/>
      <c r="H29" s="52"/>
      <c r="I29" s="52"/>
      <c r="J29" s="52"/>
      <c r="K29" s="52"/>
      <c r="L29" s="53"/>
      <c r="R29" s="49"/>
    </row>
    <row r="30" spans="2:21" ht="15" customHeight="1">
      <c r="B30" s="52" t="s">
        <v>74</v>
      </c>
      <c r="C30" s="52"/>
      <c r="D30" s="52"/>
      <c r="E30" s="52"/>
      <c r="F30" s="52" t="str">
        <f>B68</f>
        <v>per 100 referrals</v>
      </c>
      <c r="G30" s="52"/>
      <c r="H30" s="52"/>
      <c r="I30" s="52"/>
      <c r="J30" s="52"/>
      <c r="K30" s="52"/>
      <c r="L30" s="53"/>
      <c r="N30" s="1" t="b">
        <f>ISNUMBER(J14)</f>
        <v>1</v>
      </c>
      <c r="R30" s="49"/>
    </row>
    <row r="31" spans="2:21" ht="15" customHeight="1">
      <c r="B31" s="52" t="s">
        <v>75</v>
      </c>
      <c r="C31" s="52"/>
      <c r="D31" s="52"/>
      <c r="E31" s="52"/>
      <c r="F31" s="52" t="str">
        <f>B68</f>
        <v>per 100 referrals</v>
      </c>
      <c r="G31" s="52"/>
      <c r="H31" s="52"/>
      <c r="I31" s="52"/>
      <c r="J31" s="52"/>
      <c r="K31" s="52"/>
      <c r="L31" s="53"/>
      <c r="R31" s="49"/>
    </row>
    <row r="32" spans="2:21" ht="15" customHeight="1">
      <c r="B32" s="52" t="s">
        <v>76</v>
      </c>
      <c r="C32" s="52"/>
      <c r="D32" s="52"/>
      <c r="E32" s="52"/>
      <c r="F32" s="52" t="str">
        <f>B69</f>
        <v>per 100 youth petitioned</v>
      </c>
      <c r="G32" s="52"/>
      <c r="H32" s="52"/>
      <c r="I32" s="52"/>
      <c r="J32" s="52"/>
      <c r="K32" s="52"/>
      <c r="L32" s="53"/>
      <c r="R32" s="49"/>
    </row>
    <row r="33" spans="2:18" ht="15" customHeight="1">
      <c r="B33" s="52" t="s">
        <v>77</v>
      </c>
      <c r="C33" s="52"/>
      <c r="D33" s="52"/>
      <c r="E33" s="52"/>
      <c r="F33" s="52" t="str">
        <f>B70</f>
        <v>per 100 youth found delinquent</v>
      </c>
      <c r="G33" s="52"/>
      <c r="H33" s="52"/>
      <c r="I33" s="52"/>
      <c r="J33" s="52"/>
      <c r="K33" s="52"/>
      <c r="L33" s="53"/>
      <c r="R33" s="49"/>
    </row>
    <row r="34" spans="2:18" ht="15" customHeight="1">
      <c r="B34" s="52" t="s">
        <v>78</v>
      </c>
      <c r="C34" s="52"/>
      <c r="D34" s="52"/>
      <c r="E34" s="52"/>
      <c r="F34" s="52" t="str">
        <f>B70</f>
        <v>per 100 youth found delinquent</v>
      </c>
      <c r="G34" s="52"/>
      <c r="H34" s="52"/>
      <c r="I34" s="52"/>
      <c r="J34" s="52"/>
      <c r="K34" s="52"/>
      <c r="L34" s="53"/>
      <c r="R34" s="49"/>
    </row>
    <row r="35" spans="2:18" ht="15" customHeight="1">
      <c r="B35" s="52" t="s">
        <v>79</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2" t="s">
        <v>80</v>
      </c>
      <c r="C40" s="212"/>
      <c r="D40" s="212"/>
      <c r="E40" s="212"/>
      <c r="F40" s="212"/>
      <c r="G40" s="212"/>
      <c r="H40" s="212"/>
      <c r="I40" s="212"/>
      <c r="J40" s="212"/>
      <c r="K40" s="8"/>
      <c r="R40" s="49"/>
    </row>
    <row r="41" spans="2:18" ht="15" hidden="1" customHeight="1">
      <c r="B41" s="54" t="s">
        <v>81</v>
      </c>
      <c r="C41" s="54" t="s">
        <v>82</v>
      </c>
      <c r="D41" s="55" t="s">
        <v>83</v>
      </c>
      <c r="E41" s="54" t="s">
        <v>84</v>
      </c>
      <c r="G41" s="54" t="s">
        <v>85</v>
      </c>
      <c r="H41" s="54"/>
      <c r="I41" s="54"/>
      <c r="L41" s="1" t="s">
        <v>86</v>
      </c>
      <c r="R41" s="49"/>
    </row>
    <row r="42" spans="2:18" ht="15" hidden="1" customHeight="1">
      <c r="B42" s="49" t="s">
        <v>87</v>
      </c>
      <c r="C42" s="56">
        <f>C6/1000</f>
        <v>679.73699999999997</v>
      </c>
      <c r="D42" s="56">
        <f>E6/1000</f>
        <v>89.855999999999995</v>
      </c>
      <c r="E42" s="56">
        <f>MAX(C42:D42)</f>
        <v>679.73699999999997</v>
      </c>
      <c r="G42" s="1" t="str">
        <f>B42</f>
        <v>per 1000 youth</v>
      </c>
      <c r="L42" s="57">
        <v>1000</v>
      </c>
      <c r="M42" s="57"/>
      <c r="R42" s="49"/>
    </row>
    <row r="43" spans="2:18" ht="15" hidden="1" customHeight="1">
      <c r="B43" s="49" t="s">
        <v>88</v>
      </c>
      <c r="C43" s="56">
        <f>C7/100</f>
        <v>42.7</v>
      </c>
      <c r="D43" s="56">
        <f>E7/100</f>
        <v>2.63</v>
      </c>
      <c r="E43" s="56">
        <f>MAX(C43:D43,0)</f>
        <v>42.7</v>
      </c>
      <c r="G43" s="1" t="str">
        <f>B43</f>
        <v>per 100 arrests</v>
      </c>
      <c r="L43" s="57">
        <v>100</v>
      </c>
      <c r="M43" s="57"/>
      <c r="R43" s="49"/>
    </row>
    <row r="44" spans="2:18" ht="15" hidden="1" customHeight="1">
      <c r="B44" s="49" t="s">
        <v>89</v>
      </c>
      <c r="C44" s="56">
        <f>C8/100</f>
        <v>70.77</v>
      </c>
      <c r="D44" s="56">
        <f>E8/100</f>
        <v>5.53</v>
      </c>
      <c r="E44" s="56">
        <f>MAX(C44:D44,0)</f>
        <v>70.77</v>
      </c>
      <c r="G44" s="1" t="str">
        <f>B44</f>
        <v>per 100 referrals</v>
      </c>
      <c r="L44" s="57">
        <v>100</v>
      </c>
      <c r="M44" s="57"/>
      <c r="R44" s="49"/>
    </row>
    <row r="45" spans="2:18" ht="15" hidden="1" customHeight="1">
      <c r="B45" s="49" t="s">
        <v>90</v>
      </c>
      <c r="C45" s="49">
        <f>C11/100</f>
        <v>37.65</v>
      </c>
      <c r="D45" s="49">
        <f>E11/100</f>
        <v>3.92</v>
      </c>
      <c r="E45" s="56">
        <f>MAX(C45:D45,0)</f>
        <v>37.65</v>
      </c>
      <c r="G45" s="1" t="str">
        <f>B45</f>
        <v>per 100 youth petitioned</v>
      </c>
      <c r="L45" s="57">
        <v>100</v>
      </c>
      <c r="M45" s="57"/>
      <c r="R45" s="49"/>
    </row>
    <row r="46" spans="2:18" ht="15" hidden="1" customHeight="1">
      <c r="B46" s="49" t="s">
        <v>91</v>
      </c>
      <c r="C46" s="49">
        <f>C12/100</f>
        <v>23.34</v>
      </c>
      <c r="D46" s="49">
        <f>E12/100</f>
        <v>2.38</v>
      </c>
      <c r="E46" s="56">
        <f>MAX(C46:D46)</f>
        <v>23.34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679.73699999999997</v>
      </c>
      <c r="D48" s="56">
        <f>D42</f>
        <v>89.855999999999995</v>
      </c>
      <c r="E48" s="56">
        <f>MAX(C48:D48)</f>
        <v>679.73699999999997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42.7</v>
      </c>
      <c r="D49" s="49">
        <f t="shared" si="9"/>
        <v>2.63</v>
      </c>
      <c r="E49" s="49">
        <f>MAX(C49:D49)</f>
        <v>42.7</v>
      </c>
      <c r="G49" s="1" t="str">
        <f>G43</f>
        <v>per 100 arrests</v>
      </c>
      <c r="L49" s="58">
        <f>IF(($E43&gt;0),L43,L42)</f>
        <v>100</v>
      </c>
      <c r="M49" s="58"/>
      <c r="N49" s="21"/>
      <c r="O49" s="21"/>
      <c r="P49" s="21"/>
      <c r="Q49" s="21"/>
      <c r="R49" s="21"/>
    </row>
    <row r="50" spans="2:18" ht="15" hidden="1" customHeight="1">
      <c r="B50" s="49" t="str">
        <f t="shared" si="9"/>
        <v>per 100 referrals</v>
      </c>
      <c r="C50" s="49">
        <f t="shared" si="9"/>
        <v>70.77</v>
      </c>
      <c r="D50" s="49">
        <f t="shared" si="9"/>
        <v>5.53</v>
      </c>
      <c r="E50" s="49">
        <f>MAX(C50:D50)</f>
        <v>70.77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37.65</v>
      </c>
      <c r="D51" s="49">
        <f>IF(($E45&gt;0),D45,D44)</f>
        <v>3.92</v>
      </c>
      <c r="E51" s="49">
        <f>MAX(C51:D51)</f>
        <v>37.65</v>
      </c>
      <c r="G51" s="1" t="str">
        <f>G45</f>
        <v>per 100 youth petitioned</v>
      </c>
      <c r="L51" s="58">
        <f>IF(($E45&gt;0),L45,L44)</f>
        <v>100</v>
      </c>
      <c r="M51" s="58"/>
    </row>
    <row r="52" spans="2:18" ht="15" hidden="1" customHeight="1">
      <c r="B52" s="49" t="str">
        <f>IF(($E46&gt;0),B46,B45)</f>
        <v>per 100 youth found delinquent</v>
      </c>
      <c r="C52" s="49">
        <f>IF(($E46&gt;0),C46,C45)</f>
        <v>23.34</v>
      </c>
      <c r="D52" s="49">
        <f>IF(($E46&gt;0),D46,D45)</f>
        <v>2.38</v>
      </c>
      <c r="E52" s="56">
        <f>MAX(C52:D52)</f>
        <v>23.34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679.73699999999997</v>
      </c>
      <c r="D54" s="56">
        <f>D48</f>
        <v>89.855999999999995</v>
      </c>
      <c r="E54" s="56">
        <f>MAX(C54:D54)</f>
        <v>679.73699999999997</v>
      </c>
      <c r="G54" s="1" t="str">
        <f>G48</f>
        <v>per 1000 youth</v>
      </c>
      <c r="L54" s="58">
        <f>L48</f>
        <v>1000</v>
      </c>
      <c r="M54" s="58"/>
    </row>
    <row r="55" spans="2:18" ht="15" hidden="1" customHeight="1">
      <c r="B55" s="49" t="str">
        <f t="shared" ref="B55:D56" si="10">IF(($E49&gt;0),B49,B48)</f>
        <v>per 100 arrests</v>
      </c>
      <c r="C55" s="49">
        <f t="shared" si="10"/>
        <v>42.7</v>
      </c>
      <c r="D55" s="49">
        <f t="shared" si="10"/>
        <v>2.63</v>
      </c>
      <c r="E55" s="49">
        <f>MAX(C55:D55)</f>
        <v>42.7</v>
      </c>
      <c r="G55" s="1" t="str">
        <f>G49</f>
        <v>per 100 arrests</v>
      </c>
      <c r="L55" s="58">
        <f>IF(($E49&gt;0),L49,L48)</f>
        <v>100</v>
      </c>
      <c r="M55" s="58"/>
    </row>
    <row r="56" spans="2:18" ht="15" hidden="1" customHeight="1">
      <c r="B56" s="49" t="str">
        <f t="shared" si="10"/>
        <v>per 100 referrals</v>
      </c>
      <c r="C56" s="49">
        <f t="shared" si="10"/>
        <v>70.77</v>
      </c>
      <c r="D56" s="49">
        <f t="shared" si="10"/>
        <v>5.53</v>
      </c>
      <c r="E56" s="49">
        <f>MAX(C56:D56)</f>
        <v>70.77</v>
      </c>
      <c r="G56" s="1" t="str">
        <f>G50</f>
        <v>per 100 referrals</v>
      </c>
      <c r="L56" s="58">
        <f>IF(($E50&gt;0),L50,L49)</f>
        <v>100</v>
      </c>
      <c r="M56" s="58"/>
    </row>
    <row r="57" spans="2:18" ht="15" hidden="1" customHeight="1">
      <c r="B57" s="49" t="str">
        <f>IF(($E51&gt;0),B51,B49)</f>
        <v>per 100 youth petitioned</v>
      </c>
      <c r="C57" s="49">
        <f>IF(($E51&gt;0),C51,C50)</f>
        <v>37.65</v>
      </c>
      <c r="D57" s="49">
        <f>IF(($E51&gt;0),D51,D50)</f>
        <v>3.92</v>
      </c>
      <c r="E57" s="49">
        <f>MAX(C57:D57)</f>
        <v>37.65</v>
      </c>
      <c r="G57" s="1" t="str">
        <f>G51</f>
        <v>per 100 youth petitioned</v>
      </c>
      <c r="L57" s="58">
        <f>IF(($E51&gt;0),L51,L50)</f>
        <v>100</v>
      </c>
      <c r="M57" s="58"/>
    </row>
    <row r="58" spans="2:18" ht="15" hidden="1" customHeight="1">
      <c r="B58" s="49" t="str">
        <f>IF(($E52&gt;0),B52,B51)</f>
        <v>per 100 youth found delinquent</v>
      </c>
      <c r="C58" s="49">
        <f>IF(($E52&gt;0),C52,C51)</f>
        <v>23.34</v>
      </c>
      <c r="D58" s="49">
        <f>IF(($E52&gt;0),D52,D51)</f>
        <v>2.38</v>
      </c>
      <c r="E58" s="56">
        <f>MAX(C58:D58)</f>
        <v>23.34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679.73699999999997</v>
      </c>
      <c r="D60" s="56">
        <f>D54</f>
        <v>89.855999999999995</v>
      </c>
      <c r="E60" s="56">
        <f>MAX(C60:D60)</f>
        <v>679.73699999999997</v>
      </c>
      <c r="G60" s="1" t="str">
        <f>G54</f>
        <v>per 1000 youth</v>
      </c>
      <c r="L60" s="58">
        <f>L54</f>
        <v>1000</v>
      </c>
      <c r="M60" s="58"/>
    </row>
    <row r="61" spans="2:18" ht="15" hidden="1" customHeight="1">
      <c r="B61" s="49" t="str">
        <f t="shared" ref="B61:D62" si="11">IF(($E55&gt;0),B55,B54)</f>
        <v>per 100 arrests</v>
      </c>
      <c r="C61" s="49">
        <f t="shared" si="11"/>
        <v>42.7</v>
      </c>
      <c r="D61" s="49">
        <f t="shared" si="11"/>
        <v>2.63</v>
      </c>
      <c r="E61" s="49">
        <f>MAX(C61:D61)</f>
        <v>42.7</v>
      </c>
      <c r="G61" s="1" t="str">
        <f>G55</f>
        <v>per 100 arrests</v>
      </c>
      <c r="L61" s="58">
        <f>IF(($E55&gt;0),L55,L54)</f>
        <v>100</v>
      </c>
      <c r="M61" s="58"/>
    </row>
    <row r="62" spans="2:18" ht="15" hidden="1" customHeight="1">
      <c r="B62" s="49" t="str">
        <f t="shared" si="11"/>
        <v>per 100 referrals</v>
      </c>
      <c r="C62" s="49">
        <f t="shared" si="11"/>
        <v>70.77</v>
      </c>
      <c r="D62" s="49">
        <f t="shared" si="11"/>
        <v>5.53</v>
      </c>
      <c r="E62" s="49">
        <f>MAX(C62:D62)</f>
        <v>70.77</v>
      </c>
      <c r="G62" s="1" t="str">
        <f>G56</f>
        <v>per 100 referrals</v>
      </c>
      <c r="L62" s="58">
        <f>IF(($E56&gt;0),L56,L55)</f>
        <v>100</v>
      </c>
      <c r="M62" s="58"/>
    </row>
    <row r="63" spans="2:18" ht="15" hidden="1" customHeight="1">
      <c r="B63" s="49" t="str">
        <f>IF(($E57&gt;0),B57,B55)</f>
        <v>per 100 youth petitioned</v>
      </c>
      <c r="C63" s="49">
        <f>IF(($E57&gt;0),C57,C56)</f>
        <v>37.65</v>
      </c>
      <c r="D63" s="49">
        <f>IF(($E57&gt;0),D57,D56)</f>
        <v>3.92</v>
      </c>
      <c r="E63" s="49">
        <f>MAX(C63:D63)</f>
        <v>37.65</v>
      </c>
      <c r="G63" s="1" t="str">
        <f>G57</f>
        <v>per 100 youth petitioned</v>
      </c>
      <c r="L63" s="58">
        <f>IF(($E57&gt;0),L57,L56)</f>
        <v>100</v>
      </c>
      <c r="M63" s="58"/>
    </row>
    <row r="64" spans="2:18" ht="15" hidden="1" customHeight="1">
      <c r="B64" s="49" t="str">
        <f>IF(($E58&gt;0),B58,B57)</f>
        <v>per 100 youth found delinquent</v>
      </c>
      <c r="C64" s="49">
        <f>IF(($E58&gt;0),C58,C57)</f>
        <v>23.34</v>
      </c>
      <c r="D64" s="49">
        <f>IF(($E58&gt;0),D58,D57)</f>
        <v>2.38</v>
      </c>
      <c r="E64" s="56">
        <f>MAX(C64:D64)</f>
        <v>23.34</v>
      </c>
      <c r="G64" s="1" t="str">
        <f>G58</f>
        <v>per 100 youth found delinquent</v>
      </c>
      <c r="L64" s="58">
        <f>IF(($E58&gt;0),L58,L57)</f>
        <v>100</v>
      </c>
      <c r="M64" s="58"/>
    </row>
    <row r="65" spans="2:13" ht="15" hidden="1" customHeight="1">
      <c r="B65" s="59" t="s">
        <v>92</v>
      </c>
      <c r="L65" s="57"/>
      <c r="M65" s="57"/>
    </row>
    <row r="66" spans="2:13" ht="15" hidden="1" customHeight="1">
      <c r="B66" s="49" t="str">
        <f>B60</f>
        <v>per 1000 youth</v>
      </c>
      <c r="C66" s="56">
        <f>C60</f>
        <v>679.73699999999997</v>
      </c>
      <c r="D66" s="56">
        <f>D60</f>
        <v>89.855999999999995</v>
      </c>
      <c r="E66" s="56">
        <f>MAX(C66:D66)</f>
        <v>679.73699999999997</v>
      </c>
      <c r="G66" s="1" t="str">
        <f>G60</f>
        <v>per 1000 youth</v>
      </c>
      <c r="L66" s="58">
        <f>L60</f>
        <v>1000</v>
      </c>
      <c r="M66" s="58">
        <f>IF((B66=G66),1,2)</f>
        <v>1</v>
      </c>
    </row>
    <row r="67" spans="2:13" ht="15" hidden="1" customHeight="1">
      <c r="B67" s="49" t="str">
        <f t="shared" ref="B67:D68" si="12">IF(($E61&gt;0),B61,B60)</f>
        <v>per 100 arrests</v>
      </c>
      <c r="C67" s="49">
        <f t="shared" si="12"/>
        <v>42.7</v>
      </c>
      <c r="D67" s="49">
        <f t="shared" si="12"/>
        <v>2.63</v>
      </c>
      <c r="E67" s="49">
        <f>MAX(C67:D67)</f>
        <v>42.7</v>
      </c>
      <c r="G67" s="1" t="str">
        <f>G61</f>
        <v>per 100 arrests</v>
      </c>
      <c r="L67" s="58">
        <f>IF(($E61&gt;0),L61,L60)</f>
        <v>100</v>
      </c>
      <c r="M67" s="58">
        <f>IF((B67=G67),1,2)</f>
        <v>1</v>
      </c>
    </row>
    <row r="68" spans="2:13" ht="15" hidden="1" customHeight="1">
      <c r="B68" s="49" t="str">
        <f t="shared" si="12"/>
        <v>per 100 referrals</v>
      </c>
      <c r="C68" s="49">
        <f t="shared" si="12"/>
        <v>70.77</v>
      </c>
      <c r="D68" s="49">
        <f t="shared" si="12"/>
        <v>5.53</v>
      </c>
      <c r="E68" s="49">
        <f>MAX(C68:D68)</f>
        <v>70.77</v>
      </c>
      <c r="G68" s="1" t="str">
        <f>G62</f>
        <v>per 100 referrals</v>
      </c>
      <c r="L68" s="58">
        <f>IF(($E62&gt;0),L62,L61)</f>
        <v>100</v>
      </c>
      <c r="M68" s="58">
        <f>IF((B68=G68),1,2)</f>
        <v>1</v>
      </c>
    </row>
    <row r="69" spans="2:13" ht="15" hidden="1" customHeight="1">
      <c r="B69" s="49" t="str">
        <f>IF(($E63&gt;0),B63,B61)</f>
        <v>per 100 youth petitioned</v>
      </c>
      <c r="C69" s="49">
        <f>IF(($E63&gt;0),C63,C62)</f>
        <v>37.65</v>
      </c>
      <c r="D69" s="49">
        <f>IF(($E63&gt;0),D63,D62)</f>
        <v>3.92</v>
      </c>
      <c r="E69" s="49">
        <f>MAX(C69:D69)</f>
        <v>37.65</v>
      </c>
      <c r="G69" s="1" t="str">
        <f>G63</f>
        <v>per 100 youth petitioned</v>
      </c>
      <c r="L69" s="58">
        <f>IF(($E63&gt;0),L63,L62)</f>
        <v>100</v>
      </c>
      <c r="M69" s="58">
        <f>IF((B69=G69),1,2)</f>
        <v>1</v>
      </c>
    </row>
    <row r="70" spans="2:13" ht="15" hidden="1" customHeight="1">
      <c r="B70" s="49" t="str">
        <f>IF(($E64&gt;0),B64,B63)</f>
        <v>per 100 youth found delinquent</v>
      </c>
      <c r="C70" s="49">
        <f>IF(($E64&gt;0),C64,C63)</f>
        <v>23.34</v>
      </c>
      <c r="D70" s="49">
        <f>IF(($E64&gt;0),D64,D63)</f>
        <v>2.38</v>
      </c>
      <c r="E70" s="56">
        <f>MAX(C70:D70)</f>
        <v>23.34</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I5" sqref="I5"/>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4" t="str">
        <f>'Data Entry'!G5</f>
        <v>Native Hawaiian or Other Pacific Islanders</v>
      </c>
      <c r="G1" s="214"/>
      <c r="H1" s="214"/>
      <c r="I1" s="214"/>
      <c r="J1" s="214"/>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All Reporting Counties</v>
      </c>
      <c r="C3" s="22"/>
      <c r="D3" s="22"/>
      <c r="E3" s="22"/>
      <c r="F3" s="22"/>
      <c r="G3" s="7"/>
      <c r="H3" s="7"/>
      <c r="I3" s="7"/>
      <c r="J3" s="7"/>
      <c r="K3" s="7"/>
      <c r="N3" s="213" t="s">
        <v>31</v>
      </c>
      <c r="O3" s="213"/>
      <c r="P3" s="213"/>
      <c r="Q3" s="213"/>
      <c r="R3" s="213"/>
      <c r="S3" s="213"/>
      <c r="T3" s="213"/>
      <c r="U3" s="213"/>
    </row>
    <row r="4" spans="2:21" ht="8.25" customHeight="1">
      <c r="B4" s="4"/>
      <c r="C4" s="23"/>
      <c r="D4" s="23"/>
      <c r="E4" s="23"/>
      <c r="F4" s="23"/>
      <c r="G4" s="8"/>
      <c r="H4" s="8"/>
      <c r="I4" s="8"/>
      <c r="N4" s="213"/>
      <c r="O4" s="213"/>
      <c r="P4" s="213"/>
      <c r="Q4" s="213"/>
      <c r="R4" s="213"/>
      <c r="S4" s="213"/>
      <c r="T4" s="213"/>
      <c r="U4" s="213"/>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10-17) </v>
      </c>
      <c r="C6" s="33">
        <f>'Data Entry'!C6</f>
        <v>679737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2. Juvenile Arrests</v>
      </c>
      <c r="C7" s="33">
        <f>'Data Entry'!C7</f>
        <v>4270</v>
      </c>
      <c r="D7" s="34">
        <f>IF((AND(C66&gt;0,C7&gt;0)),(C7/C66),0)</f>
        <v>6.2818413592315858</v>
      </c>
      <c r="E7" s="33">
        <f>'Data Entry'!G7</f>
        <v>5</v>
      </c>
      <c r="F7" s="34">
        <f>IF((AND($E$7&gt;0,$D$66&gt;0)),($E$7/$D$66),0)</f>
        <v>0</v>
      </c>
      <c r="G7" s="39" t="str">
        <f t="shared" ref="G7:G15" si="0">IF(L$6=100,"*",IF(M7=FALSE,"--",IF(K7=20,"**",($F7/$D7))))</f>
        <v>*</v>
      </c>
      <c r="H7" s="40"/>
      <c r="I7" s="41"/>
      <c r="J7" s="40" t="e">
        <f>IF((ABS($U7)&gt;Defaults!D$7),1,2)</f>
        <v>#DIV/0!</v>
      </c>
      <c r="K7" s="39">
        <f>IF((AND(N7&gt;Defaults!B$12,(N7+O7)&gt;Defaults!B$13, P7 &gt; Defaults!B$12, (P7+Q7) &gt; Defaults!B$13)),1,20)</f>
        <v>20</v>
      </c>
      <c r="L7" s="1" t="e">
        <f t="shared" ref="L7:L15" si="1">(J7*K7+L$6)-1</f>
        <v>#DIV/0!</v>
      </c>
      <c r="M7" s="1" t="b">
        <f t="shared" ref="M7:M15" si="2">(ISNUMBER(J7))</f>
        <v>0</v>
      </c>
      <c r="N7" s="42">
        <f t="shared" ref="N7:N15" si="3">E7</f>
        <v>5</v>
      </c>
      <c r="O7" s="42">
        <f>E6-E7</f>
        <v>-5</v>
      </c>
      <c r="P7" s="42">
        <f t="shared" ref="P7:P15" si="4">C7</f>
        <v>4270</v>
      </c>
      <c r="Q7" s="42">
        <f>C6-C7</f>
        <v>675467</v>
      </c>
      <c r="R7" s="42">
        <f t="shared" ref="R7:R15" si="5">SUM(N7:Q7)</f>
        <v>679737</v>
      </c>
      <c r="S7" s="30">
        <f t="shared" ref="S7:S15" si="6">R7*((((N7*Q7)-(O7*P7))^2))</f>
        <v>7.8516826871642143E+18</v>
      </c>
      <c r="T7" s="30">
        <f t="shared" ref="T7:T15" si="7">(N7+O7)*(P7+Q7)*(N7+P7)*(O7+Q7)</f>
        <v>0</v>
      </c>
      <c r="U7" s="31" t="e">
        <f t="shared" ref="U7:U15" si="8">IF((S7&gt;0),S7/T7,"- -")</f>
        <v>#DIV/0!</v>
      </c>
    </row>
    <row r="8" spans="2:21" ht="18" customHeight="1">
      <c r="B8" s="32" t="str">
        <f>'Data Entry'!A8</f>
        <v>3. Refer to Juvenile Court</v>
      </c>
      <c r="C8" s="33">
        <f>'Data Entry'!C8</f>
        <v>7077</v>
      </c>
      <c r="D8" s="34">
        <f>IF((AND(C67&gt;0,C8&gt;0)),(C8/C67),0)</f>
        <v>165.73770491803276</v>
      </c>
      <c r="E8" s="33">
        <f>'Data Entry'!G8</f>
        <v>4</v>
      </c>
      <c r="F8" s="34">
        <f>IF((AND($E$8&gt;0,$D$67&gt;0)),($E8/$D67),0)</f>
        <v>80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4</v>
      </c>
      <c r="O8" s="42">
        <f>((D67*L67)-E8)+0.05</f>
        <v>1.05</v>
      </c>
      <c r="P8" s="42">
        <f t="shared" si="4"/>
        <v>7077</v>
      </c>
      <c r="Q8" s="42">
        <f>(C$67*L67)-C8</f>
        <v>-2807</v>
      </c>
      <c r="R8" s="42">
        <f t="shared" si="5"/>
        <v>4275.05</v>
      </c>
      <c r="S8" s="30">
        <f t="shared" si="6"/>
        <v>1488370128837.8533</v>
      </c>
      <c r="T8" s="30">
        <f t="shared" si="7"/>
        <v>-428443714103.82495</v>
      </c>
      <c r="U8" s="31">
        <f t="shared" si="8"/>
        <v>-3.4738988572888152</v>
      </c>
    </row>
    <row r="9" spans="2:21" ht="18" customHeight="1">
      <c r="B9" s="32" t="str">
        <f>'Data Entry'!A9</f>
        <v xml:space="preserve">4. Cases Diverted </v>
      </c>
      <c r="C9" s="33">
        <f>'Data Entry'!C9</f>
        <v>1540</v>
      </c>
      <c r="D9" s="34">
        <f>IF((AND(C68&gt;0,C9&gt;0)),((C9/C68)),0)</f>
        <v>21.760633036597429</v>
      </c>
      <c r="E9" s="33">
        <f>'Data Entry'!G9</f>
        <v>1</v>
      </c>
      <c r="F9" s="34">
        <f>IF((AND($E$9&gt;0,$D$68&gt;0)),(($E$9/$D$68)),0)</f>
        <v>25</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1</v>
      </c>
      <c r="O9" s="42">
        <f>(D$68*L68)-E9</f>
        <v>3</v>
      </c>
      <c r="P9" s="42">
        <f t="shared" si="4"/>
        <v>1540</v>
      </c>
      <c r="Q9" s="42">
        <f>(C$68*L68)-C9</f>
        <v>5537</v>
      </c>
      <c r="R9" s="42">
        <f t="shared" si="5"/>
        <v>7081</v>
      </c>
      <c r="S9" s="30">
        <f t="shared" si="6"/>
        <v>5954335009</v>
      </c>
      <c r="T9" s="30">
        <f t="shared" si="7"/>
        <v>241669359120</v>
      </c>
      <c r="U9" s="31">
        <f t="shared" si="8"/>
        <v>2.46383531229683E-2</v>
      </c>
    </row>
    <row r="10" spans="2:21" ht="18" customHeight="1">
      <c r="B10" s="32" t="str">
        <f>'Data Entry'!A10</f>
        <v>5. Cases Involving Secure Detention</v>
      </c>
      <c r="C10" s="33">
        <f>'Data Entry'!C10</f>
        <v>880</v>
      </c>
      <c r="D10" s="34">
        <f>IF(((AND(C68&gt;0,C10&gt;0))),(C10/(C68)),0)</f>
        <v>12.434647449484245</v>
      </c>
      <c r="E10" s="33">
        <f>'Data Entry'!G10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4</v>
      </c>
      <c r="P10" s="42">
        <f t="shared" si="4"/>
        <v>880</v>
      </c>
      <c r="Q10" s="42">
        <f>(C$68*L68)-C10</f>
        <v>6197</v>
      </c>
      <c r="R10" s="42">
        <f t="shared" si="5"/>
        <v>7081</v>
      </c>
      <c r="S10" s="30">
        <f t="shared" si="6"/>
        <v>87736422400</v>
      </c>
      <c r="T10" s="30">
        <f t="shared" si="7"/>
        <v>154473359040</v>
      </c>
      <c r="U10" s="31">
        <f t="shared" si="8"/>
        <v>0.56797122135009148</v>
      </c>
    </row>
    <row r="11" spans="2:21" ht="18" customHeight="1">
      <c r="B11" s="32" t="str">
        <f>'Data Entry'!A11</f>
        <v>6. Cases Petitioned (Charge Filed)</v>
      </c>
      <c r="C11" s="33">
        <f>'Data Entry'!C11</f>
        <v>3765</v>
      </c>
      <c r="D11" s="34">
        <f>IF(((AND(C68&gt;0,C11&gt;0))),(C11/(C68)),0)</f>
        <v>53.200508690122938</v>
      </c>
      <c r="E11" s="33">
        <f>'Data Entry'!G11</f>
        <v>2</v>
      </c>
      <c r="F11" s="34">
        <f>IF(((AND($E$11&gt;0,$D$68&gt;0))),($E$11/($D$68)),0)</f>
        <v>50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2</v>
      </c>
      <c r="O11" s="42">
        <f>(D$68*L68)-E11</f>
        <v>2</v>
      </c>
      <c r="P11" s="42">
        <f t="shared" si="4"/>
        <v>3765</v>
      </c>
      <c r="Q11" s="42">
        <f>(C$68*L68)-C11</f>
        <v>3312</v>
      </c>
      <c r="R11" s="42">
        <f t="shared" si="5"/>
        <v>7081</v>
      </c>
      <c r="S11" s="30">
        <f t="shared" si="6"/>
        <v>5812339716</v>
      </c>
      <c r="T11" s="30">
        <f t="shared" si="7"/>
        <v>353392486104</v>
      </c>
      <c r="U11" s="31">
        <f t="shared" si="8"/>
        <v>1.6447264569992823E-2</v>
      </c>
    </row>
    <row r="12" spans="2:21" ht="18" customHeight="1">
      <c r="B12" s="32" t="str">
        <f>'Data Entry'!A12</f>
        <v>7. Cases Resulting in Delinquent Findings</v>
      </c>
      <c r="C12" s="33">
        <f>'Data Entry'!C12</f>
        <v>2334</v>
      </c>
      <c r="D12" s="34">
        <f>IF(((AND(C69&gt;0,C12&gt;0))),(C12/(C69)),0)</f>
        <v>61.992031872509962</v>
      </c>
      <c r="E12" s="33">
        <f>'Data Entry'!G12</f>
        <v>1</v>
      </c>
      <c r="F12" s="34">
        <f>IF(((AND($D$69&gt;0,$E$12&gt;0))),(E12/(D69)),0)</f>
        <v>50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1</v>
      </c>
      <c r="P12" s="42">
        <f t="shared" si="4"/>
        <v>2334</v>
      </c>
      <c r="Q12" s="42">
        <f>(C69*L69)-C12</f>
        <v>1431</v>
      </c>
      <c r="R12" s="42">
        <f t="shared" si="5"/>
        <v>3767</v>
      </c>
      <c r="S12" s="30">
        <f t="shared" si="6"/>
        <v>3071645703</v>
      </c>
      <c r="T12" s="30">
        <f t="shared" si="7"/>
        <v>25178211600</v>
      </c>
      <c r="U12" s="31">
        <f t="shared" si="8"/>
        <v>0.1219961827233194</v>
      </c>
    </row>
    <row r="13" spans="2:21" ht="18" customHeight="1">
      <c r="B13" s="32" t="str">
        <f>'Data Entry'!A13</f>
        <v>8. Cases Resulting in Probation Placement</v>
      </c>
      <c r="C13" s="33">
        <f>'Data Entry'!C13</f>
        <v>2458</v>
      </c>
      <c r="D13" s="34">
        <f>IF(((AND(C70&gt;0,C13&gt;0))),(C13/(C70)),0)</f>
        <v>105.3127677806341</v>
      </c>
      <c r="E13" s="33">
        <f>'Data Entry'!G13</f>
        <v>3</v>
      </c>
      <c r="F13" s="34">
        <f>IF(((AND($D$70&gt;0,$E$13&gt;0))),($E$13/($D$70)),0)</f>
        <v>300</v>
      </c>
      <c r="G13" s="39" t="str">
        <f t="shared" si="0"/>
        <v>*</v>
      </c>
      <c r="H13" s="40"/>
      <c r="I13" s="41"/>
      <c r="J13" s="40">
        <f>IF((ABS($U13)&gt;Defaults!D$7),1,2)</f>
        <v>1</v>
      </c>
      <c r="K13" s="39">
        <f>IF((AND(N13&gt;Defaults!B$12,(N13+O13)&gt;Defaults!B$13, P13 &gt; Defaults!B$12, (P13+Q13) &gt; Defaults!B$13)),1,20)</f>
        <v>20</v>
      </c>
      <c r="L13" s="1">
        <f t="shared" si="1"/>
        <v>119</v>
      </c>
      <c r="M13" s="1" t="b">
        <f t="shared" si="2"/>
        <v>1</v>
      </c>
      <c r="N13" s="42">
        <f t="shared" si="3"/>
        <v>3</v>
      </c>
      <c r="O13" s="42">
        <f>(D70*L70)-E13</f>
        <v>-2</v>
      </c>
      <c r="P13" s="42">
        <f t="shared" si="4"/>
        <v>2458</v>
      </c>
      <c r="Q13" s="42">
        <f>(C70*L70)-C13</f>
        <v>-124</v>
      </c>
      <c r="R13" s="42">
        <f t="shared" si="5"/>
        <v>2335</v>
      </c>
      <c r="S13" s="30">
        <f t="shared" si="6"/>
        <v>48212930560</v>
      </c>
      <c r="T13" s="30">
        <f t="shared" si="7"/>
        <v>-723740724</v>
      </c>
      <c r="U13" s="31">
        <f t="shared" si="8"/>
        <v>-66.616301889901663</v>
      </c>
    </row>
    <row r="14" spans="2:21" ht="30.75" customHeight="1">
      <c r="B14" s="32" t="str">
        <f>'Data Entry'!A14</f>
        <v xml:space="preserve">9. Cases Resulting in Confinement in Secure Juvenile Correctional Facilities </v>
      </c>
      <c r="C14" s="33">
        <f>'Data Entry'!C14</f>
        <v>423</v>
      </c>
      <c r="D14" s="34">
        <f>IF(((AND(C70&gt;0,C14&gt;0))), ((C14/(C70))),0)</f>
        <v>18.123393316195372</v>
      </c>
      <c r="E14" s="33">
        <f>'Data Entry'!G14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423</v>
      </c>
      <c r="Q14" s="42">
        <f>(C70*L70)-C14</f>
        <v>1911</v>
      </c>
      <c r="R14" s="42">
        <f t="shared" si="5"/>
        <v>2335</v>
      </c>
      <c r="S14" s="30">
        <f t="shared" si="6"/>
        <v>417799215</v>
      </c>
      <c r="T14" s="30">
        <f t="shared" si="7"/>
        <v>1887683184</v>
      </c>
      <c r="U14" s="31">
        <f t="shared" si="8"/>
        <v>0.22132909724537758</v>
      </c>
    </row>
    <row r="15" spans="2:21" ht="15.75" customHeight="1">
      <c r="B15" s="32" t="str">
        <f>'Data Entry'!A15</f>
        <v xml:space="preserve">10. Cases Transferred to Adult Court </v>
      </c>
      <c r="C15" s="33">
        <f>'Data Entry'!C15</f>
        <v>3</v>
      </c>
      <c r="D15" s="34">
        <f>IF(((AND(C69&gt;0,C15&gt;0))),((C15/(C69))),0)</f>
        <v>7.9681274900398405E-2</v>
      </c>
      <c r="E15" s="33">
        <f>'Data Entry'!G15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2</v>
      </c>
      <c r="P15" s="42">
        <f t="shared" si="4"/>
        <v>3</v>
      </c>
      <c r="Q15" s="42">
        <f>(C69*L69)-C15</f>
        <v>3762</v>
      </c>
      <c r="R15" s="42">
        <f t="shared" si="5"/>
        <v>3767</v>
      </c>
      <c r="S15" s="30">
        <f t="shared" si="6"/>
        <v>135612</v>
      </c>
      <c r="T15" s="30">
        <f t="shared" si="7"/>
        <v>85028760</v>
      </c>
      <c r="U15" s="31">
        <f t="shared" si="8"/>
        <v>1.594895656481407E-3</v>
      </c>
    </row>
    <row r="16" spans="2:21" ht="12" customHeight="1">
      <c r="B16" s="43" t="s">
        <v>93</v>
      </c>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94</v>
      </c>
      <c r="L17" s="1" t="s">
        <v>95</v>
      </c>
      <c r="N17" s="21"/>
      <c r="O17" s="21"/>
      <c r="P17" s="21"/>
      <c r="Q17" s="21"/>
      <c r="R17" s="21"/>
      <c r="S17" s="30"/>
      <c r="T17" s="30"/>
      <c r="U17" s="31"/>
    </row>
    <row r="18" spans="2:21" ht="15" customHeight="1">
      <c r="B18" s="1" t="s">
        <v>52</v>
      </c>
    </row>
    <row r="19" spans="2:21" ht="15" customHeight="1">
      <c r="B19" s="1" t="s">
        <v>53</v>
      </c>
      <c r="D19" s="45" t="s">
        <v>54</v>
      </c>
    </row>
    <row r="20" spans="2:21" ht="15" customHeight="1">
      <c r="B20" s="1" t="s">
        <v>55</v>
      </c>
      <c r="D20" s="1" t="s">
        <v>56</v>
      </c>
    </row>
    <row r="21" spans="2:21" ht="15" customHeight="1">
      <c r="B21" s="1" t="s">
        <v>57</v>
      </c>
      <c r="D21" s="1" t="s">
        <v>58</v>
      </c>
    </row>
    <row r="22" spans="2:21" ht="15" customHeight="1">
      <c r="B22" s="1" t="s">
        <v>59</v>
      </c>
      <c r="D22" s="1" t="s">
        <v>60</v>
      </c>
    </row>
    <row r="23" spans="2:21" ht="15" customHeight="1">
      <c r="B23" s="1" t="s">
        <v>61</v>
      </c>
      <c r="D23" s="1" t="s">
        <v>62</v>
      </c>
    </row>
    <row r="24" spans="2:21" ht="26.25" customHeight="1">
      <c r="B24" s="62"/>
      <c r="C24" s="62"/>
      <c r="D24" s="62"/>
      <c r="E24" s="62"/>
      <c r="F24" s="62"/>
      <c r="G24" s="62"/>
      <c r="H24" s="62"/>
      <c r="I24" s="62"/>
      <c r="N24" s="21"/>
      <c r="O24" s="21"/>
      <c r="P24" s="21"/>
      <c r="Q24" s="21"/>
      <c r="R24" s="21"/>
      <c r="S24" s="30"/>
      <c r="T24" s="30"/>
      <c r="U24" s="31"/>
    </row>
    <row r="25" spans="2:21" ht="15" customHeight="1">
      <c r="B25" s="46" t="s">
        <v>63</v>
      </c>
      <c r="K25" s="1" t="s">
        <v>64</v>
      </c>
      <c r="L25" s="1" t="s">
        <v>65</v>
      </c>
      <c r="N25" s="21"/>
      <c r="O25" s="21" t="b">
        <f>ISBLANK(N12)</f>
        <v>0</v>
      </c>
      <c r="P25" s="21"/>
      <c r="Q25" s="21"/>
      <c r="R25" s="21"/>
    </row>
    <row r="26" spans="2:21" ht="15" customHeight="1">
      <c r="B26" s="47" t="s">
        <v>66</v>
      </c>
      <c r="F26" s="47" t="s">
        <v>67</v>
      </c>
      <c r="G26" s="47"/>
      <c r="H26" s="47"/>
      <c r="I26" s="47"/>
      <c r="J26" s="47"/>
      <c r="K26" s="48" t="s">
        <v>62</v>
      </c>
      <c r="L26" s="48" t="s">
        <v>68</v>
      </c>
      <c r="M26" s="48"/>
      <c r="R26" s="49"/>
    </row>
    <row r="27" spans="2:21" ht="15" customHeight="1">
      <c r="B27" s="50" t="s">
        <v>69</v>
      </c>
      <c r="C27" s="50"/>
      <c r="D27" s="50"/>
      <c r="E27" s="50"/>
      <c r="F27" s="50" t="str">
        <f>B66</f>
        <v>per 1000 youth</v>
      </c>
      <c r="G27" s="50"/>
      <c r="H27" s="50"/>
      <c r="I27" s="50"/>
      <c r="J27" s="50">
        <f>F66</f>
        <v>0</v>
      </c>
      <c r="K27" s="50" t="s">
        <v>60</v>
      </c>
      <c r="L27" s="51" t="s">
        <v>70</v>
      </c>
      <c r="R27" s="49"/>
    </row>
    <row r="28" spans="2:21" ht="15" customHeight="1">
      <c r="B28" s="50" t="s">
        <v>71</v>
      </c>
      <c r="C28" s="50"/>
      <c r="D28" s="50"/>
      <c r="E28" s="50"/>
      <c r="F28" s="52" t="str">
        <f>B67</f>
        <v>per 100 arrests</v>
      </c>
      <c r="G28" s="52"/>
      <c r="H28" s="52"/>
      <c r="I28" s="52"/>
      <c r="J28" s="52"/>
      <c r="K28" s="52" t="s">
        <v>58</v>
      </c>
      <c r="L28" s="53" t="s">
        <v>72</v>
      </c>
      <c r="R28" s="49"/>
    </row>
    <row r="29" spans="2:21" ht="15" customHeight="1">
      <c r="B29" s="52" t="s">
        <v>73</v>
      </c>
      <c r="C29" s="52"/>
      <c r="D29" s="52"/>
      <c r="E29" s="52"/>
      <c r="F29" s="52" t="str">
        <f>B68</f>
        <v>per 100 referrals</v>
      </c>
      <c r="G29" s="52"/>
      <c r="H29" s="52"/>
      <c r="I29" s="52"/>
      <c r="J29" s="52"/>
      <c r="K29" s="52"/>
      <c r="L29" s="53"/>
      <c r="R29" s="49"/>
    </row>
    <row r="30" spans="2:21" ht="15" customHeight="1">
      <c r="B30" s="52" t="s">
        <v>74</v>
      </c>
      <c r="C30" s="52"/>
      <c r="D30" s="52"/>
      <c r="E30" s="52"/>
      <c r="F30" s="52" t="str">
        <f>B68</f>
        <v>per 100 referrals</v>
      </c>
      <c r="G30" s="52"/>
      <c r="H30" s="52"/>
      <c r="I30" s="52"/>
      <c r="J30" s="52"/>
      <c r="K30" s="52"/>
      <c r="L30" s="53"/>
      <c r="N30" s="1" t="b">
        <f>ISNUMBER(J14)</f>
        <v>1</v>
      </c>
      <c r="R30" s="49"/>
    </row>
    <row r="31" spans="2:21" ht="15" customHeight="1">
      <c r="B31" s="52" t="s">
        <v>75</v>
      </c>
      <c r="C31" s="52"/>
      <c r="D31" s="52"/>
      <c r="E31" s="52"/>
      <c r="F31" s="52" t="str">
        <f>B68</f>
        <v>per 100 referrals</v>
      </c>
      <c r="G31" s="52"/>
      <c r="H31" s="52"/>
      <c r="I31" s="52"/>
      <c r="J31" s="52"/>
      <c r="K31" s="52"/>
      <c r="L31" s="53"/>
      <c r="R31" s="49"/>
    </row>
    <row r="32" spans="2:21" ht="15" customHeight="1">
      <c r="B32" s="52" t="s">
        <v>76</v>
      </c>
      <c r="C32" s="52"/>
      <c r="D32" s="52"/>
      <c r="E32" s="52"/>
      <c r="F32" s="52" t="str">
        <f>B69</f>
        <v>per 100 youth petitioned</v>
      </c>
      <c r="G32" s="52"/>
      <c r="H32" s="52"/>
      <c r="I32" s="52"/>
      <c r="J32" s="52"/>
      <c r="K32" s="52"/>
      <c r="L32" s="53"/>
      <c r="R32" s="49"/>
    </row>
    <row r="33" spans="2:18" ht="15" customHeight="1">
      <c r="B33" s="52" t="s">
        <v>77</v>
      </c>
      <c r="C33" s="52"/>
      <c r="D33" s="52"/>
      <c r="E33" s="52"/>
      <c r="F33" s="52" t="str">
        <f>B70</f>
        <v>per 100 youth found delinquent</v>
      </c>
      <c r="G33" s="52"/>
      <c r="H33" s="52"/>
      <c r="I33" s="52"/>
      <c r="J33" s="52"/>
      <c r="K33" s="52"/>
      <c r="L33" s="53"/>
      <c r="R33" s="49"/>
    </row>
    <row r="34" spans="2:18" ht="15" customHeight="1">
      <c r="B34" s="52" t="s">
        <v>78</v>
      </c>
      <c r="C34" s="52"/>
      <c r="D34" s="52"/>
      <c r="E34" s="52"/>
      <c r="F34" s="52" t="str">
        <f>B70</f>
        <v>per 100 youth found delinquent</v>
      </c>
      <c r="G34" s="52"/>
      <c r="H34" s="52"/>
      <c r="I34" s="52"/>
      <c r="J34" s="52"/>
      <c r="K34" s="52"/>
      <c r="L34" s="53"/>
      <c r="R34" s="49"/>
    </row>
    <row r="35" spans="2:18" ht="15" customHeight="1">
      <c r="B35" s="52" t="s">
        <v>79</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2" t="s">
        <v>80</v>
      </c>
      <c r="C40" s="212"/>
      <c r="D40" s="212"/>
      <c r="E40" s="212"/>
      <c r="F40" s="212"/>
      <c r="G40" s="212"/>
      <c r="H40" s="212"/>
      <c r="I40" s="212"/>
      <c r="J40" s="212"/>
      <c r="K40" s="8"/>
      <c r="R40" s="49"/>
    </row>
    <row r="41" spans="2:18" ht="15" hidden="1" customHeight="1">
      <c r="B41" s="54" t="s">
        <v>81</v>
      </c>
      <c r="C41" s="54" t="s">
        <v>82</v>
      </c>
      <c r="D41" s="55" t="s">
        <v>83</v>
      </c>
      <c r="E41" s="54" t="s">
        <v>84</v>
      </c>
      <c r="G41" s="54" t="s">
        <v>85</v>
      </c>
      <c r="H41" s="54"/>
      <c r="I41" s="54"/>
      <c r="L41" s="1" t="s">
        <v>86</v>
      </c>
      <c r="R41" s="49"/>
    </row>
    <row r="42" spans="2:18" ht="15" hidden="1" customHeight="1">
      <c r="B42" s="49" t="s">
        <v>87</v>
      </c>
      <c r="C42" s="56">
        <f>C6/1000</f>
        <v>679.73699999999997</v>
      </c>
      <c r="D42" s="56">
        <f>E6/1000</f>
        <v>0</v>
      </c>
      <c r="E42" s="56">
        <f>MAX(C42:D42)</f>
        <v>679.73699999999997</v>
      </c>
      <c r="G42" s="1" t="str">
        <f>B42</f>
        <v>per 1000 youth</v>
      </c>
      <c r="L42" s="57">
        <v>1000</v>
      </c>
      <c r="M42" s="57"/>
      <c r="R42" s="49"/>
    </row>
    <row r="43" spans="2:18" ht="15" hidden="1" customHeight="1">
      <c r="B43" s="49" t="s">
        <v>88</v>
      </c>
      <c r="C43" s="56">
        <f>C7/100</f>
        <v>42.7</v>
      </c>
      <c r="D43" s="56">
        <f>E7/100</f>
        <v>0.05</v>
      </c>
      <c r="E43" s="56">
        <f>MAX(C43:D43,0)</f>
        <v>42.7</v>
      </c>
      <c r="G43" s="1" t="str">
        <f>B43</f>
        <v>per 100 arrests</v>
      </c>
      <c r="L43" s="57">
        <v>100</v>
      </c>
      <c r="M43" s="57"/>
      <c r="R43" s="49"/>
    </row>
    <row r="44" spans="2:18" ht="15" hidden="1" customHeight="1">
      <c r="B44" s="49" t="s">
        <v>89</v>
      </c>
      <c r="C44" s="56">
        <f>C8/100</f>
        <v>70.77</v>
      </c>
      <c r="D44" s="56">
        <f>E8/100</f>
        <v>0.04</v>
      </c>
      <c r="E44" s="56">
        <f>MAX(C44:D44,0)</f>
        <v>70.77</v>
      </c>
      <c r="G44" s="1" t="str">
        <f>B44</f>
        <v>per 100 referrals</v>
      </c>
      <c r="L44" s="57">
        <v>100</v>
      </c>
      <c r="M44" s="57"/>
      <c r="R44" s="49"/>
    </row>
    <row r="45" spans="2:18" ht="15" hidden="1" customHeight="1">
      <c r="B45" s="49" t="s">
        <v>90</v>
      </c>
      <c r="C45" s="49">
        <f>C11/100</f>
        <v>37.65</v>
      </c>
      <c r="D45" s="49">
        <f>E11/100</f>
        <v>0.02</v>
      </c>
      <c r="E45" s="56">
        <f>MAX(C45:D45,0)</f>
        <v>37.65</v>
      </c>
      <c r="G45" s="1" t="str">
        <f>B45</f>
        <v>per 100 youth petitioned</v>
      </c>
      <c r="L45" s="57">
        <v>100</v>
      </c>
      <c r="M45" s="57"/>
      <c r="R45" s="49"/>
    </row>
    <row r="46" spans="2:18" ht="15" hidden="1" customHeight="1">
      <c r="B46" s="49" t="s">
        <v>91</v>
      </c>
      <c r="C46" s="49">
        <f>C12/100</f>
        <v>23.34</v>
      </c>
      <c r="D46" s="49">
        <f>E12/100</f>
        <v>0.01</v>
      </c>
      <c r="E46" s="56">
        <f>MAX(C46:D46)</f>
        <v>23.34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679.73699999999997</v>
      </c>
      <c r="D48" s="56">
        <f>D42</f>
        <v>0</v>
      </c>
      <c r="E48" s="56">
        <f>MAX(C48:D48)</f>
        <v>679.73699999999997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42.7</v>
      </c>
      <c r="D49" s="49">
        <f t="shared" si="9"/>
        <v>0.05</v>
      </c>
      <c r="E49" s="49">
        <f>MAX(C49:D49)</f>
        <v>42.7</v>
      </c>
      <c r="G49" s="1" t="str">
        <f>G43</f>
        <v>per 100 arrests</v>
      </c>
      <c r="L49" s="58">
        <f>IF(($E43&gt;0),L43,L42)</f>
        <v>100</v>
      </c>
      <c r="M49" s="58"/>
      <c r="N49" s="21"/>
      <c r="O49" s="21"/>
      <c r="P49" s="21"/>
      <c r="Q49" s="21"/>
      <c r="R49" s="21"/>
    </row>
    <row r="50" spans="2:18" ht="15" hidden="1" customHeight="1">
      <c r="B50" s="49" t="str">
        <f t="shared" si="9"/>
        <v>per 100 referrals</v>
      </c>
      <c r="C50" s="49">
        <f t="shared" si="9"/>
        <v>70.77</v>
      </c>
      <c r="D50" s="49">
        <f t="shared" si="9"/>
        <v>0.04</v>
      </c>
      <c r="E50" s="49">
        <f>MAX(C50:D50)</f>
        <v>70.77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37.65</v>
      </c>
      <c r="D51" s="49">
        <f>IF(($E45&gt;0),D45,D44)</f>
        <v>0.02</v>
      </c>
      <c r="E51" s="49">
        <f>MAX(C51:D51)</f>
        <v>37.65</v>
      </c>
      <c r="G51" s="1" t="str">
        <f>G45</f>
        <v>per 100 youth petitioned</v>
      </c>
      <c r="L51" s="58">
        <f>IF(($E45&gt;0),L45,L44)</f>
        <v>100</v>
      </c>
      <c r="M51" s="58"/>
    </row>
    <row r="52" spans="2:18" ht="15" hidden="1" customHeight="1">
      <c r="B52" s="49" t="str">
        <f>IF(($E46&gt;0),B46,B45)</f>
        <v>per 100 youth found delinquent</v>
      </c>
      <c r="C52" s="49">
        <f>IF(($E46&gt;0),C46,C45)</f>
        <v>23.34</v>
      </c>
      <c r="D52" s="49">
        <f>IF(($E46&gt;0),D46,D45)</f>
        <v>0.01</v>
      </c>
      <c r="E52" s="56">
        <f>MAX(C52:D52)</f>
        <v>23.34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679.73699999999997</v>
      </c>
      <c r="D54" s="56">
        <f>D48</f>
        <v>0</v>
      </c>
      <c r="E54" s="56">
        <f>MAX(C54:D54)</f>
        <v>679.73699999999997</v>
      </c>
      <c r="G54" s="1" t="str">
        <f>G48</f>
        <v>per 1000 youth</v>
      </c>
      <c r="L54" s="58">
        <f>L48</f>
        <v>1000</v>
      </c>
      <c r="M54" s="58"/>
    </row>
    <row r="55" spans="2:18" ht="15" hidden="1" customHeight="1">
      <c r="B55" s="49" t="str">
        <f t="shared" ref="B55:D56" si="10">IF(($E49&gt;0),B49,B48)</f>
        <v>per 100 arrests</v>
      </c>
      <c r="C55" s="49">
        <f t="shared" si="10"/>
        <v>42.7</v>
      </c>
      <c r="D55" s="49">
        <f t="shared" si="10"/>
        <v>0.05</v>
      </c>
      <c r="E55" s="49">
        <f>MAX(C55:D55)</f>
        <v>42.7</v>
      </c>
      <c r="G55" s="1" t="str">
        <f>G49</f>
        <v>per 100 arrests</v>
      </c>
      <c r="L55" s="58">
        <f>IF(($E49&gt;0),L49,L48)</f>
        <v>100</v>
      </c>
      <c r="M55" s="58"/>
    </row>
    <row r="56" spans="2:18" ht="15" hidden="1" customHeight="1">
      <c r="B56" s="49" t="str">
        <f t="shared" si="10"/>
        <v>per 100 referrals</v>
      </c>
      <c r="C56" s="49">
        <f t="shared" si="10"/>
        <v>70.77</v>
      </c>
      <c r="D56" s="49">
        <f t="shared" si="10"/>
        <v>0.04</v>
      </c>
      <c r="E56" s="49">
        <f>MAX(C56:D56)</f>
        <v>70.77</v>
      </c>
      <c r="G56" s="1" t="str">
        <f>G50</f>
        <v>per 100 referrals</v>
      </c>
      <c r="L56" s="58">
        <f>IF(($E50&gt;0),L50,L49)</f>
        <v>100</v>
      </c>
      <c r="M56" s="58"/>
    </row>
    <row r="57" spans="2:18" ht="15" hidden="1" customHeight="1">
      <c r="B57" s="49" t="str">
        <f>IF(($E51&gt;0),B51,B49)</f>
        <v>per 100 youth petitioned</v>
      </c>
      <c r="C57" s="49">
        <f>IF(($E51&gt;0),C51,C50)</f>
        <v>37.65</v>
      </c>
      <c r="D57" s="49">
        <f>IF(($E51&gt;0),D51,D50)</f>
        <v>0.02</v>
      </c>
      <c r="E57" s="49">
        <f>MAX(C57:D57)</f>
        <v>37.65</v>
      </c>
      <c r="G57" s="1" t="str">
        <f>G51</f>
        <v>per 100 youth petitioned</v>
      </c>
      <c r="L57" s="58">
        <f>IF(($E51&gt;0),L51,L50)</f>
        <v>100</v>
      </c>
      <c r="M57" s="58"/>
    </row>
    <row r="58" spans="2:18" ht="15" hidden="1" customHeight="1">
      <c r="B58" s="49" t="str">
        <f>IF(($E52&gt;0),B52,B51)</f>
        <v>per 100 youth found delinquent</v>
      </c>
      <c r="C58" s="49">
        <f>IF(($E52&gt;0),C52,C51)</f>
        <v>23.34</v>
      </c>
      <c r="D58" s="49">
        <f>IF(($E52&gt;0),D52,D51)</f>
        <v>0.01</v>
      </c>
      <c r="E58" s="56">
        <f>MAX(C58:D58)</f>
        <v>23.34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679.73699999999997</v>
      </c>
      <c r="D60" s="56">
        <f>D54</f>
        <v>0</v>
      </c>
      <c r="E60" s="56">
        <f>MAX(C60:D60)</f>
        <v>679.73699999999997</v>
      </c>
      <c r="G60" s="1" t="str">
        <f>G54</f>
        <v>per 1000 youth</v>
      </c>
      <c r="L60" s="58">
        <f>L54</f>
        <v>1000</v>
      </c>
      <c r="M60" s="58"/>
    </row>
    <row r="61" spans="2:18" ht="15" hidden="1" customHeight="1">
      <c r="B61" s="49" t="str">
        <f t="shared" ref="B61:D62" si="11">IF(($E55&gt;0),B55,B54)</f>
        <v>per 100 arrests</v>
      </c>
      <c r="C61" s="49">
        <f t="shared" si="11"/>
        <v>42.7</v>
      </c>
      <c r="D61" s="49">
        <f t="shared" si="11"/>
        <v>0.05</v>
      </c>
      <c r="E61" s="49">
        <f>MAX(C61:D61)</f>
        <v>42.7</v>
      </c>
      <c r="G61" s="1" t="str">
        <f>G55</f>
        <v>per 100 arrests</v>
      </c>
      <c r="L61" s="58">
        <f>IF(($E55&gt;0),L55,L54)</f>
        <v>100</v>
      </c>
      <c r="M61" s="58"/>
    </row>
    <row r="62" spans="2:18" ht="15" hidden="1" customHeight="1">
      <c r="B62" s="49" t="str">
        <f t="shared" si="11"/>
        <v>per 100 referrals</v>
      </c>
      <c r="C62" s="49">
        <f t="shared" si="11"/>
        <v>70.77</v>
      </c>
      <c r="D62" s="49">
        <f t="shared" si="11"/>
        <v>0.04</v>
      </c>
      <c r="E62" s="49">
        <f>MAX(C62:D62)</f>
        <v>70.77</v>
      </c>
      <c r="G62" s="1" t="str">
        <f>G56</f>
        <v>per 100 referrals</v>
      </c>
      <c r="L62" s="58">
        <f>IF(($E56&gt;0),L56,L55)</f>
        <v>100</v>
      </c>
      <c r="M62" s="58"/>
    </row>
    <row r="63" spans="2:18" ht="15" hidden="1" customHeight="1">
      <c r="B63" s="49" t="str">
        <f>IF(($E57&gt;0),B57,B55)</f>
        <v>per 100 youth petitioned</v>
      </c>
      <c r="C63" s="49">
        <f>IF(($E57&gt;0),C57,C56)</f>
        <v>37.65</v>
      </c>
      <c r="D63" s="49">
        <f>IF(($E57&gt;0),D57,D56)</f>
        <v>0.02</v>
      </c>
      <c r="E63" s="49">
        <f>MAX(C63:D63)</f>
        <v>37.65</v>
      </c>
      <c r="G63" s="1" t="str">
        <f>G57</f>
        <v>per 100 youth petitioned</v>
      </c>
      <c r="L63" s="58">
        <f>IF(($E57&gt;0),L57,L56)</f>
        <v>100</v>
      </c>
      <c r="M63" s="58"/>
    </row>
    <row r="64" spans="2:18" ht="15" hidden="1" customHeight="1">
      <c r="B64" s="49" t="str">
        <f>IF(($E58&gt;0),B58,B57)</f>
        <v>per 100 youth found delinquent</v>
      </c>
      <c r="C64" s="49">
        <f>IF(($E58&gt;0),C58,C57)</f>
        <v>23.34</v>
      </c>
      <c r="D64" s="49">
        <f>IF(($E58&gt;0),D58,D57)</f>
        <v>0.01</v>
      </c>
      <c r="E64" s="56">
        <f>MAX(C64:D64)</f>
        <v>23.34</v>
      </c>
      <c r="G64" s="1" t="str">
        <f>G58</f>
        <v>per 100 youth found delinquent</v>
      </c>
      <c r="L64" s="58">
        <f>IF(($E58&gt;0),L58,L57)</f>
        <v>100</v>
      </c>
      <c r="M64" s="58"/>
    </row>
    <row r="65" spans="2:13" ht="15" hidden="1" customHeight="1">
      <c r="B65" s="59" t="s">
        <v>92</v>
      </c>
      <c r="L65" s="57"/>
      <c r="M65" s="57"/>
    </row>
    <row r="66" spans="2:13" ht="15" hidden="1" customHeight="1">
      <c r="B66" s="49" t="str">
        <f>B60</f>
        <v>per 1000 youth</v>
      </c>
      <c r="C66" s="56">
        <f>C60</f>
        <v>679.73699999999997</v>
      </c>
      <c r="D66" s="56">
        <f>D60</f>
        <v>0</v>
      </c>
      <c r="E66" s="56">
        <f>MAX(C66:D66)</f>
        <v>679.73699999999997</v>
      </c>
      <c r="G66" s="1" t="str">
        <f>G60</f>
        <v>per 1000 youth</v>
      </c>
      <c r="L66" s="58">
        <f>L60</f>
        <v>1000</v>
      </c>
      <c r="M66" s="58">
        <f>IF((B66=G66),1,2)</f>
        <v>1</v>
      </c>
    </row>
    <row r="67" spans="2:13" ht="15" hidden="1" customHeight="1">
      <c r="B67" s="49" t="str">
        <f t="shared" ref="B67:D68" si="12">IF(($E61&gt;0),B61,B60)</f>
        <v>per 100 arrests</v>
      </c>
      <c r="C67" s="49">
        <f t="shared" si="12"/>
        <v>42.7</v>
      </c>
      <c r="D67" s="49">
        <f t="shared" si="12"/>
        <v>0.05</v>
      </c>
      <c r="E67" s="49">
        <f>MAX(C67:D67)</f>
        <v>42.7</v>
      </c>
      <c r="G67" s="1" t="str">
        <f>G61</f>
        <v>per 100 arrests</v>
      </c>
      <c r="L67" s="58">
        <f>IF(($E61&gt;0),L61,L60)</f>
        <v>100</v>
      </c>
      <c r="M67" s="58">
        <f>IF((B67=G67),1,2)</f>
        <v>1</v>
      </c>
    </row>
    <row r="68" spans="2:13" ht="15" hidden="1" customHeight="1">
      <c r="B68" s="49" t="str">
        <f t="shared" si="12"/>
        <v>per 100 referrals</v>
      </c>
      <c r="C68" s="49">
        <f t="shared" si="12"/>
        <v>70.77</v>
      </c>
      <c r="D68" s="49">
        <f t="shared" si="12"/>
        <v>0.04</v>
      </c>
      <c r="E68" s="49">
        <f>MAX(C68:D68)</f>
        <v>70.77</v>
      </c>
      <c r="G68" s="1" t="str">
        <f>G62</f>
        <v>per 100 referrals</v>
      </c>
      <c r="L68" s="58">
        <f>IF(($E62&gt;0),L62,L61)</f>
        <v>100</v>
      </c>
      <c r="M68" s="58">
        <f>IF((B68=G68),1,2)</f>
        <v>1</v>
      </c>
    </row>
    <row r="69" spans="2:13" ht="15" hidden="1" customHeight="1">
      <c r="B69" s="49" t="str">
        <f>IF(($E63&gt;0),B63,B61)</f>
        <v>per 100 youth petitioned</v>
      </c>
      <c r="C69" s="49">
        <f>IF(($E63&gt;0),C63,C62)</f>
        <v>37.65</v>
      </c>
      <c r="D69" s="49">
        <f>IF(($E63&gt;0),D63,D62)</f>
        <v>0.02</v>
      </c>
      <c r="E69" s="49">
        <f>MAX(C69:D69)</f>
        <v>37.65</v>
      </c>
      <c r="G69" s="1" t="str">
        <f>G63</f>
        <v>per 100 youth petitioned</v>
      </c>
      <c r="L69" s="58">
        <f>IF(($E63&gt;0),L63,L62)</f>
        <v>100</v>
      </c>
      <c r="M69" s="58">
        <f>IF((B69=G69),1,2)</f>
        <v>1</v>
      </c>
    </row>
    <row r="70" spans="2:13" ht="15" hidden="1" customHeight="1">
      <c r="B70" s="49" t="str">
        <f>IF(($E64&gt;0),B64,B63)</f>
        <v>per 100 youth found delinquent</v>
      </c>
      <c r="C70" s="49">
        <f>IF(($E64&gt;0),C64,C63)</f>
        <v>23.34</v>
      </c>
      <c r="D70" s="49">
        <f>IF(($E64&gt;0),D64,D63)</f>
        <v>0.01</v>
      </c>
      <c r="E70" s="56">
        <f>MAX(C70:D70)</f>
        <v>23.34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I5" sqref="I5"/>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4" t="str">
        <f>'Data Entry'!H5</f>
        <v>American Indian or Alaska Native</v>
      </c>
      <c r="G1" s="214"/>
      <c r="H1" s="214"/>
      <c r="I1" s="214"/>
      <c r="J1" s="214"/>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All Reporting Counties</v>
      </c>
      <c r="C3" s="22"/>
      <c r="D3" s="22"/>
      <c r="E3" s="22"/>
      <c r="F3" s="22"/>
      <c r="G3" s="7"/>
      <c r="H3" s="7"/>
      <c r="I3" s="7"/>
      <c r="J3" s="7"/>
      <c r="K3" s="7"/>
      <c r="N3" s="213" t="s">
        <v>31</v>
      </c>
      <c r="O3" s="213"/>
      <c r="P3" s="213"/>
      <c r="Q3" s="213"/>
      <c r="R3" s="213"/>
      <c r="S3" s="213"/>
      <c r="T3" s="213"/>
      <c r="U3" s="213"/>
    </row>
    <row r="4" spans="2:21" ht="8.25" customHeight="1">
      <c r="B4" s="4"/>
      <c r="C4" s="23"/>
      <c r="D4" s="23"/>
      <c r="E4" s="23"/>
      <c r="F4" s="23"/>
      <c r="G4" s="8"/>
      <c r="H4" s="8"/>
      <c r="I4" s="8"/>
      <c r="N4" s="213"/>
      <c r="O4" s="213"/>
      <c r="P4" s="213"/>
      <c r="Q4" s="213"/>
      <c r="R4" s="213"/>
      <c r="S4" s="213"/>
      <c r="T4" s="213"/>
      <c r="U4" s="213"/>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 xml:space="preserve">1. Population at Risk (age 10-17) </v>
      </c>
      <c r="C6" s="33">
        <f>'Data Entry'!C6</f>
        <v>679737</v>
      </c>
      <c r="D6" s="34"/>
      <c r="E6" s="33">
        <f>'Data Entry'!H6</f>
        <v>7679</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2. Juvenile Arrests</v>
      </c>
      <c r="C7" s="33">
        <f>'Data Entry'!C7</f>
        <v>4270</v>
      </c>
      <c r="D7" s="34">
        <f>IF((AND(C66&gt;0,C7&gt;0)),(C7/C66),0)</f>
        <v>6.2818413592315858</v>
      </c>
      <c r="E7" s="33">
        <f>'Data Entry'!H7</f>
        <v>80</v>
      </c>
      <c r="F7" s="34">
        <f>IF((AND($E$7&gt;0,$D$66&gt;0)),($E$7/$D$66),0)</f>
        <v>10.418023180101576</v>
      </c>
      <c r="G7" s="39" t="str">
        <f t="shared" ref="G7:G15" si="0">IF(L$6=100,"*",IF(M7=FALSE,"--",IF(K7=20,"**",($F7/$D7))))</f>
        <v>*</v>
      </c>
      <c r="H7" s="40"/>
      <c r="I7" s="41"/>
      <c r="J7" s="40">
        <f>IF((ABS($U7)&gt;Defaults!D$7),1,2)</f>
        <v>1</v>
      </c>
      <c r="K7" s="39">
        <f>IF((AND(N7&gt;Defaults!B$12,(N7+O7)&gt;Defaults!B$13, P7 &gt; Defaults!B$12, (P7+Q7) &gt; Defaults!B$13)),1,20)</f>
        <v>1</v>
      </c>
      <c r="L7" s="1">
        <f t="shared" ref="L7:L15" si="1">(J7*K7+L$6)-1</f>
        <v>100</v>
      </c>
      <c r="M7" s="1" t="b">
        <f t="shared" ref="M7:M15" si="2">(ISNUMBER(J7))</f>
        <v>1</v>
      </c>
      <c r="N7" s="42">
        <f t="shared" ref="N7:N15" si="3">E7</f>
        <v>80</v>
      </c>
      <c r="O7" s="42">
        <f>E6-E7</f>
        <v>7599</v>
      </c>
      <c r="P7" s="42">
        <f t="shared" ref="P7:P15" si="4">C7</f>
        <v>4270</v>
      </c>
      <c r="Q7" s="42">
        <f>C6-C7</f>
        <v>675467</v>
      </c>
      <c r="R7" s="42">
        <f t="shared" ref="R7:R15" si="5">SUM(N7:Q7)</f>
        <v>687416</v>
      </c>
      <c r="S7" s="30">
        <f t="shared" ref="S7:S15" si="6">R7*((((N7*Q7)-(O7*P7))^2))</f>
        <v>3.2041293151324163E+20</v>
      </c>
      <c r="T7" s="30">
        <f t="shared" ref="T7:T15" si="7">(N7+O7)*(P7+Q7)*(N7+P7)*(O7+Q7)</f>
        <v>1.5509489517745592E+19</v>
      </c>
      <c r="U7" s="31">
        <f t="shared" ref="U7:U15" si="8">IF((S7&gt;0),S7/T7,"- -")</f>
        <v>20.659153942277257</v>
      </c>
    </row>
    <row r="8" spans="2:21" ht="18" customHeight="1">
      <c r="B8" s="32" t="str">
        <f>'Data Entry'!A8</f>
        <v>3. Refer to Juvenile Court</v>
      </c>
      <c r="C8" s="33">
        <f>'Data Entry'!C8</f>
        <v>7077</v>
      </c>
      <c r="D8" s="34">
        <f>IF((AND(C67&gt;0,C8&gt;0)),(C8/C67),0)</f>
        <v>165.73770491803276</v>
      </c>
      <c r="E8" s="33">
        <f>'Data Entry'!H8</f>
        <v>98</v>
      </c>
      <c r="F8" s="34">
        <f>IF((AND($E$8&gt;0,$D$67&gt;0)),($E8/$D67),0)</f>
        <v>122.5</v>
      </c>
      <c r="G8" s="39" t="str">
        <f t="shared" si="0"/>
        <v>*</v>
      </c>
      <c r="H8" s="40"/>
      <c r="I8" s="41"/>
      <c r="J8" s="40">
        <f>IF((ABS($U8)&gt;Defaults!D$7),1,2)</f>
        <v>1</v>
      </c>
      <c r="K8" s="39">
        <f>IF((AND(N8&gt;Defaults!B$12,(N8+O8)&gt;Defaults!B$13, P8 &gt; Defaults!B$12, (P8+Q8) &gt; Defaults!B$13)),1,20)</f>
        <v>1</v>
      </c>
      <c r="L8" s="1">
        <f t="shared" si="1"/>
        <v>100</v>
      </c>
      <c r="M8" s="1" t="b">
        <f t="shared" si="2"/>
        <v>1</v>
      </c>
      <c r="N8" s="42">
        <f t="shared" si="3"/>
        <v>98</v>
      </c>
      <c r="O8" s="42">
        <f>((D67*L67)-E8)+0.05</f>
        <v>-17.95</v>
      </c>
      <c r="P8" s="42">
        <f t="shared" si="4"/>
        <v>7077</v>
      </c>
      <c r="Q8" s="42">
        <f>(C$67*L67)-C8</f>
        <v>-2807</v>
      </c>
      <c r="R8" s="42">
        <f t="shared" si="5"/>
        <v>4350.05</v>
      </c>
      <c r="S8" s="30">
        <f t="shared" si="6"/>
        <v>95352845871352.875</v>
      </c>
      <c r="T8" s="30">
        <f t="shared" si="7"/>
        <v>-6928223385969.375</v>
      </c>
      <c r="U8" s="31">
        <f t="shared" si="8"/>
        <v>-13.762957768431049</v>
      </c>
    </row>
    <row r="9" spans="2:21" ht="18" customHeight="1">
      <c r="B9" s="32" t="str">
        <f>'Data Entry'!A9</f>
        <v xml:space="preserve">4. Cases Diverted </v>
      </c>
      <c r="C9" s="33">
        <f>'Data Entry'!C9</f>
        <v>1540</v>
      </c>
      <c r="D9" s="34">
        <f>IF((AND(C68&gt;0,C9&gt;0)),((C9/C68)),0)</f>
        <v>21.760633036597429</v>
      </c>
      <c r="E9" s="33">
        <f>'Data Entry'!H9</f>
        <v>16</v>
      </c>
      <c r="F9" s="34">
        <f>IF((AND($E$9&gt;0,$D$68&gt;0)),(($E$9/$D$68)),0)</f>
        <v>16.326530612244898</v>
      </c>
      <c r="G9" s="39" t="str">
        <f t="shared" si="0"/>
        <v>*</v>
      </c>
      <c r="H9" s="40"/>
      <c r="I9" s="41"/>
      <c r="J9" s="40">
        <f>IF((ABS($U9)&gt;Defaults!D$7),1,2)</f>
        <v>2</v>
      </c>
      <c r="K9" s="39">
        <f>IF((AND(N9&gt;Defaults!B$12,(N9+O9)&gt;Defaults!B$13, P9 &gt; Defaults!B$12, (P9+Q9) &gt; Defaults!B$13)),1,20)</f>
        <v>1</v>
      </c>
      <c r="L9" s="1">
        <f t="shared" si="1"/>
        <v>101</v>
      </c>
      <c r="M9" s="1" t="b">
        <f t="shared" si="2"/>
        <v>1</v>
      </c>
      <c r="N9" s="42">
        <f t="shared" si="3"/>
        <v>16</v>
      </c>
      <c r="O9" s="42">
        <f>(D$68*L68)-E9</f>
        <v>82</v>
      </c>
      <c r="P9" s="42">
        <f t="shared" si="4"/>
        <v>1540</v>
      </c>
      <c r="Q9" s="42">
        <f>(C$68*L68)-C9</f>
        <v>5537</v>
      </c>
      <c r="R9" s="42">
        <f t="shared" si="5"/>
        <v>7175</v>
      </c>
      <c r="S9" s="30">
        <f t="shared" si="6"/>
        <v>10191264843200</v>
      </c>
      <c r="T9" s="30">
        <f t="shared" si="7"/>
        <v>6063786419544</v>
      </c>
      <c r="U9" s="31">
        <f t="shared" si="8"/>
        <v>1.6806767485003848</v>
      </c>
    </row>
    <row r="10" spans="2:21" ht="18" customHeight="1">
      <c r="B10" s="32" t="str">
        <f>'Data Entry'!A10</f>
        <v>5. Cases Involving Secure Detention</v>
      </c>
      <c r="C10" s="33">
        <f>'Data Entry'!C10</f>
        <v>880</v>
      </c>
      <c r="D10" s="34">
        <f>IF(((AND(C68&gt;0,C10&gt;0))),(C10/(C68)),0)</f>
        <v>12.434647449484245</v>
      </c>
      <c r="E10" s="33">
        <f>'Data Entry'!H10</f>
        <v>10</v>
      </c>
      <c r="F10" s="34">
        <f>IF(((AND($E$10&gt;0,$D$68&gt;0))),($E$10/($D$68)),0)</f>
        <v>10.204081632653061</v>
      </c>
      <c r="G10" s="39" t="str">
        <f t="shared" si="0"/>
        <v>*</v>
      </c>
      <c r="H10" s="40"/>
      <c r="I10" s="41"/>
      <c r="J10" s="40">
        <f>IF((ABS($U10)&gt;Defaults!D$7),1,2)</f>
        <v>2</v>
      </c>
      <c r="K10" s="39">
        <f>IF((AND(N10&gt;Defaults!B$12,(N10+O10)&gt;Defaults!B$13, P10 &gt; Defaults!B$12, (P10+Q10) &gt; Defaults!B$13)),1,20)</f>
        <v>1</v>
      </c>
      <c r="L10" s="1">
        <f t="shared" si="1"/>
        <v>101</v>
      </c>
      <c r="M10" s="1" t="b">
        <f t="shared" si="2"/>
        <v>1</v>
      </c>
      <c r="N10" s="42">
        <f t="shared" si="3"/>
        <v>10</v>
      </c>
      <c r="O10" s="42">
        <f>(D$68*L68)-E10</f>
        <v>88</v>
      </c>
      <c r="P10" s="42">
        <f t="shared" si="4"/>
        <v>880</v>
      </c>
      <c r="Q10" s="42">
        <f>(C$68*L68)-C10</f>
        <v>6197</v>
      </c>
      <c r="R10" s="42">
        <f t="shared" si="5"/>
        <v>7175</v>
      </c>
      <c r="S10" s="30">
        <f t="shared" si="6"/>
        <v>1717127457500</v>
      </c>
      <c r="T10" s="30">
        <f t="shared" si="7"/>
        <v>3879453582900</v>
      </c>
      <c r="U10" s="31">
        <f t="shared" si="8"/>
        <v>0.44262095699992865</v>
      </c>
    </row>
    <row r="11" spans="2:21" ht="18" customHeight="1">
      <c r="B11" s="32" t="str">
        <f>'Data Entry'!A11</f>
        <v>6. Cases Petitioned (Charge Filed)</v>
      </c>
      <c r="C11" s="33">
        <f>'Data Entry'!C11</f>
        <v>3765</v>
      </c>
      <c r="D11" s="34">
        <f>IF(((AND(C68&gt;0,C11&gt;0))),(C11/(C68)),0)</f>
        <v>53.200508690122938</v>
      </c>
      <c r="E11" s="33">
        <f>'Data Entry'!H11</f>
        <v>74</v>
      </c>
      <c r="F11" s="34">
        <f>IF(((AND($E$11&gt;0,$D$68&gt;0))),($E$11/($D$68)),0)</f>
        <v>75.510204081632651</v>
      </c>
      <c r="G11" s="39" t="str">
        <f t="shared" si="0"/>
        <v>*</v>
      </c>
      <c r="H11" s="40"/>
      <c r="I11" s="41"/>
      <c r="J11" s="40">
        <f>IF((ABS($U11)&gt;Defaults!D$7),1,2)</f>
        <v>1</v>
      </c>
      <c r="K11" s="39">
        <f>IF((AND(N11&gt;Defaults!B$12,(N11+O11)&gt;Defaults!B$13, P11 &gt; Defaults!B$12, (P11+Q11) &gt; Defaults!B$13)),1,20)</f>
        <v>1</v>
      </c>
      <c r="L11" s="1">
        <f t="shared" si="1"/>
        <v>100</v>
      </c>
      <c r="M11" s="1" t="b">
        <f t="shared" si="2"/>
        <v>1</v>
      </c>
      <c r="N11" s="42">
        <f t="shared" si="3"/>
        <v>74</v>
      </c>
      <c r="O11" s="42">
        <f>(D$68*L68)-E11</f>
        <v>24</v>
      </c>
      <c r="P11" s="42">
        <f t="shared" si="4"/>
        <v>3765</v>
      </c>
      <c r="Q11" s="42">
        <f>(C$68*L68)-C11</f>
        <v>3312</v>
      </c>
      <c r="R11" s="42">
        <f t="shared" si="5"/>
        <v>7175</v>
      </c>
      <c r="S11" s="30">
        <f t="shared" si="6"/>
        <v>171774909835200</v>
      </c>
      <c r="T11" s="30">
        <f t="shared" si="7"/>
        <v>8882177041584</v>
      </c>
      <c r="U11" s="31">
        <f t="shared" si="8"/>
        <v>19.339280114660557</v>
      </c>
    </row>
    <row r="12" spans="2:21" ht="18" customHeight="1">
      <c r="B12" s="32" t="str">
        <f>'Data Entry'!A12</f>
        <v>7. Cases Resulting in Delinquent Findings</v>
      </c>
      <c r="C12" s="33">
        <f>'Data Entry'!C12</f>
        <v>2334</v>
      </c>
      <c r="D12" s="34">
        <f>IF(((AND(C69&gt;0,C12&gt;0))),(C12/(C69)),0)</f>
        <v>61.992031872509962</v>
      </c>
      <c r="E12" s="33">
        <f>'Data Entry'!H12</f>
        <v>39</v>
      </c>
      <c r="F12" s="34">
        <f>IF(((AND($D$69&gt;0,$E$12&gt;0))),(E12/(D69)),0)</f>
        <v>52.702702702702702</v>
      </c>
      <c r="G12" s="39" t="str">
        <f t="shared" si="0"/>
        <v>*</v>
      </c>
      <c r="H12" s="40"/>
      <c r="I12" s="41"/>
      <c r="J12" s="40">
        <f>IF((ABS($U12)&gt;Defaults!D$7),1,2)</f>
        <v>2</v>
      </c>
      <c r="K12" s="39">
        <f>IF((AND(N12&gt;Defaults!B$12,(N12+O12)&gt;Defaults!B$13, P12 &gt; Defaults!B$12, (P12+Q12) &gt; Defaults!B$13)),1,20)</f>
        <v>1</v>
      </c>
      <c r="L12" s="1">
        <f t="shared" si="1"/>
        <v>101</v>
      </c>
      <c r="M12" s="1" t="b">
        <f t="shared" si="2"/>
        <v>1</v>
      </c>
      <c r="N12" s="42">
        <f t="shared" si="3"/>
        <v>39</v>
      </c>
      <c r="O12" s="42">
        <f>(D69*L69)-E12</f>
        <v>35</v>
      </c>
      <c r="P12" s="42">
        <f t="shared" si="4"/>
        <v>2334</v>
      </c>
      <c r="Q12" s="42">
        <f>(C69*L69)-C12</f>
        <v>1431</v>
      </c>
      <c r="R12" s="42">
        <f t="shared" si="5"/>
        <v>3839</v>
      </c>
      <c r="S12" s="30">
        <f t="shared" si="6"/>
        <v>2571462632079</v>
      </c>
      <c r="T12" s="30">
        <f t="shared" si="7"/>
        <v>969233482980</v>
      </c>
      <c r="U12" s="31">
        <f t="shared" si="8"/>
        <v>2.6530889380469969</v>
      </c>
    </row>
    <row r="13" spans="2:21" ht="18" customHeight="1">
      <c r="B13" s="32" t="str">
        <f>'Data Entry'!A13</f>
        <v>8. Cases Resulting in Probation Placement</v>
      </c>
      <c r="C13" s="33">
        <f>'Data Entry'!C13</f>
        <v>2458</v>
      </c>
      <c r="D13" s="34">
        <f>IF(((AND(C70&gt;0,C13&gt;0))),(C13/(C70)),0)</f>
        <v>105.3127677806341</v>
      </c>
      <c r="E13" s="33">
        <f>'Data Entry'!H13</f>
        <v>41</v>
      </c>
      <c r="F13" s="34">
        <f>IF(((AND($D$70&gt;0,$E$13&gt;0))),($E$13/($D$70)),0)</f>
        <v>105.12820512820512</v>
      </c>
      <c r="G13" s="39" t="str">
        <f t="shared" si="0"/>
        <v>*</v>
      </c>
      <c r="H13" s="40"/>
      <c r="I13" s="41"/>
      <c r="J13" s="40">
        <f>IF((ABS($U13)&gt;Defaults!D$7),1,2)</f>
        <v>2</v>
      </c>
      <c r="K13" s="39">
        <f>IF((AND(N13&gt;Defaults!B$12,(N13+O13)&gt;Defaults!B$13, P13 &gt; Defaults!B$12, (P13+Q13) &gt; Defaults!B$13)),1,20)</f>
        <v>1</v>
      </c>
      <c r="L13" s="1">
        <f t="shared" si="1"/>
        <v>101</v>
      </c>
      <c r="M13" s="1" t="b">
        <f t="shared" si="2"/>
        <v>1</v>
      </c>
      <c r="N13" s="42">
        <f t="shared" si="3"/>
        <v>41</v>
      </c>
      <c r="O13" s="42">
        <f>(D70*L70)-E13</f>
        <v>-2</v>
      </c>
      <c r="P13" s="42">
        <f t="shared" si="4"/>
        <v>2458</v>
      </c>
      <c r="Q13" s="42">
        <f>(C70*L70)-C13</f>
        <v>-124</v>
      </c>
      <c r="R13" s="42">
        <f t="shared" si="5"/>
        <v>2373</v>
      </c>
      <c r="S13" s="30">
        <f t="shared" si="6"/>
        <v>66975552</v>
      </c>
      <c r="T13" s="30">
        <f t="shared" si="7"/>
        <v>-28661720724</v>
      </c>
      <c r="U13" s="31">
        <f t="shared" si="8"/>
        <v>-2.3367596329943222E-3</v>
      </c>
    </row>
    <row r="14" spans="2:21" ht="30.75" customHeight="1">
      <c r="B14" s="32" t="str">
        <f>'Data Entry'!A14</f>
        <v xml:space="preserve">9. Cases Resulting in Confinement in Secure Juvenile Correctional Facilities </v>
      </c>
      <c r="C14" s="33">
        <f>'Data Entry'!C14</f>
        <v>423</v>
      </c>
      <c r="D14" s="34">
        <f>IF(((AND(C70&gt;0,C14&gt;0))), ((C14/(C70))),0)</f>
        <v>18.123393316195372</v>
      </c>
      <c r="E14" s="33">
        <f>'Data Entry'!H14</f>
        <v>7</v>
      </c>
      <c r="F14" s="34">
        <f>IF(((AND($D$70&gt;0,$E$14&gt;0))), (($E$14/($D$70))),0)</f>
        <v>17.948717948717949</v>
      </c>
      <c r="G14" s="39" t="str">
        <f t="shared" si="0"/>
        <v>*</v>
      </c>
      <c r="H14" s="40"/>
      <c r="I14" s="41"/>
      <c r="J14" s="40">
        <f>IF((ABS($U14)&gt;Defaults!D$7),1,2)</f>
        <v>2</v>
      </c>
      <c r="K14" s="39">
        <f>IF((AND(N14&gt;Defaults!B$12,(N14+O14)&gt;Defaults!B$13, P14 &gt; Defaults!B$12, (P14+Q14) &gt; Defaults!B$13)),1,20)</f>
        <v>1</v>
      </c>
      <c r="L14" s="1">
        <f t="shared" si="1"/>
        <v>101</v>
      </c>
      <c r="M14" s="1" t="b">
        <f t="shared" si="2"/>
        <v>1</v>
      </c>
      <c r="N14" s="42">
        <f t="shared" si="3"/>
        <v>7</v>
      </c>
      <c r="O14" s="42">
        <f>(D70*L70)-E14</f>
        <v>32</v>
      </c>
      <c r="P14" s="42">
        <f t="shared" si="4"/>
        <v>423</v>
      </c>
      <c r="Q14" s="42">
        <f>(C70*L70)-C14</f>
        <v>1911</v>
      </c>
      <c r="R14" s="42">
        <f t="shared" si="5"/>
        <v>2373</v>
      </c>
      <c r="S14" s="30">
        <f t="shared" si="6"/>
        <v>59991813</v>
      </c>
      <c r="T14" s="30">
        <f t="shared" si="7"/>
        <v>76051312740</v>
      </c>
      <c r="U14" s="31">
        <f t="shared" si="8"/>
        <v>7.8883336577103766E-4</v>
      </c>
    </row>
    <row r="15" spans="2:21" ht="15.75" customHeight="1">
      <c r="B15" s="32" t="str">
        <f>'Data Entry'!A15</f>
        <v xml:space="preserve">10. Cases Transferred to Adult Court </v>
      </c>
      <c r="C15" s="33">
        <f>'Data Entry'!C15</f>
        <v>3</v>
      </c>
      <c r="D15" s="34">
        <f>IF(((AND(C69&gt;0,C15&gt;0))),((C15/(C69))),0)</f>
        <v>7.9681274900398405E-2</v>
      </c>
      <c r="E15" s="33">
        <f>'Data Entry'!H15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74</v>
      </c>
      <c r="P15" s="42">
        <f t="shared" si="4"/>
        <v>3</v>
      </c>
      <c r="Q15" s="42">
        <f>(C69*L69)-C15</f>
        <v>3762</v>
      </c>
      <c r="R15" s="42">
        <f t="shared" si="5"/>
        <v>3839</v>
      </c>
      <c r="S15" s="30">
        <f t="shared" si="6"/>
        <v>189201276</v>
      </c>
      <c r="T15" s="30">
        <f t="shared" si="7"/>
        <v>3206243880</v>
      </c>
      <c r="U15" s="31">
        <f t="shared" si="8"/>
        <v>5.9010257198526019E-2</v>
      </c>
    </row>
    <row r="16" spans="2:21" ht="12" customHeight="1">
      <c r="B16" s="43" t="s">
        <v>93</v>
      </c>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94</v>
      </c>
      <c r="L17" s="1" t="s">
        <v>95</v>
      </c>
      <c r="N17" s="21"/>
      <c r="O17" s="21"/>
      <c r="P17" s="21"/>
      <c r="Q17" s="21"/>
      <c r="R17" s="21"/>
      <c r="S17" s="30"/>
      <c r="T17" s="30"/>
      <c r="U17" s="31"/>
    </row>
    <row r="18" spans="2:21" ht="15" customHeight="1">
      <c r="B18" s="1" t="s">
        <v>52</v>
      </c>
    </row>
    <row r="19" spans="2:21" ht="15" customHeight="1">
      <c r="B19" s="1" t="s">
        <v>53</v>
      </c>
      <c r="D19" s="45" t="s">
        <v>54</v>
      </c>
    </row>
    <row r="20" spans="2:21" ht="15" customHeight="1">
      <c r="B20" s="1" t="s">
        <v>55</v>
      </c>
      <c r="D20" s="1" t="s">
        <v>56</v>
      </c>
    </row>
    <row r="21" spans="2:21" ht="15" customHeight="1">
      <c r="B21" s="1" t="s">
        <v>57</v>
      </c>
      <c r="D21" s="1" t="s">
        <v>58</v>
      </c>
    </row>
    <row r="22" spans="2:21" ht="15" customHeight="1">
      <c r="B22" s="1" t="s">
        <v>59</v>
      </c>
      <c r="D22" s="1" t="s">
        <v>60</v>
      </c>
    </row>
    <row r="23" spans="2:21" ht="15" customHeight="1">
      <c r="B23" s="1" t="s">
        <v>61</v>
      </c>
      <c r="D23" s="1" t="s">
        <v>62</v>
      </c>
    </row>
    <row r="24" spans="2:21" ht="26.25" customHeight="1">
      <c r="B24" s="62"/>
      <c r="C24" s="62"/>
      <c r="D24" s="62"/>
      <c r="E24" s="62"/>
      <c r="F24" s="62"/>
      <c r="G24" s="62"/>
      <c r="H24" s="62"/>
      <c r="I24" s="62"/>
      <c r="N24" s="21"/>
      <c r="O24" s="21"/>
      <c r="P24" s="21"/>
      <c r="Q24" s="21"/>
      <c r="R24" s="21"/>
      <c r="S24" s="30"/>
      <c r="T24" s="30"/>
      <c r="U24" s="31"/>
    </row>
    <row r="25" spans="2:21" ht="15" customHeight="1">
      <c r="B25" s="46" t="s">
        <v>63</v>
      </c>
      <c r="K25" s="1" t="s">
        <v>64</v>
      </c>
      <c r="L25" s="1" t="s">
        <v>65</v>
      </c>
      <c r="N25" s="21"/>
      <c r="O25" s="21" t="b">
        <f>ISBLANK(N12)</f>
        <v>0</v>
      </c>
      <c r="P25" s="21"/>
      <c r="Q25" s="21"/>
      <c r="R25" s="21"/>
    </row>
    <row r="26" spans="2:21" ht="15" customHeight="1">
      <c r="B26" s="47" t="s">
        <v>66</v>
      </c>
      <c r="F26" s="47" t="s">
        <v>67</v>
      </c>
      <c r="G26" s="47"/>
      <c r="H26" s="47"/>
      <c r="I26" s="47"/>
      <c r="J26" s="47"/>
      <c r="K26" s="48" t="s">
        <v>62</v>
      </c>
      <c r="L26" s="48" t="s">
        <v>68</v>
      </c>
      <c r="M26" s="48"/>
      <c r="R26" s="49"/>
    </row>
    <row r="27" spans="2:21" ht="15" customHeight="1">
      <c r="B27" s="50" t="s">
        <v>69</v>
      </c>
      <c r="C27" s="50"/>
      <c r="D27" s="50"/>
      <c r="E27" s="50"/>
      <c r="F27" s="50" t="str">
        <f>B66</f>
        <v>per 1000 youth</v>
      </c>
      <c r="G27" s="50"/>
      <c r="H27" s="50"/>
      <c r="I27" s="50"/>
      <c r="J27" s="50">
        <f>F66</f>
        <v>0</v>
      </c>
      <c r="K27" s="50" t="s">
        <v>60</v>
      </c>
      <c r="L27" s="51" t="s">
        <v>70</v>
      </c>
      <c r="R27" s="49"/>
    </row>
    <row r="28" spans="2:21" ht="15" customHeight="1">
      <c r="B28" s="50" t="s">
        <v>71</v>
      </c>
      <c r="C28" s="50"/>
      <c r="D28" s="50"/>
      <c r="E28" s="50"/>
      <c r="F28" s="52" t="str">
        <f>B67</f>
        <v>per 100 arrests</v>
      </c>
      <c r="G28" s="52"/>
      <c r="H28" s="52"/>
      <c r="I28" s="52"/>
      <c r="J28" s="52"/>
      <c r="K28" s="52" t="s">
        <v>58</v>
      </c>
      <c r="L28" s="53" t="s">
        <v>72</v>
      </c>
      <c r="R28" s="49"/>
    </row>
    <row r="29" spans="2:21" ht="15" customHeight="1">
      <c r="B29" s="52" t="s">
        <v>73</v>
      </c>
      <c r="C29" s="52"/>
      <c r="D29" s="52"/>
      <c r="E29" s="52"/>
      <c r="F29" s="52" t="str">
        <f>B68</f>
        <v>per 100 referrals</v>
      </c>
      <c r="G29" s="52"/>
      <c r="H29" s="52"/>
      <c r="I29" s="52"/>
      <c r="J29" s="52"/>
      <c r="K29" s="52"/>
      <c r="L29" s="53"/>
      <c r="R29" s="49"/>
    </row>
    <row r="30" spans="2:21" ht="15" customHeight="1">
      <c r="B30" s="52" t="s">
        <v>74</v>
      </c>
      <c r="C30" s="52"/>
      <c r="D30" s="52"/>
      <c r="E30" s="52"/>
      <c r="F30" s="52" t="str">
        <f>B68</f>
        <v>per 100 referrals</v>
      </c>
      <c r="G30" s="52"/>
      <c r="H30" s="52"/>
      <c r="I30" s="52"/>
      <c r="J30" s="52"/>
      <c r="K30" s="52"/>
      <c r="L30" s="53"/>
      <c r="N30" s="1" t="b">
        <f>ISNUMBER(J14)</f>
        <v>1</v>
      </c>
      <c r="R30" s="49"/>
    </row>
    <row r="31" spans="2:21" ht="15" customHeight="1">
      <c r="B31" s="52" t="s">
        <v>75</v>
      </c>
      <c r="C31" s="52"/>
      <c r="D31" s="52"/>
      <c r="E31" s="52"/>
      <c r="F31" s="52" t="str">
        <f>B68</f>
        <v>per 100 referrals</v>
      </c>
      <c r="G31" s="52"/>
      <c r="H31" s="52"/>
      <c r="I31" s="52"/>
      <c r="J31" s="52"/>
      <c r="K31" s="52"/>
      <c r="L31" s="53"/>
      <c r="R31" s="49"/>
    </row>
    <row r="32" spans="2:21" ht="15" customHeight="1">
      <c r="B32" s="52" t="s">
        <v>76</v>
      </c>
      <c r="C32" s="52"/>
      <c r="D32" s="52"/>
      <c r="E32" s="52"/>
      <c r="F32" s="52" t="str">
        <f>B69</f>
        <v>per 100 youth petitioned</v>
      </c>
      <c r="G32" s="52"/>
      <c r="H32" s="52"/>
      <c r="I32" s="52"/>
      <c r="J32" s="52"/>
      <c r="K32" s="52"/>
      <c r="L32" s="53"/>
      <c r="R32" s="49"/>
    </row>
    <row r="33" spans="2:18" ht="15" customHeight="1">
      <c r="B33" s="52" t="s">
        <v>77</v>
      </c>
      <c r="C33" s="52"/>
      <c r="D33" s="52"/>
      <c r="E33" s="52"/>
      <c r="F33" s="52" t="str">
        <f>B70</f>
        <v>per 100 youth found delinquent</v>
      </c>
      <c r="G33" s="52"/>
      <c r="H33" s="52"/>
      <c r="I33" s="52"/>
      <c r="J33" s="52"/>
      <c r="K33" s="52"/>
      <c r="L33" s="53"/>
      <c r="R33" s="49"/>
    </row>
    <row r="34" spans="2:18" ht="15" customHeight="1">
      <c r="B34" s="52" t="s">
        <v>78</v>
      </c>
      <c r="C34" s="52"/>
      <c r="D34" s="52"/>
      <c r="E34" s="52"/>
      <c r="F34" s="52" t="str">
        <f>B70</f>
        <v>per 100 youth found delinquent</v>
      </c>
      <c r="G34" s="52"/>
      <c r="H34" s="52"/>
      <c r="I34" s="52"/>
      <c r="J34" s="52"/>
      <c r="K34" s="52"/>
      <c r="L34" s="53"/>
      <c r="R34" s="49"/>
    </row>
    <row r="35" spans="2:18" ht="15" customHeight="1">
      <c r="B35" s="52" t="s">
        <v>79</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2" t="s">
        <v>80</v>
      </c>
      <c r="C40" s="212"/>
      <c r="D40" s="212"/>
      <c r="E40" s="212"/>
      <c r="F40" s="212"/>
      <c r="G40" s="212"/>
      <c r="H40" s="212"/>
      <c r="I40" s="212"/>
      <c r="J40" s="212"/>
      <c r="K40" s="8"/>
      <c r="R40" s="49"/>
    </row>
    <row r="41" spans="2:18" ht="15" hidden="1" customHeight="1">
      <c r="B41" s="54" t="s">
        <v>81</v>
      </c>
      <c r="C41" s="54" t="s">
        <v>82</v>
      </c>
      <c r="D41" s="55" t="s">
        <v>83</v>
      </c>
      <c r="E41" s="54" t="s">
        <v>84</v>
      </c>
      <c r="G41" s="54" t="s">
        <v>85</v>
      </c>
      <c r="H41" s="54"/>
      <c r="I41" s="54"/>
      <c r="L41" s="1" t="s">
        <v>86</v>
      </c>
      <c r="R41" s="49"/>
    </row>
    <row r="42" spans="2:18" ht="15" hidden="1" customHeight="1">
      <c r="B42" s="49" t="s">
        <v>87</v>
      </c>
      <c r="C42" s="56">
        <f>C6/1000</f>
        <v>679.73699999999997</v>
      </c>
      <c r="D42" s="56">
        <f>E6/1000</f>
        <v>7.6790000000000003</v>
      </c>
      <c r="E42" s="56">
        <f>MAX(C42:D42)</f>
        <v>679.73699999999997</v>
      </c>
      <c r="G42" s="1" t="str">
        <f>B42</f>
        <v>per 1000 youth</v>
      </c>
      <c r="L42" s="57">
        <v>1000</v>
      </c>
      <c r="M42" s="57"/>
      <c r="R42" s="49"/>
    </row>
    <row r="43" spans="2:18" ht="15" hidden="1" customHeight="1">
      <c r="B43" s="49" t="s">
        <v>88</v>
      </c>
      <c r="C43" s="56">
        <f>C7/100</f>
        <v>42.7</v>
      </c>
      <c r="D43" s="56">
        <f>E7/100</f>
        <v>0.8</v>
      </c>
      <c r="E43" s="56">
        <f>MAX(C43:D43,0)</f>
        <v>42.7</v>
      </c>
      <c r="G43" s="1" t="str">
        <f>B43</f>
        <v>per 100 arrests</v>
      </c>
      <c r="L43" s="57">
        <v>100</v>
      </c>
      <c r="M43" s="57"/>
      <c r="R43" s="49"/>
    </row>
    <row r="44" spans="2:18" ht="15" hidden="1" customHeight="1">
      <c r="B44" s="49" t="s">
        <v>89</v>
      </c>
      <c r="C44" s="56">
        <f>C8/100</f>
        <v>70.77</v>
      </c>
      <c r="D44" s="56">
        <f>E8/100</f>
        <v>0.98</v>
      </c>
      <c r="E44" s="56">
        <f>MAX(C44:D44,0)</f>
        <v>70.77</v>
      </c>
      <c r="G44" s="1" t="str">
        <f>B44</f>
        <v>per 100 referrals</v>
      </c>
      <c r="L44" s="57">
        <v>100</v>
      </c>
      <c r="M44" s="57"/>
      <c r="R44" s="49"/>
    </row>
    <row r="45" spans="2:18" ht="15" hidden="1" customHeight="1">
      <c r="B45" s="49" t="s">
        <v>90</v>
      </c>
      <c r="C45" s="49">
        <f>C11/100</f>
        <v>37.65</v>
      </c>
      <c r="D45" s="49">
        <f>E11/100</f>
        <v>0.74</v>
      </c>
      <c r="E45" s="56">
        <f>MAX(C45:D45,0)</f>
        <v>37.65</v>
      </c>
      <c r="G45" s="1" t="str">
        <f>B45</f>
        <v>per 100 youth petitioned</v>
      </c>
      <c r="L45" s="57">
        <v>100</v>
      </c>
      <c r="M45" s="57"/>
      <c r="R45" s="49"/>
    </row>
    <row r="46" spans="2:18" ht="15" hidden="1" customHeight="1">
      <c r="B46" s="49" t="s">
        <v>91</v>
      </c>
      <c r="C46" s="49">
        <f>C12/100</f>
        <v>23.34</v>
      </c>
      <c r="D46" s="49">
        <f>E12/100</f>
        <v>0.39</v>
      </c>
      <c r="E46" s="56">
        <f>MAX(C46:D46)</f>
        <v>23.34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679.73699999999997</v>
      </c>
      <c r="D48" s="56">
        <f>D42</f>
        <v>7.6790000000000003</v>
      </c>
      <c r="E48" s="56">
        <f>MAX(C48:D48)</f>
        <v>679.73699999999997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42.7</v>
      </c>
      <c r="D49" s="49">
        <f t="shared" si="9"/>
        <v>0.8</v>
      </c>
      <c r="E49" s="49">
        <f>MAX(C49:D49)</f>
        <v>42.7</v>
      </c>
      <c r="G49" s="1" t="str">
        <f>G43</f>
        <v>per 100 arrests</v>
      </c>
      <c r="L49" s="58">
        <f>IF(($E43&gt;0),L43,L42)</f>
        <v>100</v>
      </c>
      <c r="M49" s="58"/>
      <c r="N49" s="21"/>
      <c r="O49" s="21"/>
      <c r="P49" s="21"/>
      <c r="Q49" s="21"/>
      <c r="R49" s="21"/>
    </row>
    <row r="50" spans="2:18" ht="15" hidden="1" customHeight="1">
      <c r="B50" s="49" t="str">
        <f t="shared" si="9"/>
        <v>per 100 referrals</v>
      </c>
      <c r="C50" s="49">
        <f t="shared" si="9"/>
        <v>70.77</v>
      </c>
      <c r="D50" s="49">
        <f t="shared" si="9"/>
        <v>0.98</v>
      </c>
      <c r="E50" s="49">
        <f>MAX(C50:D50)</f>
        <v>70.77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37.65</v>
      </c>
      <c r="D51" s="49">
        <f>IF(($E45&gt;0),D45,D44)</f>
        <v>0.74</v>
      </c>
      <c r="E51" s="49">
        <f>MAX(C51:D51)</f>
        <v>37.65</v>
      </c>
      <c r="G51" s="1" t="str">
        <f>G45</f>
        <v>per 100 youth petitioned</v>
      </c>
      <c r="L51" s="58">
        <f>IF(($E45&gt;0),L45,L44)</f>
        <v>100</v>
      </c>
      <c r="M51" s="58"/>
    </row>
    <row r="52" spans="2:18" ht="15" hidden="1" customHeight="1">
      <c r="B52" s="49" t="str">
        <f>IF(($E46&gt;0),B46,B45)</f>
        <v>per 100 youth found delinquent</v>
      </c>
      <c r="C52" s="49">
        <f>IF(($E46&gt;0),C46,C45)</f>
        <v>23.34</v>
      </c>
      <c r="D52" s="49">
        <f>IF(($E46&gt;0),D46,D45)</f>
        <v>0.39</v>
      </c>
      <c r="E52" s="56">
        <f>MAX(C52:D52)</f>
        <v>23.34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679.73699999999997</v>
      </c>
      <c r="D54" s="56">
        <f>D48</f>
        <v>7.6790000000000003</v>
      </c>
      <c r="E54" s="56">
        <f>MAX(C54:D54)</f>
        <v>679.73699999999997</v>
      </c>
      <c r="G54" s="1" t="str">
        <f>G48</f>
        <v>per 1000 youth</v>
      </c>
      <c r="L54" s="58">
        <f>L48</f>
        <v>1000</v>
      </c>
      <c r="M54" s="58"/>
    </row>
    <row r="55" spans="2:18" ht="15" hidden="1" customHeight="1">
      <c r="B55" s="49" t="str">
        <f t="shared" ref="B55:D56" si="10">IF(($E49&gt;0),B49,B48)</f>
        <v>per 100 arrests</v>
      </c>
      <c r="C55" s="49">
        <f t="shared" si="10"/>
        <v>42.7</v>
      </c>
      <c r="D55" s="49">
        <f t="shared" si="10"/>
        <v>0.8</v>
      </c>
      <c r="E55" s="49">
        <f>MAX(C55:D55)</f>
        <v>42.7</v>
      </c>
      <c r="G55" s="1" t="str">
        <f>G49</f>
        <v>per 100 arrests</v>
      </c>
      <c r="L55" s="58">
        <f>IF(($E49&gt;0),L49,L48)</f>
        <v>100</v>
      </c>
      <c r="M55" s="58"/>
    </row>
    <row r="56" spans="2:18" ht="15" hidden="1" customHeight="1">
      <c r="B56" s="49" t="str">
        <f t="shared" si="10"/>
        <v>per 100 referrals</v>
      </c>
      <c r="C56" s="49">
        <f t="shared" si="10"/>
        <v>70.77</v>
      </c>
      <c r="D56" s="49">
        <f t="shared" si="10"/>
        <v>0.98</v>
      </c>
      <c r="E56" s="49">
        <f>MAX(C56:D56)</f>
        <v>70.77</v>
      </c>
      <c r="G56" s="1" t="str">
        <f>G50</f>
        <v>per 100 referrals</v>
      </c>
      <c r="L56" s="58">
        <f>IF(($E50&gt;0),L50,L49)</f>
        <v>100</v>
      </c>
      <c r="M56" s="58"/>
    </row>
    <row r="57" spans="2:18" ht="15" hidden="1" customHeight="1">
      <c r="B57" s="49" t="str">
        <f>IF(($E51&gt;0),B51,B49)</f>
        <v>per 100 youth petitioned</v>
      </c>
      <c r="C57" s="49">
        <f>IF(($E51&gt;0),C51,C50)</f>
        <v>37.65</v>
      </c>
      <c r="D57" s="49">
        <f>IF(($E51&gt;0),D51,D50)</f>
        <v>0.74</v>
      </c>
      <c r="E57" s="49">
        <f>MAX(C57:D57)</f>
        <v>37.65</v>
      </c>
      <c r="G57" s="1" t="str">
        <f>G51</f>
        <v>per 100 youth petitioned</v>
      </c>
      <c r="L57" s="58">
        <f>IF(($E51&gt;0),L51,L50)</f>
        <v>100</v>
      </c>
      <c r="M57" s="58"/>
    </row>
    <row r="58" spans="2:18" ht="15" hidden="1" customHeight="1">
      <c r="B58" s="49" t="str">
        <f>IF(($E52&gt;0),B52,B51)</f>
        <v>per 100 youth found delinquent</v>
      </c>
      <c r="C58" s="49">
        <f>IF(($E52&gt;0),C52,C51)</f>
        <v>23.34</v>
      </c>
      <c r="D58" s="49">
        <f>IF(($E52&gt;0),D52,D51)</f>
        <v>0.39</v>
      </c>
      <c r="E58" s="56">
        <f>MAX(C58:D58)</f>
        <v>23.34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679.73699999999997</v>
      </c>
      <c r="D60" s="56">
        <f>D54</f>
        <v>7.6790000000000003</v>
      </c>
      <c r="E60" s="56">
        <f>MAX(C60:D60)</f>
        <v>679.73699999999997</v>
      </c>
      <c r="G60" s="1" t="str">
        <f>G54</f>
        <v>per 1000 youth</v>
      </c>
      <c r="L60" s="58">
        <f>L54</f>
        <v>1000</v>
      </c>
      <c r="M60" s="58"/>
    </row>
    <row r="61" spans="2:18" ht="15" hidden="1" customHeight="1">
      <c r="B61" s="49" t="str">
        <f t="shared" ref="B61:D62" si="11">IF(($E55&gt;0),B55,B54)</f>
        <v>per 100 arrests</v>
      </c>
      <c r="C61" s="49">
        <f t="shared" si="11"/>
        <v>42.7</v>
      </c>
      <c r="D61" s="49">
        <f t="shared" si="11"/>
        <v>0.8</v>
      </c>
      <c r="E61" s="49">
        <f>MAX(C61:D61)</f>
        <v>42.7</v>
      </c>
      <c r="G61" s="1" t="str">
        <f>G55</f>
        <v>per 100 arrests</v>
      </c>
      <c r="L61" s="58">
        <f>IF(($E55&gt;0),L55,L54)</f>
        <v>100</v>
      </c>
      <c r="M61" s="58"/>
    </row>
    <row r="62" spans="2:18" ht="15" hidden="1" customHeight="1">
      <c r="B62" s="49" t="str">
        <f t="shared" si="11"/>
        <v>per 100 referrals</v>
      </c>
      <c r="C62" s="49">
        <f t="shared" si="11"/>
        <v>70.77</v>
      </c>
      <c r="D62" s="49">
        <f t="shared" si="11"/>
        <v>0.98</v>
      </c>
      <c r="E62" s="49">
        <f>MAX(C62:D62)</f>
        <v>70.77</v>
      </c>
      <c r="G62" s="1" t="str">
        <f>G56</f>
        <v>per 100 referrals</v>
      </c>
      <c r="L62" s="58">
        <f>IF(($E56&gt;0),L56,L55)</f>
        <v>100</v>
      </c>
      <c r="M62" s="58"/>
    </row>
    <row r="63" spans="2:18" ht="15" hidden="1" customHeight="1">
      <c r="B63" s="49" t="str">
        <f>IF(($E57&gt;0),B57,B55)</f>
        <v>per 100 youth petitioned</v>
      </c>
      <c r="C63" s="49">
        <f>IF(($E57&gt;0),C57,C56)</f>
        <v>37.65</v>
      </c>
      <c r="D63" s="49">
        <f>IF(($E57&gt;0),D57,D56)</f>
        <v>0.74</v>
      </c>
      <c r="E63" s="49">
        <f>MAX(C63:D63)</f>
        <v>37.65</v>
      </c>
      <c r="G63" s="1" t="str">
        <f>G57</f>
        <v>per 100 youth petitioned</v>
      </c>
      <c r="L63" s="58">
        <f>IF(($E57&gt;0),L57,L56)</f>
        <v>100</v>
      </c>
      <c r="M63" s="58"/>
    </row>
    <row r="64" spans="2:18" ht="15" hidden="1" customHeight="1">
      <c r="B64" s="49" t="str">
        <f>IF(($E58&gt;0),B58,B57)</f>
        <v>per 100 youth found delinquent</v>
      </c>
      <c r="C64" s="49">
        <f>IF(($E58&gt;0),C58,C57)</f>
        <v>23.34</v>
      </c>
      <c r="D64" s="49">
        <f>IF(($E58&gt;0),D58,D57)</f>
        <v>0.39</v>
      </c>
      <c r="E64" s="56">
        <f>MAX(C64:D64)</f>
        <v>23.34</v>
      </c>
      <c r="G64" s="1" t="str">
        <f>G58</f>
        <v>per 100 youth found delinquent</v>
      </c>
      <c r="L64" s="58">
        <f>IF(($E58&gt;0),L58,L57)</f>
        <v>100</v>
      </c>
      <c r="M64" s="58"/>
    </row>
    <row r="65" spans="2:13" ht="15" hidden="1" customHeight="1">
      <c r="B65" s="59" t="s">
        <v>92</v>
      </c>
      <c r="L65" s="57"/>
      <c r="M65" s="57"/>
    </row>
    <row r="66" spans="2:13" ht="15" hidden="1" customHeight="1">
      <c r="B66" s="49" t="str">
        <f>B60</f>
        <v>per 1000 youth</v>
      </c>
      <c r="C66" s="56">
        <f>C60</f>
        <v>679.73699999999997</v>
      </c>
      <c r="D66" s="56">
        <f>D60</f>
        <v>7.6790000000000003</v>
      </c>
      <c r="E66" s="56">
        <f>MAX(C66:D66)</f>
        <v>679.73699999999997</v>
      </c>
      <c r="G66" s="1" t="str">
        <f>G60</f>
        <v>per 1000 youth</v>
      </c>
      <c r="L66" s="58">
        <f>L60</f>
        <v>1000</v>
      </c>
      <c r="M66" s="58">
        <f>IF((B66=G66),1,2)</f>
        <v>1</v>
      </c>
    </row>
    <row r="67" spans="2:13" ht="15" hidden="1" customHeight="1">
      <c r="B67" s="49" t="str">
        <f t="shared" ref="B67:D68" si="12">IF(($E61&gt;0),B61,B60)</f>
        <v>per 100 arrests</v>
      </c>
      <c r="C67" s="49">
        <f t="shared" si="12"/>
        <v>42.7</v>
      </c>
      <c r="D67" s="49">
        <f t="shared" si="12"/>
        <v>0.8</v>
      </c>
      <c r="E67" s="49">
        <f>MAX(C67:D67)</f>
        <v>42.7</v>
      </c>
      <c r="G67" s="1" t="str">
        <f>G61</f>
        <v>per 100 arrests</v>
      </c>
      <c r="L67" s="58">
        <f>IF(($E61&gt;0),L61,L60)</f>
        <v>100</v>
      </c>
      <c r="M67" s="58">
        <f>IF((B67=G67),1,2)</f>
        <v>1</v>
      </c>
    </row>
    <row r="68" spans="2:13" ht="15" hidden="1" customHeight="1">
      <c r="B68" s="49" t="str">
        <f t="shared" si="12"/>
        <v>per 100 referrals</v>
      </c>
      <c r="C68" s="49">
        <f t="shared" si="12"/>
        <v>70.77</v>
      </c>
      <c r="D68" s="49">
        <f t="shared" si="12"/>
        <v>0.98</v>
      </c>
      <c r="E68" s="49">
        <f>MAX(C68:D68)</f>
        <v>70.77</v>
      </c>
      <c r="G68" s="1" t="str">
        <f>G62</f>
        <v>per 100 referrals</v>
      </c>
      <c r="L68" s="58">
        <f>IF(($E62&gt;0),L62,L61)</f>
        <v>100</v>
      </c>
      <c r="M68" s="58">
        <f>IF((B68=G68),1,2)</f>
        <v>1</v>
      </c>
    </row>
    <row r="69" spans="2:13" ht="15" hidden="1" customHeight="1">
      <c r="B69" s="49" t="str">
        <f>IF(($E63&gt;0),B63,B61)</f>
        <v>per 100 youth petitioned</v>
      </c>
      <c r="C69" s="49">
        <f>IF(($E63&gt;0),C63,C62)</f>
        <v>37.65</v>
      </c>
      <c r="D69" s="49">
        <f>IF(($E63&gt;0),D63,D62)</f>
        <v>0.74</v>
      </c>
      <c r="E69" s="49">
        <f>MAX(C69:D69)</f>
        <v>37.65</v>
      </c>
      <c r="G69" s="1" t="str">
        <f>G63</f>
        <v>per 100 youth petitioned</v>
      </c>
      <c r="L69" s="58">
        <f>IF(($E63&gt;0),L63,L62)</f>
        <v>100</v>
      </c>
      <c r="M69" s="58">
        <f>IF((B69=G69),1,2)</f>
        <v>1</v>
      </c>
    </row>
    <row r="70" spans="2:13" ht="15" hidden="1" customHeight="1">
      <c r="B70" s="49" t="str">
        <f>IF(($E64&gt;0),B64,B63)</f>
        <v>per 100 youth found delinquent</v>
      </c>
      <c r="C70" s="49">
        <f>IF(($E64&gt;0),C64,C63)</f>
        <v>23.34</v>
      </c>
      <c r="D70" s="49">
        <f>IF(($E64&gt;0),D64,D63)</f>
        <v>0.39</v>
      </c>
      <c r="E70" s="56">
        <f>MAX(C70:D70)</f>
        <v>23.34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U47JMPN4QEAR-1806752177-35404</_dlc_DocId>
    <_dlc_DocIdUrl xmlns="ac3811b5-0f3e-49e2-ba69-f2ffa0c782af">
      <Url>https://michiganphi.sharepoint.com/sites/CMDMC/_layouts/15/DocIdRedir.aspx?ID=U47JMPN4QEAR-1806752177-35404</Url>
      <Description>U47JMPN4QEAR-1806752177-35404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1123679-5419-4324-BF1E-0EFB98F14537}">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D46D3DE1-E411-48FA-8A9B-C7658B081275}">
  <ds:schemaRefs>
    <ds:schemaRef ds:uri="http://schemas.microsoft.com/sharepoint/v3/contenttype/forms"/>
  </ds:schemaRefs>
</ds:datastoreItem>
</file>

<file path=customXml/itemProps3.xml><?xml version="1.0" encoding="utf-8"?>
<ds:datastoreItem xmlns:ds="http://schemas.openxmlformats.org/officeDocument/2006/customXml" ds:itemID="{BCA1AD8A-281D-4E5A-A3B0-5FA41D3B66C2}"/>
</file>

<file path=customXml/itemProps4.xml><?xml version="1.0" encoding="utf-8"?>
<ds:datastoreItem xmlns:ds="http://schemas.openxmlformats.org/officeDocument/2006/customXml" ds:itemID="{9047AF3E-87F0-4E49-AE86-F2B5D1FF18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2025-11-13T19:20:05Z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4633bb65-8e1e-4484-bdf0-2127a4247096</vt:lpwstr>
  </property>
</Properties>
</file>