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codeName="ThisWorkbook"/>
  <mc:AlternateContent xmlns:mc="http://schemas.openxmlformats.org/markup-compatibility/2006">
    <mc:Choice Requires="x15">
      <x15ac:absPath xmlns:x15ac="http://schemas.microsoft.com/office/spreadsheetml/2010/11/ac" url="https://michiganphi.sharepoint.com/sites/CMDMC/Shared Documents/DMC/2023 Matrices/"/>
    </mc:Choice>
  </mc:AlternateContent>
  <xr:revisionPtr revIDLastSave="0" documentId="8_{C8CDE728-5085-45F7-87B3-31A19CCBAB9F}" xr6:coauthVersionLast="47" xr6:coauthVersionMax="47" xr10:uidLastSave="{00000000-0000-0000-0000-000000000000}"/>
  <bookViews>
    <workbookView xWindow="-120" yWindow="-120" windowWidth="29040" windowHeight="15720" firstSheet="1"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 l="1"/>
  <c r="B8" i="13" l="1"/>
  <c r="B4" i="16" l="1"/>
  <c r="B7" i="16" l="1"/>
  <c r="B6" i="17"/>
  <c r="B7" i="13" l="1"/>
  <c r="A5" i="17" l="1"/>
  <c r="G6" i="17" l="1"/>
  <c r="C6" i="17"/>
  <c r="D6" i="17"/>
  <c r="E6" i="17"/>
  <c r="F6" i="17"/>
  <c r="I6" i="17"/>
  <c r="E30" i="16" l="1"/>
  <c r="B30" i="16"/>
  <c r="E29" i="16"/>
  <c r="B29" i="16"/>
  <c r="E28" i="16"/>
  <c r="B28" i="16"/>
  <c r="E27" i="16"/>
  <c r="B27" i="16"/>
  <c r="E26" i="16"/>
  <c r="B26" i="16"/>
  <c r="B25" i="16"/>
  <c r="J5" i="16"/>
  <c r="H4" i="16"/>
  <c r="H3" i="16"/>
  <c r="B3" i="16"/>
  <c r="B26" i="13" l="1"/>
  <c r="E26" i="13"/>
  <c r="B27" i="13"/>
  <c r="E27" i="13"/>
  <c r="B28" i="13"/>
  <c r="E28" i="13"/>
  <c r="B29" i="13"/>
  <c r="E29" i="13"/>
  <c r="B30" i="13"/>
  <c r="E30" i="13"/>
  <c r="B25" i="13"/>
  <c r="L5" i="13" l="1"/>
  <c r="N5" i="13"/>
  <c r="P5" i="13"/>
  <c r="B4" i="13" l="1"/>
  <c r="N4" i="13"/>
  <c r="B3" i="13"/>
  <c r="N3" i="13"/>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B10" i="4"/>
  <c r="B11" i="4"/>
  <c r="B12" i="4"/>
  <c r="B13" i="4"/>
  <c r="B14" i="4"/>
  <c r="B15" i="4"/>
  <c r="B48" i="4"/>
  <c r="B54" i="4" s="1"/>
  <c r="B60" i="4" s="1"/>
  <c r="B66" i="4" s="1"/>
  <c r="J27" i="4"/>
  <c r="G42" i="4"/>
  <c r="G48" i="4"/>
  <c r="G54" i="4" s="1"/>
  <c r="G60" i="4" s="1"/>
  <c r="G66" i="4" s="1"/>
  <c r="G43" i="4"/>
  <c r="G49" i="4"/>
  <c r="G55" i="4" s="1"/>
  <c r="G61" i="4" s="1"/>
  <c r="G67" i="4" s="1"/>
  <c r="G44" i="4"/>
  <c r="G50" i="4" s="1"/>
  <c r="G56" i="4" s="1"/>
  <c r="G62" i="4" s="1"/>
  <c r="G68" i="4" s="1"/>
  <c r="G45" i="4"/>
  <c r="G51" i="4"/>
  <c r="G46" i="4"/>
  <c r="L48" i="4"/>
  <c r="L54" i="4" s="1"/>
  <c r="L60" i="4" s="1"/>
  <c r="L66" i="4" s="1"/>
  <c r="G52" i="4"/>
  <c r="G58" i="4"/>
  <c r="G64" i="4" s="1"/>
  <c r="G70" i="4" s="1"/>
  <c r="G57" i="4"/>
  <c r="G63" i="4" s="1"/>
  <c r="G69"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51" i="5" s="1"/>
  <c r="G57" i="5" s="1"/>
  <c r="G63" i="5" s="1"/>
  <c r="G69" i="5" s="1"/>
  <c r="G46" i="5"/>
  <c r="G52" i="5" s="1"/>
  <c r="G58" i="5" s="1"/>
  <c r="G64" i="5" s="1"/>
  <c r="G70" i="5" s="1"/>
  <c r="G48" i="5"/>
  <c r="G54" i="5" s="1"/>
  <c r="G60" i="5" s="1"/>
  <c r="G66" i="5" s="1"/>
  <c r="L48" i="5"/>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c r="G62" i="6" s="1"/>
  <c r="G68" i="6" s="1"/>
  <c r="F1" i="7"/>
  <c r="B2" i="7"/>
  <c r="B3" i="7"/>
  <c r="B6" i="7"/>
  <c r="B7" i="7"/>
  <c r="B8" i="7"/>
  <c r="B9" i="7"/>
  <c r="B10" i="7"/>
  <c r="B11" i="7"/>
  <c r="B12" i="7"/>
  <c r="B13" i="7"/>
  <c r="B14" i="7"/>
  <c r="B15" i="7"/>
  <c r="B48" i="7"/>
  <c r="B54" i="7"/>
  <c r="B60" i="7" s="1"/>
  <c r="B66" i="7" s="1"/>
  <c r="J27" i="7"/>
  <c r="G42" i="7"/>
  <c r="G48" i="7" s="1"/>
  <c r="G54" i="7" s="1"/>
  <c r="G60" i="7" s="1"/>
  <c r="G66" i="7" s="1"/>
  <c r="G43" i="7"/>
  <c r="G49" i="7"/>
  <c r="G44" i="7"/>
  <c r="G45" i="7"/>
  <c r="G51" i="7" s="1"/>
  <c r="G57" i="7" s="1"/>
  <c r="G63" i="7" s="1"/>
  <c r="G69" i="7" s="1"/>
  <c r="G46" i="7"/>
  <c r="L48" i="7"/>
  <c r="L54" i="7" s="1"/>
  <c r="L60" i="7" s="1"/>
  <c r="L66" i="7" s="1"/>
  <c r="G50" i="7"/>
  <c r="G56" i="7"/>
  <c r="G62" i="7" s="1"/>
  <c r="G68" i="7" s="1"/>
  <c r="G52" i="7"/>
  <c r="G58" i="7"/>
  <c r="G64" i="7" s="1"/>
  <c r="G70" i="7" s="1"/>
  <c r="G55" i="7"/>
  <c r="G61" i="7" s="1"/>
  <c r="G67"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51" i="8" s="1"/>
  <c r="G57" i="8" s="1"/>
  <c r="G63" i="8" s="1"/>
  <c r="G69" i="8" s="1"/>
  <c r="G46" i="8"/>
  <c r="G52" i="8"/>
  <c r="G48" i="8"/>
  <c r="G54" i="8"/>
  <c r="G60" i="8" s="1"/>
  <c r="G66" i="8" s="1"/>
  <c r="L48" i="8"/>
  <c r="G50" i="8"/>
  <c r="L54" i="8"/>
  <c r="L60" i="8"/>
  <c r="L66" i="8" s="1"/>
  <c r="G56" i="8"/>
  <c r="G62" i="8" s="1"/>
  <c r="G68" i="8" s="1"/>
  <c r="G58" i="8"/>
  <c r="G64" i="8" s="1"/>
  <c r="G70" i="8" s="1"/>
  <c r="E3" i="9"/>
  <c r="B4" i="9"/>
  <c r="E4" i="9"/>
  <c r="B5" i="9"/>
  <c r="D6" i="9"/>
  <c r="E6" i="9"/>
  <c r="G6" i="9"/>
  <c r="H6" i="9"/>
  <c r="I6" i="9"/>
  <c r="B18" i="9"/>
  <c r="E2" i="10"/>
  <c r="D18" i="10" s="1"/>
  <c r="F2" i="10"/>
  <c r="G2" i="10"/>
  <c r="F18" i="10" s="1"/>
  <c r="H2" i="10"/>
  <c r="G18" i="10" s="1"/>
  <c r="I2" i="10"/>
  <c r="H18" i="10" s="1"/>
  <c r="J2" i="10"/>
  <c r="I18" i="10" s="1"/>
  <c r="B3" i="10"/>
  <c r="F15" i="10"/>
  <c r="B16" i="10"/>
  <c r="F16" i="10"/>
  <c r="B17" i="10"/>
  <c r="C18" i="10"/>
  <c r="E18" i="10"/>
  <c r="J18" i="10"/>
  <c r="B30" i="10"/>
  <c r="A15" i="11"/>
  <c r="F27" i="8" l="1"/>
  <c r="M66" i="8"/>
  <c r="F27" i="2"/>
  <c r="M66" i="2"/>
  <c r="F27" i="6"/>
  <c r="M66" i="6"/>
  <c r="M66" i="5"/>
  <c r="F27" i="5"/>
  <c r="M66" i="3"/>
  <c r="F27" i="3"/>
  <c r="F27" i="7"/>
  <c r="M66" i="7"/>
  <c r="F27" i="4"/>
  <c r="M66" i="4"/>
  <c r="H5" i="16"/>
  <c r="H5" i="13"/>
  <c r="F5" i="16"/>
  <c r="F5" i="13"/>
  <c r="F6" i="9"/>
  <c r="D5" i="16"/>
  <c r="D5" i="13"/>
  <c r="D8" i="16" l="1"/>
  <c r="D8" i="13"/>
  <c r="E7" i="2"/>
  <c r="C8" i="16"/>
  <c r="C8" i="13"/>
  <c r="C7" i="2"/>
  <c r="C7" i="6"/>
  <c r="C7" i="3"/>
  <c r="C7" i="4"/>
  <c r="C7" i="7"/>
  <c r="C7" i="5"/>
  <c r="C7" i="8"/>
  <c r="P7" i="13" l="1"/>
  <c r="L7" i="13"/>
  <c r="E6" i="6"/>
  <c r="I3" i="10"/>
  <c r="D7" i="16"/>
  <c r="D7" i="13"/>
  <c r="E6" i="2"/>
  <c r="E3" i="10"/>
  <c r="P7" i="7"/>
  <c r="C43" i="7"/>
  <c r="C43" i="2"/>
  <c r="P7" i="2"/>
  <c r="D43" i="2"/>
  <c r="N7" i="2"/>
  <c r="N7" i="13"/>
  <c r="J3" i="10"/>
  <c r="E6" i="7"/>
  <c r="J7" i="13"/>
  <c r="H3" i="10"/>
  <c r="E6" i="5"/>
  <c r="P7" i="4"/>
  <c r="C43" i="4"/>
  <c r="H7" i="16"/>
  <c r="H7" i="13"/>
  <c r="G3" i="10"/>
  <c r="E6" i="3"/>
  <c r="C43" i="8"/>
  <c r="P7" i="8"/>
  <c r="P7" i="3"/>
  <c r="C43" i="3"/>
  <c r="F7" i="13"/>
  <c r="F7" i="16"/>
  <c r="F3" i="10"/>
  <c r="E6" i="4"/>
  <c r="C43" i="5"/>
  <c r="P7" i="5"/>
  <c r="P7" i="6"/>
  <c r="C43" i="6"/>
  <c r="K3" i="10" l="1"/>
  <c r="E6" i="8"/>
  <c r="D42" i="8" s="1"/>
  <c r="D48" i="8" s="1"/>
  <c r="D54" i="8" s="1"/>
  <c r="D60" i="8" s="1"/>
  <c r="D66" i="8" s="1"/>
  <c r="J7" i="16"/>
  <c r="C7" i="16"/>
  <c r="C7" i="13"/>
  <c r="D3" i="10"/>
  <c r="C6" i="2"/>
  <c r="C6" i="3"/>
  <c r="C6" i="8"/>
  <c r="C6" i="6"/>
  <c r="C6" i="7"/>
  <c r="C6" i="5"/>
  <c r="C6" i="4"/>
  <c r="D42" i="3"/>
  <c r="D48" i="3" s="1"/>
  <c r="D54" i="3" s="1"/>
  <c r="D60" i="3" s="1"/>
  <c r="D66" i="3" s="1"/>
  <c r="D42" i="7"/>
  <c r="D48" i="7" s="1"/>
  <c r="D54" i="7" s="1"/>
  <c r="D60" i="7" s="1"/>
  <c r="D66" i="7" s="1"/>
  <c r="D42" i="4"/>
  <c r="D48" i="4" s="1"/>
  <c r="D54" i="4" s="1"/>
  <c r="D60" i="4" s="1"/>
  <c r="D66" i="4" s="1"/>
  <c r="J10" i="10"/>
  <c r="J8" i="10"/>
  <c r="J12" i="10"/>
  <c r="J9" i="10"/>
  <c r="J5" i="10"/>
  <c r="J4" i="10"/>
  <c r="J6" i="10"/>
  <c r="J7" i="10"/>
  <c r="J11" i="10"/>
  <c r="E43" i="2"/>
  <c r="D42" i="5"/>
  <c r="D48" i="5" s="1"/>
  <c r="D54" i="5" s="1"/>
  <c r="D60" i="5" s="1"/>
  <c r="D66" i="5" s="1"/>
  <c r="E4" i="10"/>
  <c r="D42" i="6"/>
  <c r="D48" i="6" s="1"/>
  <c r="D54" i="6" s="1"/>
  <c r="D60" i="6" s="1"/>
  <c r="D66" i="6" s="1"/>
  <c r="H9" i="10"/>
  <c r="H7" i="10"/>
  <c r="H11" i="10"/>
  <c r="H4" i="10"/>
  <c r="H12" i="10"/>
  <c r="H8" i="10"/>
  <c r="H6" i="10"/>
  <c r="H5" i="10"/>
  <c r="H10" i="10"/>
  <c r="D42" i="2"/>
  <c r="D48" i="2" s="1"/>
  <c r="D54" i="2" s="1"/>
  <c r="D60" i="2" s="1"/>
  <c r="D66" i="2" s="1"/>
  <c r="F7" i="2" s="1"/>
  <c r="O7" i="2"/>
  <c r="G12" i="10"/>
  <c r="I14" i="17"/>
  <c r="I11" i="10"/>
  <c r="G11" i="10"/>
  <c r="F11" i="10"/>
  <c r="I10" i="10"/>
  <c r="F10" i="10"/>
  <c r="F9" i="10"/>
  <c r="I7" i="10"/>
  <c r="G7" i="10"/>
  <c r="I5" i="10"/>
  <c r="I4" i="10"/>
  <c r="F4" i="10"/>
  <c r="E8" i="10" l="1"/>
  <c r="E11" i="10"/>
  <c r="E10" i="10"/>
  <c r="C16" i="1"/>
  <c r="C17" i="16" s="1"/>
  <c r="E7" i="7"/>
  <c r="F7" i="7" s="1"/>
  <c r="N8" i="13"/>
  <c r="D11" i="16"/>
  <c r="D11" i="13"/>
  <c r="E10" i="2"/>
  <c r="C13" i="16"/>
  <c r="C13" i="13"/>
  <c r="C12" i="4"/>
  <c r="C12" i="8"/>
  <c r="C12" i="6"/>
  <c r="C12" i="2"/>
  <c r="C12" i="7"/>
  <c r="C12" i="3"/>
  <c r="C12" i="5"/>
  <c r="E13" i="7"/>
  <c r="N13" i="7" s="1"/>
  <c r="N14" i="13"/>
  <c r="E8" i="5"/>
  <c r="J9" i="13"/>
  <c r="H14" i="16"/>
  <c r="E13" i="3"/>
  <c r="N13" i="3" s="1"/>
  <c r="H14" i="13"/>
  <c r="C49" i="2"/>
  <c r="B49" i="2"/>
  <c r="L49" i="2"/>
  <c r="D49" i="2"/>
  <c r="C42" i="2"/>
  <c r="Q7" i="2"/>
  <c r="K7" i="2" s="1"/>
  <c r="H8" i="16"/>
  <c r="E7" i="3"/>
  <c r="F7" i="3" s="1"/>
  <c r="H8" i="13"/>
  <c r="C10" i="16"/>
  <c r="C10" i="13"/>
  <c r="C9" i="5"/>
  <c r="P9" i="5" s="1"/>
  <c r="C9" i="4"/>
  <c r="P9" i="4" s="1"/>
  <c r="C9" i="7"/>
  <c r="P9" i="7" s="1"/>
  <c r="C9" i="2"/>
  <c r="P9" i="2" s="1"/>
  <c r="C9" i="3"/>
  <c r="P9" i="3" s="1"/>
  <c r="C9" i="8"/>
  <c r="P9" i="8" s="1"/>
  <c r="C9" i="6"/>
  <c r="P9" i="6" s="1"/>
  <c r="E9" i="6"/>
  <c r="L10" i="13"/>
  <c r="F11" i="16"/>
  <c r="E10" i="4"/>
  <c r="F11" i="13"/>
  <c r="E11" i="6"/>
  <c r="L12" i="13"/>
  <c r="D13" i="16"/>
  <c r="D13" i="13"/>
  <c r="E12" i="2"/>
  <c r="E12" i="6"/>
  <c r="L13" i="13"/>
  <c r="F14" i="16"/>
  <c r="E13" i="4"/>
  <c r="N13" i="4" s="1"/>
  <c r="F14" i="13"/>
  <c r="E14" i="5"/>
  <c r="N14" i="5" s="1"/>
  <c r="J15" i="13"/>
  <c r="C16" i="16"/>
  <c r="C16" i="13"/>
  <c r="C15" i="5"/>
  <c r="P15" i="5" s="1"/>
  <c r="C15" i="7"/>
  <c r="P15" i="7" s="1"/>
  <c r="C15" i="4"/>
  <c r="P15" i="4" s="1"/>
  <c r="C15" i="6"/>
  <c r="P15" i="6" s="1"/>
  <c r="C15" i="2"/>
  <c r="P15" i="2" s="1"/>
  <c r="C15" i="3"/>
  <c r="P15" i="3" s="1"/>
  <c r="C15" i="8"/>
  <c r="P15" i="8" s="1"/>
  <c r="E15" i="7"/>
  <c r="N15" i="7" s="1"/>
  <c r="N16" i="13"/>
  <c r="E8" i="7"/>
  <c r="N9" i="13"/>
  <c r="F16" i="16"/>
  <c r="E15" i="4"/>
  <c r="N15" i="4" s="1"/>
  <c r="F16" i="13"/>
  <c r="E10" i="5"/>
  <c r="J11" i="13"/>
  <c r="E9" i="10"/>
  <c r="G10" i="10"/>
  <c r="C42" i="6"/>
  <c r="Q7" i="6"/>
  <c r="D6" i="10"/>
  <c r="D9" i="10"/>
  <c r="D12" i="10"/>
  <c r="D7" i="10"/>
  <c r="D8" i="10"/>
  <c r="D10" i="10"/>
  <c r="D5" i="10"/>
  <c r="D11" i="10"/>
  <c r="D4" i="10"/>
  <c r="E8" i="6"/>
  <c r="L9" i="13"/>
  <c r="E10" i="7"/>
  <c r="N11" i="13"/>
  <c r="E12" i="5"/>
  <c r="J13" i="13"/>
  <c r="H15" i="16"/>
  <c r="E14" i="3"/>
  <c r="N14" i="3" s="1"/>
  <c r="H15" i="13"/>
  <c r="E15" i="6"/>
  <c r="N15" i="6" s="1"/>
  <c r="L16" i="13"/>
  <c r="H9" i="16"/>
  <c r="E8" i="3"/>
  <c r="H9" i="13"/>
  <c r="D9" i="16"/>
  <c r="D9" i="13"/>
  <c r="E8" i="2"/>
  <c r="Q7" i="7"/>
  <c r="C42" i="7"/>
  <c r="J8" i="13"/>
  <c r="E7" i="5"/>
  <c r="C9" i="16"/>
  <c r="C9" i="13"/>
  <c r="C8" i="6"/>
  <c r="C8" i="8"/>
  <c r="C8" i="2"/>
  <c r="C8" i="3"/>
  <c r="C8" i="4"/>
  <c r="C8" i="7"/>
  <c r="C8" i="5"/>
  <c r="F10" i="16"/>
  <c r="F10" i="13"/>
  <c r="E9" i="4"/>
  <c r="E9" i="7"/>
  <c r="N10" i="13"/>
  <c r="H11" i="16"/>
  <c r="E10" i="3"/>
  <c r="H11" i="13"/>
  <c r="D12" i="16"/>
  <c r="D12" i="13"/>
  <c r="E11" i="2"/>
  <c r="E11" i="7"/>
  <c r="N12" i="13"/>
  <c r="F13" i="16"/>
  <c r="E12" i="4"/>
  <c r="F13" i="13"/>
  <c r="E12" i="7"/>
  <c r="N13" i="13"/>
  <c r="E13" i="5"/>
  <c r="N13" i="5" s="1"/>
  <c r="J14" i="13"/>
  <c r="C15" i="16"/>
  <c r="C15" i="13"/>
  <c r="C14" i="2"/>
  <c r="P14" i="2" s="1"/>
  <c r="C14" i="3"/>
  <c r="P14" i="3" s="1"/>
  <c r="C14" i="5"/>
  <c r="P14" i="5" s="1"/>
  <c r="C14" i="4"/>
  <c r="P14" i="4" s="1"/>
  <c r="C14" i="8"/>
  <c r="P14" i="8" s="1"/>
  <c r="C14" i="6"/>
  <c r="P14" i="6" s="1"/>
  <c r="C14" i="7"/>
  <c r="P14" i="7" s="1"/>
  <c r="E14" i="6"/>
  <c r="N14" i="6" s="1"/>
  <c r="L15" i="13"/>
  <c r="D16" i="16"/>
  <c r="D16" i="13"/>
  <c r="E15" i="2"/>
  <c r="N15" i="2" s="1"/>
  <c r="D10" i="16"/>
  <c r="D10" i="13"/>
  <c r="E9" i="2"/>
  <c r="H12" i="16"/>
  <c r="E11" i="3"/>
  <c r="H12" i="13"/>
  <c r="D15" i="16"/>
  <c r="D15" i="13"/>
  <c r="E14" i="2"/>
  <c r="N14" i="2" s="1"/>
  <c r="C11" i="16"/>
  <c r="C11" i="13"/>
  <c r="C10" i="5"/>
  <c r="P10" i="5" s="1"/>
  <c r="C10" i="7"/>
  <c r="P10" i="7" s="1"/>
  <c r="C10" i="3"/>
  <c r="P10" i="3" s="1"/>
  <c r="C10" i="2"/>
  <c r="P10" i="2" s="1"/>
  <c r="C10" i="8"/>
  <c r="P10" i="8" s="1"/>
  <c r="C10" i="6"/>
  <c r="P10" i="6" s="1"/>
  <c r="C10" i="4"/>
  <c r="P10" i="4" s="1"/>
  <c r="F12" i="10"/>
  <c r="F7" i="10"/>
  <c r="F6" i="10"/>
  <c r="E5" i="10"/>
  <c r="E6" i="10"/>
  <c r="I8" i="10"/>
  <c r="I12" i="10"/>
  <c r="G8" i="10"/>
  <c r="G4" i="10"/>
  <c r="Q7" i="4"/>
  <c r="C42" i="4"/>
  <c r="C42" i="8"/>
  <c r="Q7" i="8"/>
  <c r="F8" i="16"/>
  <c r="E7" i="4"/>
  <c r="F7" i="4" s="1"/>
  <c r="F8" i="13"/>
  <c r="G13" i="17"/>
  <c r="E9" i="5"/>
  <c r="J10" i="13"/>
  <c r="E11" i="5"/>
  <c r="J12" i="13"/>
  <c r="D14" i="16"/>
  <c r="D14" i="13"/>
  <c r="E13" i="2"/>
  <c r="N13" i="2" s="1"/>
  <c r="E7" i="6"/>
  <c r="F7" i="6" s="1"/>
  <c r="L8" i="13"/>
  <c r="F9" i="16"/>
  <c r="E8" i="4"/>
  <c r="F9" i="13"/>
  <c r="H10" i="16"/>
  <c r="E9" i="3"/>
  <c r="N9" i="3" s="1"/>
  <c r="H10" i="13"/>
  <c r="E10" i="6"/>
  <c r="L11" i="13"/>
  <c r="F12" i="16"/>
  <c r="E11" i="4"/>
  <c r="F12" i="13"/>
  <c r="H13" i="16"/>
  <c r="E12" i="3"/>
  <c r="H13" i="13"/>
  <c r="E13" i="6"/>
  <c r="N13" i="6" s="1"/>
  <c r="L14" i="13"/>
  <c r="F15" i="16"/>
  <c r="E14" i="4"/>
  <c r="N14" i="4" s="1"/>
  <c r="F15" i="13"/>
  <c r="E14" i="7"/>
  <c r="N14" i="7" s="1"/>
  <c r="N15" i="13"/>
  <c r="E15" i="5"/>
  <c r="N15" i="5" s="1"/>
  <c r="J16" i="13"/>
  <c r="B16" i="1"/>
  <c r="A14" i="17"/>
  <c r="K14" i="17" s="1"/>
  <c r="C3" i="10"/>
  <c r="L6" i="6"/>
  <c r="D16" i="1"/>
  <c r="I16" i="1"/>
  <c r="L6" i="5"/>
  <c r="F16" i="1"/>
  <c r="C14" i="17"/>
  <c r="J16" i="1"/>
  <c r="H16" i="1"/>
  <c r="G14" i="17"/>
  <c r="D14" i="17"/>
  <c r="L6" i="4"/>
  <c r="B14" i="17"/>
  <c r="L6" i="7"/>
  <c r="G16" i="1"/>
  <c r="L6" i="3"/>
  <c r="F14" i="17"/>
  <c r="L6" i="2"/>
  <c r="E14" i="17"/>
  <c r="L6" i="8"/>
  <c r="E16" i="1"/>
  <c r="C12" i="16"/>
  <c r="C12" i="13"/>
  <c r="C11" i="2"/>
  <c r="C11" i="5"/>
  <c r="C11" i="4"/>
  <c r="C11" i="8"/>
  <c r="C11" i="6"/>
  <c r="C11" i="3"/>
  <c r="C11" i="7"/>
  <c r="C14" i="16"/>
  <c r="C14" i="13"/>
  <c r="C13" i="3"/>
  <c r="P13" i="3" s="1"/>
  <c r="C13" i="8"/>
  <c r="P13" i="8" s="1"/>
  <c r="C13" i="5"/>
  <c r="P13" i="5" s="1"/>
  <c r="C13" i="2"/>
  <c r="P13" i="2" s="1"/>
  <c r="C13" i="4"/>
  <c r="P13" i="4" s="1"/>
  <c r="C13" i="6"/>
  <c r="P13" i="6" s="1"/>
  <c r="C13" i="7"/>
  <c r="P13" i="7" s="1"/>
  <c r="H16" i="16"/>
  <c r="E15" i="3"/>
  <c r="N15" i="3" s="1"/>
  <c r="H16" i="13"/>
  <c r="F8" i="10"/>
  <c r="F5" i="10"/>
  <c r="E12" i="10"/>
  <c r="E7" i="10"/>
  <c r="I9" i="10"/>
  <c r="I6" i="10"/>
  <c r="G9" i="10"/>
  <c r="G5" i="10"/>
  <c r="G6" i="10"/>
  <c r="C42" i="5"/>
  <c r="Q7" i="5"/>
  <c r="Q7" i="3"/>
  <c r="C42" i="3"/>
  <c r="A8" i="17"/>
  <c r="K8" i="17" s="1"/>
  <c r="A7" i="17"/>
  <c r="K7" i="17" s="1"/>
  <c r="A12" i="17"/>
  <c r="K12" i="17" s="1"/>
  <c r="A10" i="17"/>
  <c r="K10" i="17" s="1"/>
  <c r="A9" i="17"/>
  <c r="K9" i="17" s="1"/>
  <c r="A11" i="17"/>
  <c r="K11" i="17" s="1"/>
  <c r="C17" i="13" l="1"/>
  <c r="J13" i="16"/>
  <c r="P13" i="13"/>
  <c r="E12" i="8"/>
  <c r="K9" i="10"/>
  <c r="J24" i="10" s="1"/>
  <c r="P11" i="13"/>
  <c r="J11" i="16"/>
  <c r="E10" i="8"/>
  <c r="N10" i="8" s="1"/>
  <c r="K7" i="10"/>
  <c r="J22" i="10" s="1"/>
  <c r="J16" i="16"/>
  <c r="E15" i="8"/>
  <c r="N15" i="8" s="1"/>
  <c r="P16" i="13"/>
  <c r="K12" i="10"/>
  <c r="J27" i="10" s="1"/>
  <c r="E8" i="8"/>
  <c r="P9" i="13"/>
  <c r="J9" i="16"/>
  <c r="K5" i="10"/>
  <c r="J20" i="10" s="1"/>
  <c r="J15" i="16"/>
  <c r="E14" i="8"/>
  <c r="N14" i="8" s="1"/>
  <c r="P15" i="13"/>
  <c r="K11" i="10"/>
  <c r="J26" i="10" s="1"/>
  <c r="E11" i="8"/>
  <c r="P12" i="13"/>
  <c r="J12" i="16"/>
  <c r="K8" i="10"/>
  <c r="J23" i="10" s="1"/>
  <c r="J14" i="16"/>
  <c r="P14" i="13"/>
  <c r="E13" i="8"/>
  <c r="N13" i="8" s="1"/>
  <c r="K10" i="10"/>
  <c r="J25" i="10" s="1"/>
  <c r="J10" i="16"/>
  <c r="E9" i="8"/>
  <c r="N9" i="8" s="1"/>
  <c r="P10" i="13"/>
  <c r="K6" i="10"/>
  <c r="J21" i="10" s="1"/>
  <c r="J8" i="16"/>
  <c r="E7" i="8"/>
  <c r="P8" i="13"/>
  <c r="K4" i="10"/>
  <c r="J19" i="10" s="1"/>
  <c r="R7" i="2"/>
  <c r="S7" i="2" s="1"/>
  <c r="E7" i="17"/>
  <c r="E49" i="2"/>
  <c r="C55" i="2" s="1"/>
  <c r="L14" i="17"/>
  <c r="E42" i="5"/>
  <c r="C48" i="5"/>
  <c r="D7" i="17"/>
  <c r="C45" i="6"/>
  <c r="P11" i="6"/>
  <c r="P11" i="2"/>
  <c r="C45" i="2"/>
  <c r="Q17" i="13"/>
  <c r="K17" i="16"/>
  <c r="O17" i="13"/>
  <c r="H16" i="9"/>
  <c r="I28" i="10" s="1"/>
  <c r="C8" i="17"/>
  <c r="N12" i="3"/>
  <c r="D46" i="3"/>
  <c r="D45" i="4"/>
  <c r="N11" i="4"/>
  <c r="N10" i="6"/>
  <c r="C12" i="17"/>
  <c r="F13" i="17"/>
  <c r="D45" i="5"/>
  <c r="N11" i="5"/>
  <c r="C13" i="17"/>
  <c r="B8" i="17"/>
  <c r="D10" i="17"/>
  <c r="N9" i="2"/>
  <c r="N12" i="7"/>
  <c r="D46" i="7"/>
  <c r="B10" i="17"/>
  <c r="D11" i="17"/>
  <c r="P8" i="4"/>
  <c r="C44" i="4"/>
  <c r="P8" i="6"/>
  <c r="C44" i="6"/>
  <c r="N7" i="5"/>
  <c r="D43" i="5"/>
  <c r="E43" i="5" s="1"/>
  <c r="F7" i="5"/>
  <c r="O7" i="5"/>
  <c r="D44" i="3"/>
  <c r="N8" i="3"/>
  <c r="G11" i="17"/>
  <c r="D20" i="10"/>
  <c r="C20" i="10"/>
  <c r="G20" i="10"/>
  <c r="F20" i="10"/>
  <c r="I20" i="10"/>
  <c r="H20" i="10"/>
  <c r="E20" i="10"/>
  <c r="G27" i="10"/>
  <c r="C27" i="10"/>
  <c r="H27" i="10"/>
  <c r="I27" i="10"/>
  <c r="E27" i="10"/>
  <c r="D27" i="10"/>
  <c r="F27" i="10"/>
  <c r="C48" i="6"/>
  <c r="E42" i="6"/>
  <c r="C7" i="17"/>
  <c r="G12" i="17"/>
  <c r="E8" i="17"/>
  <c r="D46" i="6"/>
  <c r="N12" i="6"/>
  <c r="C11" i="17"/>
  <c r="E42" i="2"/>
  <c r="C48" i="2"/>
  <c r="P12" i="3"/>
  <c r="C46" i="3"/>
  <c r="C46" i="8"/>
  <c r="P12" i="8"/>
  <c r="B11" i="17"/>
  <c r="L7" i="17"/>
  <c r="L12" i="17"/>
  <c r="I10" i="17"/>
  <c r="P11" i="8"/>
  <c r="C45" i="8"/>
  <c r="K17" i="13"/>
  <c r="F16" i="9"/>
  <c r="G28" i="10" s="1"/>
  <c r="H14" i="17"/>
  <c r="E17" i="13"/>
  <c r="E17" i="16"/>
  <c r="C16" i="9"/>
  <c r="D28" i="10" s="1"/>
  <c r="G8" i="17"/>
  <c r="C48" i="8"/>
  <c r="E42" i="8"/>
  <c r="C9" i="17"/>
  <c r="G10" i="17"/>
  <c r="N11" i="2"/>
  <c r="D45" i="2"/>
  <c r="N9" i="7"/>
  <c r="I12" i="17"/>
  <c r="C44" i="3"/>
  <c r="P8" i="3"/>
  <c r="D8" i="17"/>
  <c r="E9" i="17"/>
  <c r="N8" i="6"/>
  <c r="D44" i="6"/>
  <c r="I25" i="10"/>
  <c r="E25" i="10"/>
  <c r="C25" i="10"/>
  <c r="D25" i="10"/>
  <c r="H25" i="10"/>
  <c r="G25" i="10"/>
  <c r="F25" i="10"/>
  <c r="F24" i="10"/>
  <c r="C24" i="10"/>
  <c r="E24" i="10"/>
  <c r="G24" i="10"/>
  <c r="D24" i="10"/>
  <c r="H24" i="10"/>
  <c r="I24" i="10"/>
  <c r="E11" i="17"/>
  <c r="B9" i="17"/>
  <c r="F10" i="17"/>
  <c r="N9" i="6"/>
  <c r="D43" i="3"/>
  <c r="E43" i="3" s="1"/>
  <c r="N7" i="3"/>
  <c r="O7" i="3"/>
  <c r="E12" i="17"/>
  <c r="C46" i="7"/>
  <c r="P12" i="7"/>
  <c r="C46" i="4"/>
  <c r="P12" i="4"/>
  <c r="N10" i="2"/>
  <c r="L9" i="17"/>
  <c r="L10" i="17"/>
  <c r="E42" i="3"/>
  <c r="C48" i="3"/>
  <c r="C10" i="17"/>
  <c r="F11" i="17"/>
  <c r="N7" i="6"/>
  <c r="D43" i="6"/>
  <c r="E43" i="6" s="1"/>
  <c r="O7" i="6"/>
  <c r="N9" i="5"/>
  <c r="E42" i="4"/>
  <c r="C48" i="4"/>
  <c r="I11" i="17"/>
  <c r="D45" i="3"/>
  <c r="N11" i="3"/>
  <c r="I8" i="17"/>
  <c r="G9" i="17"/>
  <c r="N10" i="3"/>
  <c r="N9" i="4"/>
  <c r="P8" i="5"/>
  <c r="C44" i="5"/>
  <c r="C44" i="2"/>
  <c r="P8" i="2"/>
  <c r="E42" i="7"/>
  <c r="C48" i="7"/>
  <c r="B12" i="17"/>
  <c r="D12" i="17"/>
  <c r="F7" i="17"/>
  <c r="N10" i="7"/>
  <c r="D19" i="10"/>
  <c r="I19" i="10"/>
  <c r="G19" i="10"/>
  <c r="F19" i="10"/>
  <c r="C19" i="10"/>
  <c r="E19" i="10"/>
  <c r="H19" i="10"/>
  <c r="C23" i="10"/>
  <c r="G23" i="10"/>
  <c r="F23" i="10"/>
  <c r="E23" i="10"/>
  <c r="D23" i="10"/>
  <c r="H23" i="10"/>
  <c r="I23" i="10"/>
  <c r="G21" i="10"/>
  <c r="E21" i="10"/>
  <c r="I21" i="10"/>
  <c r="F21" i="10"/>
  <c r="C21" i="10"/>
  <c r="D21" i="10"/>
  <c r="H21" i="10"/>
  <c r="N8" i="7"/>
  <c r="D44" i="7"/>
  <c r="I7" i="17"/>
  <c r="F9" i="17"/>
  <c r="D46" i="2"/>
  <c r="N12" i="2"/>
  <c r="N10" i="4"/>
  <c r="I9" i="17"/>
  <c r="C46" i="2"/>
  <c r="P12" i="2"/>
  <c r="N7" i="7"/>
  <c r="D43" i="7"/>
  <c r="E43" i="7" s="1"/>
  <c r="O7" i="7"/>
  <c r="L8" i="17"/>
  <c r="L11" i="17"/>
  <c r="P11" i="7"/>
  <c r="C45" i="7"/>
  <c r="C45" i="4"/>
  <c r="P11" i="4"/>
  <c r="I17" i="13"/>
  <c r="I17" i="16"/>
  <c r="E16" i="9"/>
  <c r="F28" i="10" s="1"/>
  <c r="D9" i="17"/>
  <c r="N8" i="4"/>
  <c r="D44" i="4"/>
  <c r="E10" i="17"/>
  <c r="D43" i="4"/>
  <c r="E43" i="4" s="1"/>
  <c r="N7" i="4"/>
  <c r="O7" i="4"/>
  <c r="C45" i="3"/>
  <c r="P11" i="3"/>
  <c r="C45" i="5"/>
  <c r="P11" i="5"/>
  <c r="G17" i="13"/>
  <c r="G17" i="16"/>
  <c r="D16" i="9"/>
  <c r="E28" i="10" s="1"/>
  <c r="M17" i="13"/>
  <c r="G16" i="9"/>
  <c r="H28" i="10" s="1"/>
  <c r="C10" i="10"/>
  <c r="C4" i="10"/>
  <c r="C11" i="10"/>
  <c r="C8" i="10"/>
  <c r="C7" i="10"/>
  <c r="C6" i="10"/>
  <c r="C5" i="10"/>
  <c r="C9" i="10"/>
  <c r="C12" i="10"/>
  <c r="A13" i="17"/>
  <c r="K13" i="17" s="1"/>
  <c r="B13" i="17"/>
  <c r="I13" i="17"/>
  <c r="B7" i="17"/>
  <c r="F8" i="17"/>
  <c r="D46" i="4"/>
  <c r="N12" i="4"/>
  <c r="D45" i="7"/>
  <c r="N11" i="7"/>
  <c r="P8" i="7"/>
  <c r="C44" i="7"/>
  <c r="C44" i="8"/>
  <c r="P8" i="8"/>
  <c r="E13" i="17"/>
  <c r="D44" i="2"/>
  <c r="N8" i="2"/>
  <c r="D46" i="5"/>
  <c r="N12" i="5"/>
  <c r="F12" i="17"/>
  <c r="F26" i="10"/>
  <c r="D26" i="10"/>
  <c r="I26" i="10"/>
  <c r="H26" i="10"/>
  <c r="E26" i="10"/>
  <c r="G26" i="10"/>
  <c r="C26" i="10"/>
  <c r="C22" i="10"/>
  <c r="D22" i="10"/>
  <c r="F22" i="10"/>
  <c r="E22" i="10"/>
  <c r="H22" i="10"/>
  <c r="I22" i="10"/>
  <c r="G22" i="10"/>
  <c r="N10" i="5"/>
  <c r="G7" i="17"/>
  <c r="D45" i="6"/>
  <c r="N11" i="6"/>
  <c r="D13" i="17"/>
  <c r="D44" i="5"/>
  <c r="N8" i="5"/>
  <c r="P12" i="5"/>
  <c r="C46" i="5"/>
  <c r="C46" i="6"/>
  <c r="P12" i="6"/>
  <c r="L13" i="17"/>
  <c r="T7" i="2"/>
  <c r="E45" i="4" l="1"/>
  <c r="C51" i="4" s="1"/>
  <c r="U7" i="2"/>
  <c r="J7" i="2" s="1"/>
  <c r="M7" i="2" s="1"/>
  <c r="E45" i="5"/>
  <c r="C51" i="5" s="1"/>
  <c r="E44" i="3"/>
  <c r="D50" i="3" s="1"/>
  <c r="E46" i="3"/>
  <c r="L52" i="3" s="1"/>
  <c r="E46" i="7"/>
  <c r="L52" i="7" s="1"/>
  <c r="E46" i="6"/>
  <c r="L52" i="6" s="1"/>
  <c r="E45" i="3"/>
  <c r="C51" i="3" s="1"/>
  <c r="E46" i="5"/>
  <c r="B52" i="5" s="1"/>
  <c r="D46" i="8"/>
  <c r="E46" i="8" s="1"/>
  <c r="N12" i="8"/>
  <c r="O25" i="8" s="1"/>
  <c r="F7" i="8"/>
  <c r="O7" i="8"/>
  <c r="N7" i="8"/>
  <c r="D43" i="8"/>
  <c r="E43" i="8" s="1"/>
  <c r="N11" i="8"/>
  <c r="D45" i="8"/>
  <c r="E45" i="8" s="1"/>
  <c r="N8" i="8"/>
  <c r="D44" i="8"/>
  <c r="E44" i="8" s="1"/>
  <c r="L55" i="2"/>
  <c r="B55" i="2"/>
  <c r="D55" i="2"/>
  <c r="E55" i="2" s="1"/>
  <c r="H9" i="17"/>
  <c r="H13" i="17"/>
  <c r="E45" i="7"/>
  <c r="E46" i="2"/>
  <c r="O25" i="2"/>
  <c r="E44" i="7"/>
  <c r="E46" i="4"/>
  <c r="T7" i="3"/>
  <c r="R7" i="3"/>
  <c r="S7" i="3" s="1"/>
  <c r="K7" i="3"/>
  <c r="C54" i="2"/>
  <c r="E48" i="2"/>
  <c r="R7" i="5"/>
  <c r="S7" i="5" s="1"/>
  <c r="E44" i="6"/>
  <c r="H11" i="17"/>
  <c r="E45" i="6"/>
  <c r="R7" i="4"/>
  <c r="S7" i="4" s="1"/>
  <c r="K7" i="4"/>
  <c r="T7" i="4"/>
  <c r="D49" i="7"/>
  <c r="B49" i="7"/>
  <c r="L49" i="7"/>
  <c r="C49" i="7"/>
  <c r="H12" i="17"/>
  <c r="E48" i="4"/>
  <c r="C54" i="4"/>
  <c r="C54" i="3"/>
  <c r="E48" i="3"/>
  <c r="L49" i="3"/>
  <c r="B49" i="3"/>
  <c r="C49" i="3"/>
  <c r="D49" i="3"/>
  <c r="H10" i="17"/>
  <c r="E45" i="2"/>
  <c r="H7" i="17"/>
  <c r="O25" i="4"/>
  <c r="B49" i="4"/>
  <c r="D49" i="4"/>
  <c r="C49" i="4"/>
  <c r="L49" i="4"/>
  <c r="R7" i="7"/>
  <c r="S7" i="7" s="1"/>
  <c r="U7" i="7" s="1"/>
  <c r="J7" i="7" s="1"/>
  <c r="K7" i="7"/>
  <c r="T7" i="7"/>
  <c r="E44" i="2"/>
  <c r="D49" i="6"/>
  <c r="L49" i="6"/>
  <c r="C49" i="6"/>
  <c r="B49" i="6"/>
  <c r="C52" i="3"/>
  <c r="D49" i="5"/>
  <c r="B49" i="5"/>
  <c r="L49" i="5"/>
  <c r="C49" i="5"/>
  <c r="E44" i="4"/>
  <c r="E48" i="5"/>
  <c r="C54" i="5"/>
  <c r="D52" i="6"/>
  <c r="O25" i="5"/>
  <c r="L51" i="4"/>
  <c r="E48" i="7"/>
  <c r="C54" i="7"/>
  <c r="E44" i="5"/>
  <c r="T7" i="6"/>
  <c r="K7" i="6"/>
  <c r="R7" i="6"/>
  <c r="S7" i="6" s="1"/>
  <c r="H8" i="17"/>
  <c r="C54" i="8"/>
  <c r="E48" i="8"/>
  <c r="O25" i="6"/>
  <c r="E48" i="6"/>
  <c r="C54" i="6"/>
  <c r="T7" i="5"/>
  <c r="K7" i="5"/>
  <c r="O25" i="7"/>
  <c r="O25" i="3"/>
  <c r="B52" i="6" l="1"/>
  <c r="B50" i="3"/>
  <c r="B51" i="5"/>
  <c r="C52" i="6"/>
  <c r="E52" i="6" s="1"/>
  <c r="L51" i="5"/>
  <c r="D52" i="3"/>
  <c r="E52" i="3" s="1"/>
  <c r="B52" i="7"/>
  <c r="D51" i="5"/>
  <c r="E51" i="5" s="1"/>
  <c r="B57" i="5" s="1"/>
  <c r="D51" i="4"/>
  <c r="E51" i="4" s="1"/>
  <c r="B51" i="4"/>
  <c r="L50" i="3"/>
  <c r="C50" i="3"/>
  <c r="E50" i="3" s="1"/>
  <c r="L7" i="2"/>
  <c r="D52" i="7"/>
  <c r="B52" i="3"/>
  <c r="C52" i="7"/>
  <c r="U7" i="5"/>
  <c r="J7" i="5" s="1"/>
  <c r="M7" i="5" s="1"/>
  <c r="G7" i="5" s="1"/>
  <c r="D52" i="5"/>
  <c r="L52" i="5"/>
  <c r="C52" i="5"/>
  <c r="B51" i="3"/>
  <c r="L51" i="3"/>
  <c r="D51" i="3"/>
  <c r="E51" i="3" s="1"/>
  <c r="C52" i="8"/>
  <c r="D52" i="8"/>
  <c r="B52" i="8"/>
  <c r="L52" i="8"/>
  <c r="D51" i="8"/>
  <c r="C51" i="8"/>
  <c r="B51" i="8"/>
  <c r="L51" i="8"/>
  <c r="L50" i="8"/>
  <c r="B50" i="8"/>
  <c r="C50" i="8"/>
  <c r="D50" i="8"/>
  <c r="C49" i="8"/>
  <c r="B49" i="8"/>
  <c r="D49" i="8"/>
  <c r="L49" i="8"/>
  <c r="T7" i="8"/>
  <c r="R7" i="8"/>
  <c r="S7" i="8" s="1"/>
  <c r="K7" i="8"/>
  <c r="U7" i="6"/>
  <c r="J7" i="6" s="1"/>
  <c r="L7" i="6" s="1"/>
  <c r="E49" i="5"/>
  <c r="B55" i="5" s="1"/>
  <c r="E49" i="4"/>
  <c r="L55" i="4" s="1"/>
  <c r="E49" i="6"/>
  <c r="L55" i="6" s="1"/>
  <c r="E49" i="3"/>
  <c r="L55" i="3" s="1"/>
  <c r="E49" i="7"/>
  <c r="D55" i="7" s="1"/>
  <c r="U7" i="3"/>
  <c r="J7" i="3" s="1"/>
  <c r="M7" i="3" s="1"/>
  <c r="C60" i="6"/>
  <c r="E54" i="6"/>
  <c r="D50" i="4"/>
  <c r="C50" i="4"/>
  <c r="B50" i="4"/>
  <c r="L50" i="4"/>
  <c r="M7" i="7"/>
  <c r="G7" i="7" s="1"/>
  <c r="L7" i="7"/>
  <c r="L51" i="2"/>
  <c r="B51" i="2"/>
  <c r="D51" i="2"/>
  <c r="C51" i="2"/>
  <c r="D50" i="7"/>
  <c r="C50" i="7"/>
  <c r="L50" i="7"/>
  <c r="B50" i="7"/>
  <c r="L50" i="5"/>
  <c r="C50" i="5"/>
  <c r="B50" i="5"/>
  <c r="D50" i="5"/>
  <c r="B50" i="2"/>
  <c r="L50" i="2"/>
  <c r="C50" i="2"/>
  <c r="D50" i="2"/>
  <c r="C60" i="3"/>
  <c r="E54" i="3"/>
  <c r="U7" i="4"/>
  <c r="J7" i="4" s="1"/>
  <c r="E54" i="2"/>
  <c r="C60" i="2"/>
  <c r="B61" i="2"/>
  <c r="L61" i="2"/>
  <c r="D61" i="2"/>
  <c r="C61" i="2"/>
  <c r="E54" i="7"/>
  <c r="C60" i="7"/>
  <c r="C60" i="4"/>
  <c r="E54" i="4"/>
  <c r="L51" i="6"/>
  <c r="B51" i="6"/>
  <c r="C51" i="6"/>
  <c r="D51" i="6"/>
  <c r="B50" i="6"/>
  <c r="C50" i="6"/>
  <c r="L50" i="6"/>
  <c r="D50" i="6"/>
  <c r="B52" i="2"/>
  <c r="D52" i="2"/>
  <c r="C52" i="2"/>
  <c r="L52" i="2"/>
  <c r="N8" i="16"/>
  <c r="T8" i="13"/>
  <c r="L7" i="9"/>
  <c r="E54" i="8"/>
  <c r="C60" i="8"/>
  <c r="C60" i="5"/>
  <c r="E54" i="5"/>
  <c r="B52" i="4"/>
  <c r="D52" i="4"/>
  <c r="L52" i="4"/>
  <c r="C52" i="4"/>
  <c r="L51" i="7"/>
  <c r="D51" i="7"/>
  <c r="C51" i="7"/>
  <c r="B51" i="7"/>
  <c r="E52" i="5" l="1"/>
  <c r="D58" i="5" s="1"/>
  <c r="E52" i="7"/>
  <c r="D58" i="7" s="1"/>
  <c r="L7" i="5"/>
  <c r="W8" i="13" s="1"/>
  <c r="E51" i="8"/>
  <c r="C57" i="8" s="1"/>
  <c r="B58" i="3"/>
  <c r="L58" i="3"/>
  <c r="D58" i="3"/>
  <c r="D57" i="3"/>
  <c r="C57" i="3"/>
  <c r="L57" i="3"/>
  <c r="B57" i="3"/>
  <c r="E52" i="8"/>
  <c r="C58" i="8" s="1"/>
  <c r="D55" i="3"/>
  <c r="D55" i="5"/>
  <c r="M7" i="6"/>
  <c r="G7" i="6" s="1"/>
  <c r="G7" i="9" s="1"/>
  <c r="E50" i="8"/>
  <c r="D56" i="8" s="1"/>
  <c r="U7" i="8"/>
  <c r="J7" i="8" s="1"/>
  <c r="M7" i="8" s="1"/>
  <c r="E49" i="8"/>
  <c r="B55" i="6"/>
  <c r="L7" i="3"/>
  <c r="N7" i="9" s="1"/>
  <c r="D55" i="4"/>
  <c r="C55" i="7"/>
  <c r="E55" i="7" s="1"/>
  <c r="D61" i="7" s="1"/>
  <c r="B55" i="4"/>
  <c r="C55" i="5"/>
  <c r="C55" i="4"/>
  <c r="L55" i="5"/>
  <c r="C58" i="3"/>
  <c r="D55" i="6"/>
  <c r="C55" i="6"/>
  <c r="L57" i="5"/>
  <c r="E52" i="4"/>
  <c r="B58" i="4" s="1"/>
  <c r="C55" i="3"/>
  <c r="B55" i="3"/>
  <c r="C57" i="5"/>
  <c r="L55" i="7"/>
  <c r="D57" i="5"/>
  <c r="B55" i="7"/>
  <c r="E51" i="7"/>
  <c r="B57" i="7" s="1"/>
  <c r="E50" i="7"/>
  <c r="B56" i="7" s="1"/>
  <c r="E52" i="2"/>
  <c r="E51" i="6"/>
  <c r="C66" i="4"/>
  <c r="E60" i="4"/>
  <c r="E61" i="2"/>
  <c r="M7" i="4"/>
  <c r="L7" i="4"/>
  <c r="E50" i="2"/>
  <c r="E51" i="2"/>
  <c r="Q7" i="9"/>
  <c r="Y8" i="13"/>
  <c r="S8" i="16"/>
  <c r="E50" i="4"/>
  <c r="E60" i="5"/>
  <c r="C66" i="5"/>
  <c r="E50" i="6"/>
  <c r="B57" i="8"/>
  <c r="E50" i="5"/>
  <c r="H7" i="9"/>
  <c r="O8" i="13"/>
  <c r="E60" i="6"/>
  <c r="C66" i="6"/>
  <c r="K8" i="13"/>
  <c r="F7" i="9"/>
  <c r="C66" i="8"/>
  <c r="E60" i="8"/>
  <c r="C66" i="7"/>
  <c r="E60" i="7"/>
  <c r="E60" i="2"/>
  <c r="C66" i="2"/>
  <c r="C66" i="3"/>
  <c r="E60" i="3"/>
  <c r="C58" i="6"/>
  <c r="L58" i="6"/>
  <c r="D58" i="6"/>
  <c r="B58" i="6"/>
  <c r="C56" i="3"/>
  <c r="B56" i="3"/>
  <c r="L56" i="3"/>
  <c r="D56" i="3"/>
  <c r="D57" i="4"/>
  <c r="B57" i="4"/>
  <c r="C57" i="4"/>
  <c r="L57" i="4"/>
  <c r="R8" i="16"/>
  <c r="P7" i="9"/>
  <c r="X8" i="13"/>
  <c r="O7" i="9" l="1"/>
  <c r="Q8" i="16"/>
  <c r="C58" i="5"/>
  <c r="E58" i="5" s="1"/>
  <c r="C58" i="7"/>
  <c r="E58" i="7" s="1"/>
  <c r="L57" i="8"/>
  <c r="L58" i="7"/>
  <c r="B58" i="5"/>
  <c r="L58" i="5"/>
  <c r="B58" i="7"/>
  <c r="D57" i="8"/>
  <c r="E57" i="8" s="1"/>
  <c r="E58" i="3"/>
  <c r="D64" i="3" s="1"/>
  <c r="E55" i="4"/>
  <c r="L61" i="4" s="1"/>
  <c r="B56" i="8"/>
  <c r="E55" i="5"/>
  <c r="D61" i="5" s="1"/>
  <c r="E57" i="3"/>
  <c r="D63" i="3" s="1"/>
  <c r="M8" i="13"/>
  <c r="P8" i="16"/>
  <c r="V8" i="13"/>
  <c r="D58" i="8"/>
  <c r="E58" i="8" s="1"/>
  <c r="B58" i="8"/>
  <c r="L57" i="7"/>
  <c r="L58" i="4"/>
  <c r="L58" i="8"/>
  <c r="E55" i="3"/>
  <c r="L61" i="3" s="1"/>
  <c r="C57" i="7"/>
  <c r="D58" i="4"/>
  <c r="C56" i="8"/>
  <c r="E56" i="8" s="1"/>
  <c r="C62" i="8" s="1"/>
  <c r="L7" i="8"/>
  <c r="Z8" i="13" s="1"/>
  <c r="L56" i="8"/>
  <c r="D55" i="8"/>
  <c r="B55" i="8"/>
  <c r="C55" i="8"/>
  <c r="L55" i="8"/>
  <c r="D57" i="7"/>
  <c r="C56" i="7"/>
  <c r="D56" i="7"/>
  <c r="E55" i="6"/>
  <c r="L61" i="6" s="1"/>
  <c r="L56" i="7"/>
  <c r="C58" i="4"/>
  <c r="L61" i="7"/>
  <c r="B61" i="7"/>
  <c r="C61" i="7"/>
  <c r="E61" i="7" s="1"/>
  <c r="E57" i="5"/>
  <c r="B63" i="5" s="1"/>
  <c r="E57" i="4"/>
  <c r="E56" i="3"/>
  <c r="B62" i="3" s="1"/>
  <c r="E66" i="3"/>
  <c r="D7" i="3"/>
  <c r="G7" i="3" s="1"/>
  <c r="E66" i="2"/>
  <c r="D7" i="2"/>
  <c r="G7" i="2" s="1"/>
  <c r="C56" i="4"/>
  <c r="D56" i="4"/>
  <c r="B56" i="4"/>
  <c r="L56" i="4"/>
  <c r="L57" i="2"/>
  <c r="D57" i="2"/>
  <c r="C57" i="2"/>
  <c r="B57" i="2"/>
  <c r="D64" i="5"/>
  <c r="E58" i="6"/>
  <c r="E66" i="8"/>
  <c r="D7" i="8"/>
  <c r="G7" i="8" s="1"/>
  <c r="D7" i="5"/>
  <c r="E66" i="5"/>
  <c r="C67" i="2"/>
  <c r="D8" i="2" s="1"/>
  <c r="D67" i="2"/>
  <c r="B67" i="2"/>
  <c r="L67" i="2"/>
  <c r="D7" i="4"/>
  <c r="G7" i="4" s="1"/>
  <c r="E66" i="4"/>
  <c r="E66" i="7"/>
  <c r="D7" i="7"/>
  <c r="C56" i="2"/>
  <c r="L56" i="2"/>
  <c r="B56" i="2"/>
  <c r="D56" i="2"/>
  <c r="L57" i="6"/>
  <c r="D57" i="6"/>
  <c r="B57" i="6"/>
  <c r="C57" i="6"/>
  <c r="D7" i="6"/>
  <c r="E66" i="6"/>
  <c r="L56" i="5"/>
  <c r="C56" i="5"/>
  <c r="B56" i="5"/>
  <c r="D56" i="5"/>
  <c r="D61" i="4"/>
  <c r="D58" i="2"/>
  <c r="L58" i="2"/>
  <c r="C58" i="2"/>
  <c r="B58" i="2"/>
  <c r="C56" i="6"/>
  <c r="L56" i="6"/>
  <c r="B56" i="6"/>
  <c r="D56" i="6"/>
  <c r="O8" i="16"/>
  <c r="U8" i="13"/>
  <c r="M7" i="9"/>
  <c r="L64" i="5" l="1"/>
  <c r="B64" i="5"/>
  <c r="C64" i="5"/>
  <c r="L64" i="3"/>
  <c r="B64" i="7"/>
  <c r="C64" i="7"/>
  <c r="C61" i="4"/>
  <c r="E61" i="4" s="1"/>
  <c r="L67" i="4" s="1"/>
  <c r="L64" i="7"/>
  <c r="D64" i="7"/>
  <c r="B64" i="3"/>
  <c r="C64" i="3"/>
  <c r="E64" i="3" s="1"/>
  <c r="B61" i="4"/>
  <c r="L64" i="8"/>
  <c r="B61" i="3"/>
  <c r="C61" i="5"/>
  <c r="E61" i="5" s="1"/>
  <c r="D67" i="5" s="1"/>
  <c r="D61" i="3"/>
  <c r="B61" i="5"/>
  <c r="L61" i="5"/>
  <c r="C61" i="6"/>
  <c r="B63" i="3"/>
  <c r="B61" i="6"/>
  <c r="C63" i="3"/>
  <c r="E63" i="3" s="1"/>
  <c r="D69" i="3" s="1"/>
  <c r="D61" i="6"/>
  <c r="L63" i="3"/>
  <c r="C61" i="3"/>
  <c r="T8" i="16"/>
  <c r="B64" i="8"/>
  <c r="C64" i="8"/>
  <c r="D64" i="8"/>
  <c r="E58" i="4"/>
  <c r="D64" i="4" s="1"/>
  <c r="L62" i="8"/>
  <c r="D62" i="8"/>
  <c r="E62" i="8" s="1"/>
  <c r="D68" i="8" s="1"/>
  <c r="B62" i="8"/>
  <c r="L63" i="4"/>
  <c r="E56" i="7"/>
  <c r="D62" i="7" s="1"/>
  <c r="L63" i="5"/>
  <c r="R7" i="9"/>
  <c r="E55" i="8"/>
  <c r="D61" i="8" s="1"/>
  <c r="E57" i="7"/>
  <c r="C63" i="7" s="1"/>
  <c r="B67" i="7"/>
  <c r="M67" i="7" s="1"/>
  <c r="C63" i="4"/>
  <c r="D63" i="4"/>
  <c r="B63" i="4"/>
  <c r="C63" i="5"/>
  <c r="D63" i="5"/>
  <c r="D62" i="3"/>
  <c r="C67" i="7"/>
  <c r="D8" i="7" s="1"/>
  <c r="L67" i="7"/>
  <c r="D67" i="7"/>
  <c r="F8" i="7" s="1"/>
  <c r="C62" i="3"/>
  <c r="L62" i="3"/>
  <c r="E56" i="4"/>
  <c r="L62" i="4" s="1"/>
  <c r="E56" i="6"/>
  <c r="B62" i="6" s="1"/>
  <c r="E58" i="2"/>
  <c r="B64" i="2" s="1"/>
  <c r="E67" i="2"/>
  <c r="O8" i="2"/>
  <c r="F8" i="2"/>
  <c r="L63" i="8"/>
  <c r="C63" i="8"/>
  <c r="B63" i="8"/>
  <c r="D63" i="8"/>
  <c r="G8" i="16"/>
  <c r="D7" i="9"/>
  <c r="G8" i="13"/>
  <c r="K8" i="16"/>
  <c r="I7" i="9"/>
  <c r="Q8" i="13"/>
  <c r="E8" i="16"/>
  <c r="E8" i="13"/>
  <c r="C7" i="9"/>
  <c r="E57" i="6"/>
  <c r="E56" i="2"/>
  <c r="Q8" i="2"/>
  <c r="E64" i="5"/>
  <c r="L70" i="5" s="1"/>
  <c r="E57" i="2"/>
  <c r="F28" i="2"/>
  <c r="M67" i="2"/>
  <c r="B64" i="6"/>
  <c r="L64" i="6"/>
  <c r="C64" i="6"/>
  <c r="D64" i="6"/>
  <c r="I8" i="16"/>
  <c r="I8" i="13"/>
  <c r="E7" i="9"/>
  <c r="E56" i="5"/>
  <c r="E64" i="7" l="1"/>
  <c r="B70" i="3"/>
  <c r="M70" i="3" s="1"/>
  <c r="E61" i="6"/>
  <c r="C67" i="6" s="1"/>
  <c r="D8" i="6" s="1"/>
  <c r="E61" i="3"/>
  <c r="D67" i="3" s="1"/>
  <c r="F8" i="3" s="1"/>
  <c r="C64" i="4"/>
  <c r="E64" i="4" s="1"/>
  <c r="L64" i="4"/>
  <c r="B64" i="4"/>
  <c r="B67" i="5"/>
  <c r="F28" i="5" s="1"/>
  <c r="C67" i="5"/>
  <c r="D8" i="5" s="1"/>
  <c r="L67" i="5"/>
  <c r="O8" i="5" s="1"/>
  <c r="D62" i="4"/>
  <c r="B62" i="4"/>
  <c r="E64" i="8"/>
  <c r="L70" i="8" s="1"/>
  <c r="L62" i="7"/>
  <c r="C62" i="7"/>
  <c r="E62" i="7" s="1"/>
  <c r="C64" i="2"/>
  <c r="E62" i="3"/>
  <c r="B68" i="3" s="1"/>
  <c r="L61" i="8"/>
  <c r="F28" i="7"/>
  <c r="L68" i="8"/>
  <c r="O11" i="8" s="1"/>
  <c r="E63" i="4"/>
  <c r="B69" i="4" s="1"/>
  <c r="M69" i="4" s="1"/>
  <c r="B62" i="7"/>
  <c r="B61" i="8"/>
  <c r="B63" i="7"/>
  <c r="B70" i="7"/>
  <c r="F33" i="7" s="1"/>
  <c r="C61" i="8"/>
  <c r="E61" i="8" s="1"/>
  <c r="B69" i="3"/>
  <c r="M69" i="3" s="1"/>
  <c r="D63" i="7"/>
  <c r="E63" i="7" s="1"/>
  <c r="L63" i="7"/>
  <c r="L70" i="7" s="1"/>
  <c r="C70" i="7"/>
  <c r="L64" i="2"/>
  <c r="L70" i="3"/>
  <c r="C69" i="3"/>
  <c r="D12" i="3" s="1"/>
  <c r="E63" i="5"/>
  <c r="L69" i="5" s="1"/>
  <c r="Q8" i="7"/>
  <c r="D64" i="2"/>
  <c r="L69" i="3"/>
  <c r="O12" i="3" s="1"/>
  <c r="B68" i="8"/>
  <c r="F30" i="8" s="1"/>
  <c r="D70" i="3"/>
  <c r="B70" i="5"/>
  <c r="F33" i="5" s="1"/>
  <c r="O8" i="7"/>
  <c r="C68" i="8"/>
  <c r="C62" i="4"/>
  <c r="C70" i="3"/>
  <c r="D13" i="3" s="1"/>
  <c r="E67" i="7"/>
  <c r="D62" i="6"/>
  <c r="D67" i="4"/>
  <c r="C67" i="4"/>
  <c r="Q8" i="4" s="1"/>
  <c r="B67" i="4"/>
  <c r="M67" i="4" s="1"/>
  <c r="C62" i="6"/>
  <c r="L62" i="6"/>
  <c r="C63" i="6"/>
  <c r="L63" i="6"/>
  <c r="D63" i="6"/>
  <c r="B63" i="6"/>
  <c r="C62" i="5"/>
  <c r="B62" i="5"/>
  <c r="L62" i="5"/>
  <c r="D62" i="5"/>
  <c r="F8" i="5"/>
  <c r="F10" i="8"/>
  <c r="F9" i="8"/>
  <c r="F11" i="8"/>
  <c r="C62" i="2"/>
  <c r="L62" i="2"/>
  <c r="B62" i="2"/>
  <c r="D62" i="2"/>
  <c r="F15" i="3"/>
  <c r="F12" i="3"/>
  <c r="E63" i="8"/>
  <c r="E64" i="6"/>
  <c r="C63" i="2"/>
  <c r="L63" i="2"/>
  <c r="B63" i="2"/>
  <c r="D63" i="2"/>
  <c r="D70" i="5"/>
  <c r="C70" i="5"/>
  <c r="R8" i="2"/>
  <c r="S8" i="2" s="1"/>
  <c r="K8" i="2"/>
  <c r="T8" i="2"/>
  <c r="B67" i="3" l="1"/>
  <c r="F28" i="3" s="1"/>
  <c r="F34" i="3"/>
  <c r="F33" i="3"/>
  <c r="B67" i="6"/>
  <c r="M67" i="6" s="1"/>
  <c r="D67" i="6"/>
  <c r="E67" i="6" s="1"/>
  <c r="L67" i="6"/>
  <c r="Q8" i="6" s="1"/>
  <c r="C67" i="3"/>
  <c r="D8" i="3" s="1"/>
  <c r="L67" i="3"/>
  <c r="O8" i="3" s="1"/>
  <c r="E67" i="5"/>
  <c r="M67" i="5"/>
  <c r="L68" i="3"/>
  <c r="C68" i="3"/>
  <c r="D9" i="3" s="1"/>
  <c r="E62" i="4"/>
  <c r="D68" i="4" s="1"/>
  <c r="D68" i="3"/>
  <c r="Q8" i="5"/>
  <c r="K8" i="5" s="1"/>
  <c r="B69" i="5"/>
  <c r="F35" i="5" s="1"/>
  <c r="D70" i="8"/>
  <c r="F13" i="8" s="1"/>
  <c r="E64" i="2"/>
  <c r="D70" i="2" s="1"/>
  <c r="B70" i="8"/>
  <c r="F29" i="8"/>
  <c r="L68" i="7"/>
  <c r="C68" i="7"/>
  <c r="D11" i="7" s="1"/>
  <c r="B68" i="7"/>
  <c r="M68" i="7" s="1"/>
  <c r="Q11" i="8"/>
  <c r="T11" i="8" s="1"/>
  <c r="C70" i="8"/>
  <c r="D14" i="8" s="1"/>
  <c r="M70" i="5"/>
  <c r="D14" i="3"/>
  <c r="F35" i="4"/>
  <c r="F35" i="3"/>
  <c r="E70" i="3"/>
  <c r="Q14" i="3"/>
  <c r="D68" i="7"/>
  <c r="F10" i="7" s="1"/>
  <c r="F34" i="5"/>
  <c r="D15" i="3"/>
  <c r="O13" i="3"/>
  <c r="F14" i="3"/>
  <c r="O10" i="8"/>
  <c r="O9" i="8"/>
  <c r="Q9" i="8"/>
  <c r="F32" i="3"/>
  <c r="D69" i="4"/>
  <c r="F32" i="4"/>
  <c r="L69" i="4"/>
  <c r="M68" i="8"/>
  <c r="C69" i="4"/>
  <c r="D12" i="4" s="1"/>
  <c r="F34" i="7"/>
  <c r="M70" i="7"/>
  <c r="C69" i="5"/>
  <c r="D15" i="5" s="1"/>
  <c r="D69" i="5"/>
  <c r="O12" i="5" s="1"/>
  <c r="K8" i="7"/>
  <c r="D70" i="7"/>
  <c r="E70" i="7" s="1"/>
  <c r="O14" i="3"/>
  <c r="D69" i="7"/>
  <c r="F15" i="7" s="1"/>
  <c r="L69" i="7"/>
  <c r="C69" i="7"/>
  <c r="D12" i="7" s="1"/>
  <c r="B69" i="7"/>
  <c r="F32" i="7" s="1"/>
  <c r="Q14" i="7"/>
  <c r="D14" i="7"/>
  <c r="D13" i="7"/>
  <c r="Q13" i="7"/>
  <c r="Q15" i="3"/>
  <c r="Q13" i="3"/>
  <c r="F31" i="8"/>
  <c r="E69" i="3"/>
  <c r="R8" i="7"/>
  <c r="S8" i="7" s="1"/>
  <c r="D67" i="8"/>
  <c r="C67" i="8"/>
  <c r="B67" i="8"/>
  <c r="L67" i="8"/>
  <c r="Q12" i="3"/>
  <c r="T12" i="3" s="1"/>
  <c r="O15" i="3"/>
  <c r="T8" i="7"/>
  <c r="F28" i="4"/>
  <c r="D8" i="4"/>
  <c r="F13" i="3"/>
  <c r="D9" i="8"/>
  <c r="E62" i="6"/>
  <c r="B68" i="6" s="1"/>
  <c r="E67" i="4"/>
  <c r="Q10" i="8"/>
  <c r="E68" i="8"/>
  <c r="D11" i="8"/>
  <c r="D10" i="8"/>
  <c r="F8" i="4"/>
  <c r="O8" i="4"/>
  <c r="R8" i="4" s="1"/>
  <c r="S8" i="4" s="1"/>
  <c r="E62" i="5"/>
  <c r="B68" i="5" s="1"/>
  <c r="E63" i="2"/>
  <c r="C69" i="2" s="1"/>
  <c r="E63" i="6"/>
  <c r="D69" i="6" s="1"/>
  <c r="E62" i="2"/>
  <c r="D68" i="2" s="1"/>
  <c r="U8" i="2"/>
  <c r="J8" i="2" s="1"/>
  <c r="M8" i="2" s="1"/>
  <c r="G8" i="2" s="1"/>
  <c r="L70" i="6"/>
  <c r="C70" i="6"/>
  <c r="B70" i="6"/>
  <c r="D70" i="6"/>
  <c r="L69" i="8"/>
  <c r="C69" i="8"/>
  <c r="B69" i="8"/>
  <c r="D69" i="8"/>
  <c r="M68" i="3"/>
  <c r="F31" i="3"/>
  <c r="F29" i="3"/>
  <c r="F30" i="3"/>
  <c r="Q14" i="5"/>
  <c r="E70" i="5"/>
  <c r="D14" i="5"/>
  <c r="Q13" i="5"/>
  <c r="D13" i="5"/>
  <c r="B70" i="4"/>
  <c r="C70" i="4"/>
  <c r="D70" i="4"/>
  <c r="L70" i="4"/>
  <c r="F14" i="5"/>
  <c r="O13" i="5"/>
  <c r="F13" i="5"/>
  <c r="O14" i="5"/>
  <c r="F28" i="6" l="1"/>
  <c r="M67" i="3"/>
  <c r="F8" i="6"/>
  <c r="F29" i="7"/>
  <c r="B68" i="4"/>
  <c r="F29" i="4" s="1"/>
  <c r="C68" i="4"/>
  <c r="E68" i="4" s="1"/>
  <c r="Q8" i="3"/>
  <c r="T8" i="3" s="1"/>
  <c r="O8" i="6"/>
  <c r="T8" i="6" s="1"/>
  <c r="O11" i="3"/>
  <c r="K11" i="8"/>
  <c r="O10" i="3"/>
  <c r="L68" i="4"/>
  <c r="R11" i="8"/>
  <c r="S11" i="8" s="1"/>
  <c r="U11" i="8" s="1"/>
  <c r="J11" i="8" s="1"/>
  <c r="F10" i="3"/>
  <c r="E67" i="3"/>
  <c r="F32" i="5"/>
  <c r="D11" i="3"/>
  <c r="M69" i="5"/>
  <c r="O13" i="8"/>
  <c r="O9" i="3"/>
  <c r="O15" i="7"/>
  <c r="Q14" i="8"/>
  <c r="Q10" i="3"/>
  <c r="F11" i="3"/>
  <c r="F9" i="3"/>
  <c r="Q9" i="3"/>
  <c r="R14" i="3"/>
  <c r="S14" i="3" s="1"/>
  <c r="T8" i="5"/>
  <c r="D15" i="7"/>
  <c r="O9" i="7"/>
  <c r="E68" i="3"/>
  <c r="D10" i="3"/>
  <c r="Q11" i="3"/>
  <c r="D10" i="7"/>
  <c r="F9" i="7"/>
  <c r="M69" i="7"/>
  <c r="R13" i="3"/>
  <c r="S13" i="3" s="1"/>
  <c r="B70" i="2"/>
  <c r="F33" i="2" s="1"/>
  <c r="E68" i="7"/>
  <c r="Q10" i="7"/>
  <c r="F35" i="7"/>
  <c r="Q11" i="7"/>
  <c r="D9" i="7"/>
  <c r="C70" i="2"/>
  <c r="D13" i="2" s="1"/>
  <c r="R8" i="5"/>
  <c r="S8" i="5" s="1"/>
  <c r="F11" i="7"/>
  <c r="R8" i="3"/>
  <c r="S8" i="3" s="1"/>
  <c r="L70" i="2"/>
  <c r="Q9" i="7"/>
  <c r="K10" i="8"/>
  <c r="Q15" i="5"/>
  <c r="C69" i="6"/>
  <c r="D12" i="6" s="1"/>
  <c r="F31" i="7"/>
  <c r="F12" i="7"/>
  <c r="F14" i="8"/>
  <c r="O14" i="8"/>
  <c r="F34" i="8"/>
  <c r="M70" i="8"/>
  <c r="F33" i="8"/>
  <c r="F30" i="7"/>
  <c r="R12" i="3"/>
  <c r="S12" i="3" s="1"/>
  <c r="U12" i="3" s="1"/>
  <c r="J12" i="3" s="1"/>
  <c r="M12" i="3" s="1"/>
  <c r="O10" i="7"/>
  <c r="D15" i="4"/>
  <c r="O11" i="7"/>
  <c r="D13" i="8"/>
  <c r="E70" i="8"/>
  <c r="E69" i="4"/>
  <c r="O12" i="7"/>
  <c r="Q13" i="8"/>
  <c r="F13" i="7"/>
  <c r="D12" i="5"/>
  <c r="Q12" i="5"/>
  <c r="K12" i="5" s="1"/>
  <c r="T13" i="3"/>
  <c r="K15" i="3"/>
  <c r="K13" i="3"/>
  <c r="K14" i="3"/>
  <c r="U8" i="7"/>
  <c r="J8" i="7" s="1"/>
  <c r="L8" i="7" s="1"/>
  <c r="Y9" i="13" s="1"/>
  <c r="Q12" i="7"/>
  <c r="E69" i="5"/>
  <c r="Q12" i="4"/>
  <c r="K12" i="3"/>
  <c r="T14" i="3"/>
  <c r="T9" i="8"/>
  <c r="K9" i="8"/>
  <c r="R9" i="8"/>
  <c r="S9" i="8" s="1"/>
  <c r="E69" i="7"/>
  <c r="R15" i="3"/>
  <c r="S15" i="3" s="1"/>
  <c r="O15" i="5"/>
  <c r="Q15" i="4"/>
  <c r="Q15" i="7"/>
  <c r="T15" i="3"/>
  <c r="F15" i="5"/>
  <c r="O15" i="4"/>
  <c r="O12" i="4"/>
  <c r="F12" i="4"/>
  <c r="F15" i="4"/>
  <c r="F12" i="5"/>
  <c r="F14" i="7"/>
  <c r="L8" i="2"/>
  <c r="N9" i="16" s="1"/>
  <c r="O13" i="7"/>
  <c r="T13" i="7" s="1"/>
  <c r="O14" i="7"/>
  <c r="T14" i="7" s="1"/>
  <c r="L68" i="6"/>
  <c r="M67" i="8"/>
  <c r="F28" i="8"/>
  <c r="D8" i="8"/>
  <c r="E67" i="8"/>
  <c r="Q8" i="8"/>
  <c r="O8" i="8"/>
  <c r="F8" i="8"/>
  <c r="C68" i="6"/>
  <c r="T10" i="8"/>
  <c r="R10" i="8"/>
  <c r="S10" i="8" s="1"/>
  <c r="D68" i="6"/>
  <c r="C68" i="2"/>
  <c r="D11" i="2" s="1"/>
  <c r="C68" i="5"/>
  <c r="D10" i="5" s="1"/>
  <c r="B68" i="2"/>
  <c r="F31" i="2" s="1"/>
  <c r="B69" i="2"/>
  <c r="M69" i="2" s="1"/>
  <c r="L69" i="2"/>
  <c r="Q12" i="2" s="1"/>
  <c r="K8" i="4"/>
  <c r="T8" i="4"/>
  <c r="U8" i="4" s="1"/>
  <c r="J8" i="4" s="1"/>
  <c r="L69" i="6"/>
  <c r="O12" i="6" s="1"/>
  <c r="L68" i="5"/>
  <c r="B69" i="6"/>
  <c r="M69" i="6" s="1"/>
  <c r="D68" i="5"/>
  <c r="F9" i="5" s="1"/>
  <c r="L68" i="2"/>
  <c r="D69" i="2"/>
  <c r="F12" i="2" s="1"/>
  <c r="F34" i="4"/>
  <c r="M70" i="4"/>
  <c r="F33" i="4"/>
  <c r="R14" i="5"/>
  <c r="S14" i="5" s="1"/>
  <c r="K14" i="5"/>
  <c r="T14" i="5"/>
  <c r="F14" i="4"/>
  <c r="O14" i="4"/>
  <c r="F13" i="4"/>
  <c r="O13" i="4"/>
  <c r="F9" i="2"/>
  <c r="F11" i="2"/>
  <c r="F10" i="2"/>
  <c r="Q15" i="8"/>
  <c r="Q12" i="8"/>
  <c r="D12" i="8"/>
  <c r="D15" i="8"/>
  <c r="E69" i="8"/>
  <c r="D15" i="2"/>
  <c r="D12" i="2"/>
  <c r="F31" i="6"/>
  <c r="F30" i="6"/>
  <c r="M68" i="6"/>
  <c r="F29" i="6"/>
  <c r="D13" i="4"/>
  <c r="E70" i="4"/>
  <c r="Q13" i="4"/>
  <c r="D14" i="4"/>
  <c r="Q14" i="4"/>
  <c r="F12" i="6"/>
  <c r="F15" i="6"/>
  <c r="F13" i="6"/>
  <c r="O14" i="6"/>
  <c r="O13" i="6"/>
  <c r="F14" i="6"/>
  <c r="R13" i="5"/>
  <c r="S13" i="5" s="1"/>
  <c r="K13" i="5"/>
  <c r="T13" i="5"/>
  <c r="F11" i="4"/>
  <c r="F10" i="4"/>
  <c r="F9" i="4"/>
  <c r="F14" i="2"/>
  <c r="F13" i="2"/>
  <c r="F15" i="8"/>
  <c r="F12" i="8"/>
  <c r="O12" i="8"/>
  <c r="O15" i="8"/>
  <c r="E9" i="16"/>
  <c r="C8" i="9"/>
  <c r="E9" i="13"/>
  <c r="F34" i="6"/>
  <c r="M70" i="6"/>
  <c r="F33" i="6"/>
  <c r="F30" i="5"/>
  <c r="F29" i="5"/>
  <c r="F31" i="5"/>
  <c r="M68" i="5"/>
  <c r="F35" i="8"/>
  <c r="M69" i="8"/>
  <c r="F32" i="8"/>
  <c r="Q14" i="6"/>
  <c r="Q13" i="6"/>
  <c r="D13" i="6"/>
  <c r="E70" i="6"/>
  <c r="D14" i="6"/>
  <c r="Q9" i="4" l="1"/>
  <c r="F30" i="4"/>
  <c r="M68" i="4"/>
  <c r="F31" i="4"/>
  <c r="D10" i="4"/>
  <c r="D11" i="4"/>
  <c r="U14" i="5"/>
  <c r="J14" i="5" s="1"/>
  <c r="M14" i="5" s="1"/>
  <c r="G14" i="5" s="1"/>
  <c r="Q11" i="4"/>
  <c r="D9" i="4"/>
  <c r="K8" i="3"/>
  <c r="K11" i="3"/>
  <c r="U13" i="5"/>
  <c r="J13" i="5" s="1"/>
  <c r="L13" i="5" s="1"/>
  <c r="K8" i="6"/>
  <c r="D14" i="2"/>
  <c r="R8" i="6"/>
  <c r="S8" i="6" s="1"/>
  <c r="U8" i="6" s="1"/>
  <c r="J8" i="6" s="1"/>
  <c r="T14" i="8"/>
  <c r="R10" i="3"/>
  <c r="S10" i="3" s="1"/>
  <c r="T10" i="3"/>
  <c r="D15" i="6"/>
  <c r="O10" i="4"/>
  <c r="K10" i="3"/>
  <c r="O9" i="4"/>
  <c r="K9" i="4" s="1"/>
  <c r="O11" i="4"/>
  <c r="T11" i="4" s="1"/>
  <c r="M70" i="2"/>
  <c r="E70" i="2"/>
  <c r="U8" i="5"/>
  <c r="J8" i="5" s="1"/>
  <c r="M8" i="5" s="1"/>
  <c r="G8" i="5" s="1"/>
  <c r="R11" i="3"/>
  <c r="S11" i="3" s="1"/>
  <c r="Q10" i="4"/>
  <c r="R15" i="7"/>
  <c r="S15" i="7" s="1"/>
  <c r="R9" i="3"/>
  <c r="S9" i="3" s="1"/>
  <c r="R10" i="7"/>
  <c r="S10" i="7" s="1"/>
  <c r="T9" i="13"/>
  <c r="R15" i="5"/>
  <c r="S15" i="5" s="1"/>
  <c r="T9" i="3"/>
  <c r="K9" i="3"/>
  <c r="Q10" i="6"/>
  <c r="T15" i="4"/>
  <c r="U8" i="3"/>
  <c r="J8" i="3" s="1"/>
  <c r="M8" i="3" s="1"/>
  <c r="G8" i="3" s="1"/>
  <c r="I9" i="13" s="1"/>
  <c r="R13" i="8"/>
  <c r="S13" i="8" s="1"/>
  <c r="T9" i="7"/>
  <c r="R12" i="7"/>
  <c r="S12" i="7" s="1"/>
  <c r="Q14" i="2"/>
  <c r="K15" i="5"/>
  <c r="O14" i="2"/>
  <c r="T11" i="3"/>
  <c r="E69" i="6"/>
  <c r="R14" i="8"/>
  <c r="S14" i="8" s="1"/>
  <c r="R11" i="7"/>
  <c r="S11" i="7" s="1"/>
  <c r="R12" i="5"/>
  <c r="S12" i="5" s="1"/>
  <c r="F34" i="2"/>
  <c r="D9" i="6"/>
  <c r="K15" i="4"/>
  <c r="L8" i="9"/>
  <c r="D9" i="5"/>
  <c r="O9" i="6"/>
  <c r="U13" i="3"/>
  <c r="J13" i="3" s="1"/>
  <c r="M13" i="3" s="1"/>
  <c r="G13" i="3" s="1"/>
  <c r="I14" i="13" s="1"/>
  <c r="K11" i="7"/>
  <c r="T15" i="7"/>
  <c r="K10" i="7"/>
  <c r="F29" i="2"/>
  <c r="T10" i="7"/>
  <c r="T12" i="5"/>
  <c r="R15" i="4"/>
  <c r="S15" i="4" s="1"/>
  <c r="T11" i="7"/>
  <c r="F30" i="2"/>
  <c r="K13" i="8"/>
  <c r="T12" i="7"/>
  <c r="F10" i="6"/>
  <c r="F9" i="6"/>
  <c r="O11" i="6"/>
  <c r="T13" i="8"/>
  <c r="Q11" i="6"/>
  <c r="R9" i="7"/>
  <c r="S9" i="7" s="1"/>
  <c r="Q8" i="9"/>
  <c r="O10" i="6"/>
  <c r="M68" i="2"/>
  <c r="F11" i="6"/>
  <c r="K15" i="7"/>
  <c r="Q9" i="6"/>
  <c r="D11" i="6"/>
  <c r="O15" i="6"/>
  <c r="K9" i="7"/>
  <c r="Q13" i="2"/>
  <c r="M8" i="7"/>
  <c r="G8" i="7" s="1"/>
  <c r="O9" i="13" s="1"/>
  <c r="K12" i="7"/>
  <c r="K14" i="8"/>
  <c r="D10" i="6"/>
  <c r="O13" i="2"/>
  <c r="S9" i="16"/>
  <c r="U14" i="3"/>
  <c r="J14" i="3" s="1"/>
  <c r="N30" i="3" s="1"/>
  <c r="G12" i="3"/>
  <c r="E12" i="9" s="1"/>
  <c r="Q15" i="2"/>
  <c r="U15" i="3"/>
  <c r="J15" i="3" s="1"/>
  <c r="L15" i="3" s="1"/>
  <c r="P16" i="16" s="1"/>
  <c r="R12" i="4"/>
  <c r="S12" i="4" s="1"/>
  <c r="Q15" i="6"/>
  <c r="Q12" i="6"/>
  <c r="K12" i="6" s="1"/>
  <c r="T15" i="5"/>
  <c r="D11" i="5"/>
  <c r="F10" i="5"/>
  <c r="U9" i="8"/>
  <c r="J9" i="8" s="1"/>
  <c r="M9" i="8" s="1"/>
  <c r="G9" i="8" s="1"/>
  <c r="K10" i="16" s="1"/>
  <c r="E68" i="5"/>
  <c r="T12" i="4"/>
  <c r="K12" i="4"/>
  <c r="R13" i="7"/>
  <c r="S13" i="7" s="1"/>
  <c r="U13" i="7" s="1"/>
  <c r="J13" i="7" s="1"/>
  <c r="M13" i="7" s="1"/>
  <c r="G13" i="7" s="1"/>
  <c r="O14" i="13" s="1"/>
  <c r="K13" i="7"/>
  <c r="R14" i="7"/>
  <c r="S14" i="7" s="1"/>
  <c r="U14" i="7" s="1"/>
  <c r="J14" i="7" s="1"/>
  <c r="K14" i="7"/>
  <c r="O9" i="5"/>
  <c r="Q10" i="5"/>
  <c r="E68" i="6"/>
  <c r="U10" i="8"/>
  <c r="J10" i="8" s="1"/>
  <c r="L10" i="8" s="1"/>
  <c r="Z11" i="13" s="1"/>
  <c r="F11" i="5"/>
  <c r="Q11" i="5"/>
  <c r="R8" i="8"/>
  <c r="S8" i="8" s="1"/>
  <c r="K8" i="8"/>
  <c r="T8" i="8"/>
  <c r="O12" i="2"/>
  <c r="K12" i="2" s="1"/>
  <c r="O10" i="5"/>
  <c r="O11" i="5"/>
  <c r="F32" i="2"/>
  <c r="F15" i="2"/>
  <c r="E69" i="2"/>
  <c r="D9" i="2"/>
  <c r="O15" i="2"/>
  <c r="F35" i="2"/>
  <c r="E68" i="2"/>
  <c r="Q10" i="2"/>
  <c r="Q9" i="5"/>
  <c r="D10" i="2"/>
  <c r="O10" i="2"/>
  <c r="F32" i="6"/>
  <c r="F35" i="6"/>
  <c r="L12" i="3"/>
  <c r="N12" i="9" s="1"/>
  <c r="O9" i="2"/>
  <c r="Q9" i="2"/>
  <c r="O11" i="2"/>
  <c r="Q11" i="2"/>
  <c r="R12" i="8"/>
  <c r="S12" i="8" s="1"/>
  <c r="K12" i="8"/>
  <c r="T12" i="8"/>
  <c r="R14" i="6"/>
  <c r="S14" i="6" s="1"/>
  <c r="K14" i="6"/>
  <c r="T14" i="6"/>
  <c r="M8" i="4"/>
  <c r="G8" i="4" s="1"/>
  <c r="L8" i="4"/>
  <c r="T15" i="8"/>
  <c r="R15" i="8"/>
  <c r="S15" i="8" s="1"/>
  <c r="K15" i="8"/>
  <c r="K14" i="4"/>
  <c r="R14" i="4"/>
  <c r="S14" i="4" s="1"/>
  <c r="T14" i="4"/>
  <c r="M13" i="5"/>
  <c r="G13" i="5" s="1"/>
  <c r="T13" i="6"/>
  <c r="K13" i="6"/>
  <c r="R13" i="6"/>
  <c r="S13" i="6" s="1"/>
  <c r="R13" i="4"/>
  <c r="S13" i="4" s="1"/>
  <c r="T13" i="4"/>
  <c r="K13" i="4"/>
  <c r="L11" i="8"/>
  <c r="M11" i="8"/>
  <c r="G11" i="8" s="1"/>
  <c r="M8" i="6"/>
  <c r="G8" i="6" s="1"/>
  <c r="L8" i="5"/>
  <c r="U14" i="8" l="1"/>
  <c r="J14" i="8" s="1"/>
  <c r="R11" i="6"/>
  <c r="L14" i="5"/>
  <c r="T10" i="4"/>
  <c r="N30" i="5"/>
  <c r="U12" i="5"/>
  <c r="J12" i="5" s="1"/>
  <c r="M12" i="5" s="1"/>
  <c r="G12" i="5" s="1"/>
  <c r="U15" i="5"/>
  <c r="J15" i="5" s="1"/>
  <c r="L15" i="5" s="1"/>
  <c r="L8" i="6"/>
  <c r="X9" i="13" s="1"/>
  <c r="L8" i="3"/>
  <c r="P9" i="16" s="1"/>
  <c r="S11" i="6"/>
  <c r="T9" i="6"/>
  <c r="U10" i="3"/>
  <c r="J10" i="3" s="1"/>
  <c r="M10" i="3" s="1"/>
  <c r="G10" i="3" s="1"/>
  <c r="I11" i="16" s="1"/>
  <c r="R10" i="4"/>
  <c r="S10" i="4" s="1"/>
  <c r="K10" i="4"/>
  <c r="U11" i="3"/>
  <c r="J11" i="3" s="1"/>
  <c r="M11" i="3" s="1"/>
  <c r="G11" i="3" s="1"/>
  <c r="I12" i="16" s="1"/>
  <c r="R10" i="6"/>
  <c r="S10" i="6" s="1"/>
  <c r="U15" i="4"/>
  <c r="J15" i="4" s="1"/>
  <c r="L15" i="4" s="1"/>
  <c r="M15" i="9" s="1"/>
  <c r="R14" i="2"/>
  <c r="S14" i="2" s="1"/>
  <c r="U10" i="7"/>
  <c r="J10" i="7" s="1"/>
  <c r="L10" i="7" s="1"/>
  <c r="U9" i="3"/>
  <c r="J9" i="3" s="1"/>
  <c r="M9" i="3" s="1"/>
  <c r="G9" i="3" s="1"/>
  <c r="R9" i="4"/>
  <c r="S9" i="4" s="1"/>
  <c r="T9" i="4"/>
  <c r="U15" i="7"/>
  <c r="J15" i="7" s="1"/>
  <c r="M15" i="7" s="1"/>
  <c r="G15" i="7" s="1"/>
  <c r="O16" i="13" s="1"/>
  <c r="R11" i="4"/>
  <c r="S11" i="4" s="1"/>
  <c r="U11" i="4" s="1"/>
  <c r="J11" i="4" s="1"/>
  <c r="K11" i="4"/>
  <c r="U12" i="4"/>
  <c r="J12" i="4" s="1"/>
  <c r="L12" i="4" s="1"/>
  <c r="M12" i="9" s="1"/>
  <c r="U9" i="7"/>
  <c r="J9" i="7" s="1"/>
  <c r="M9" i="7" s="1"/>
  <c r="G9" i="7" s="1"/>
  <c r="I9" i="16"/>
  <c r="T14" i="2"/>
  <c r="K14" i="2"/>
  <c r="U11" i="7"/>
  <c r="J11" i="7" s="1"/>
  <c r="M11" i="7" s="1"/>
  <c r="G11" i="7" s="1"/>
  <c r="H11" i="9" s="1"/>
  <c r="E8" i="9"/>
  <c r="U13" i="8"/>
  <c r="J13" i="8" s="1"/>
  <c r="M13" i="8" s="1"/>
  <c r="G13" i="8" s="1"/>
  <c r="U12" i="7"/>
  <c r="J12" i="7" s="1"/>
  <c r="L12" i="7" s="1"/>
  <c r="K10" i="6"/>
  <c r="T10" i="5"/>
  <c r="M14" i="8"/>
  <c r="G14" i="8" s="1"/>
  <c r="N30" i="8"/>
  <c r="R12" i="6"/>
  <c r="S12" i="6" s="1"/>
  <c r="T15" i="6"/>
  <c r="T10" i="6"/>
  <c r="T15" i="2"/>
  <c r="T13" i="2"/>
  <c r="R9" i="6"/>
  <c r="S9" i="6" s="1"/>
  <c r="U9" i="6" s="1"/>
  <c r="J9" i="6" s="1"/>
  <c r="T12" i="6"/>
  <c r="I14" i="16"/>
  <c r="H8" i="9"/>
  <c r="L13" i="3"/>
  <c r="V14" i="13" s="1"/>
  <c r="L14" i="8"/>
  <c r="Z15" i="13" s="1"/>
  <c r="T11" i="6"/>
  <c r="U11" i="6" s="1"/>
  <c r="J11" i="6" s="1"/>
  <c r="E13" i="9"/>
  <c r="R10" i="5"/>
  <c r="S10" i="5" s="1"/>
  <c r="U10" i="5" s="1"/>
  <c r="J10" i="5" s="1"/>
  <c r="K10" i="5"/>
  <c r="Q10" i="13"/>
  <c r="R13" i="2"/>
  <c r="S13" i="2" s="1"/>
  <c r="T12" i="2"/>
  <c r="K11" i="6"/>
  <c r="K9" i="6"/>
  <c r="K13" i="2"/>
  <c r="N15" i="9"/>
  <c r="T10" i="2"/>
  <c r="R15" i="2"/>
  <c r="S15" i="2" s="1"/>
  <c r="L9" i="8"/>
  <c r="Z10" i="13" s="1"/>
  <c r="V16" i="13"/>
  <c r="R15" i="6"/>
  <c r="S15" i="6" s="1"/>
  <c r="T11" i="16"/>
  <c r="L14" i="3"/>
  <c r="N14" i="9" s="1"/>
  <c r="M15" i="3"/>
  <c r="G15" i="3" s="1"/>
  <c r="E15" i="9" s="1"/>
  <c r="I13" i="16"/>
  <c r="I13" i="13"/>
  <c r="M10" i="8"/>
  <c r="G10" i="8" s="1"/>
  <c r="K11" i="16" s="1"/>
  <c r="R12" i="2"/>
  <c r="S12" i="2" s="1"/>
  <c r="K10" i="2"/>
  <c r="K9" i="5"/>
  <c r="K15" i="6"/>
  <c r="M14" i="3"/>
  <c r="G14" i="3" s="1"/>
  <c r="I15" i="13" s="1"/>
  <c r="H13" i="9"/>
  <c r="M12" i="4"/>
  <c r="G12" i="4" s="1"/>
  <c r="G13" i="13" s="1"/>
  <c r="R11" i="5"/>
  <c r="S11" i="5" s="1"/>
  <c r="L13" i="7"/>
  <c r="K11" i="5"/>
  <c r="I9" i="9"/>
  <c r="T11" i="5"/>
  <c r="R10" i="9"/>
  <c r="R10" i="2"/>
  <c r="S10" i="2" s="1"/>
  <c r="P13" i="16"/>
  <c r="T9" i="5"/>
  <c r="R9" i="5"/>
  <c r="S9" i="5" s="1"/>
  <c r="K15" i="2"/>
  <c r="L14" i="7"/>
  <c r="N30" i="7"/>
  <c r="M14" i="7"/>
  <c r="G14" i="7" s="1"/>
  <c r="U8" i="8"/>
  <c r="J8" i="8" s="1"/>
  <c r="V13" i="13"/>
  <c r="L11" i="3"/>
  <c r="P12" i="16" s="1"/>
  <c r="T11" i="2"/>
  <c r="T9" i="2"/>
  <c r="R11" i="2"/>
  <c r="S11" i="2" s="1"/>
  <c r="K11" i="2"/>
  <c r="K9" i="2"/>
  <c r="R9" i="2"/>
  <c r="S9" i="2" s="1"/>
  <c r="U14" i="4"/>
  <c r="J14" i="4" s="1"/>
  <c r="M14" i="4" s="1"/>
  <c r="G14" i="4" s="1"/>
  <c r="U13" i="4"/>
  <c r="J13" i="4" s="1"/>
  <c r="L13" i="4" s="1"/>
  <c r="U13" i="6"/>
  <c r="J13" i="6" s="1"/>
  <c r="M13" i="6" s="1"/>
  <c r="G13" i="6" s="1"/>
  <c r="U14" i="6"/>
  <c r="J14" i="6" s="1"/>
  <c r="L14" i="6" s="1"/>
  <c r="F8" i="9"/>
  <c r="K9" i="13"/>
  <c r="G8" i="9"/>
  <c r="M9" i="13"/>
  <c r="Q14" i="16"/>
  <c r="W14" i="13"/>
  <c r="O13" i="9"/>
  <c r="U15" i="8"/>
  <c r="J15" i="8" s="1"/>
  <c r="L12" i="5"/>
  <c r="G9" i="16"/>
  <c r="D8" i="9"/>
  <c r="G9" i="13"/>
  <c r="U12" i="8"/>
  <c r="J12" i="8" s="1"/>
  <c r="F14" i="9"/>
  <c r="K15" i="13"/>
  <c r="F13" i="9"/>
  <c r="K14" i="13"/>
  <c r="M15" i="5"/>
  <c r="G15" i="5" s="1"/>
  <c r="K12" i="16"/>
  <c r="I11" i="9"/>
  <c r="Q12" i="13"/>
  <c r="Q9" i="16"/>
  <c r="O8" i="9"/>
  <c r="W9" i="13"/>
  <c r="R9" i="16"/>
  <c r="P8" i="9"/>
  <c r="T12" i="16"/>
  <c r="R11" i="9"/>
  <c r="Z12" i="13"/>
  <c r="Q15" i="16"/>
  <c r="O14" i="9"/>
  <c r="W15" i="13"/>
  <c r="U10" i="4"/>
  <c r="J10" i="4" s="1"/>
  <c r="O9" i="16"/>
  <c r="M8" i="9"/>
  <c r="U9" i="13"/>
  <c r="V9" i="13" l="1"/>
  <c r="I12" i="13"/>
  <c r="N8" i="9"/>
  <c r="E11" i="9"/>
  <c r="L10" i="3"/>
  <c r="P11" i="16" s="1"/>
  <c r="U9" i="4"/>
  <c r="J9" i="4" s="1"/>
  <c r="L9" i="4" s="1"/>
  <c r="M15" i="4"/>
  <c r="G15" i="4" s="1"/>
  <c r="G16" i="16" s="1"/>
  <c r="U11" i="5"/>
  <c r="J11" i="5" s="1"/>
  <c r="L11" i="5" s="1"/>
  <c r="U10" i="6"/>
  <c r="J10" i="6" s="1"/>
  <c r="M10" i="6" s="1"/>
  <c r="G10" i="6" s="1"/>
  <c r="M11" i="13" s="1"/>
  <c r="M12" i="7"/>
  <c r="G12" i="7" s="1"/>
  <c r="O13" i="13" s="1"/>
  <c r="M10" i="7"/>
  <c r="G10" i="7" s="1"/>
  <c r="H10" i="9" s="1"/>
  <c r="L9" i="7"/>
  <c r="Y10" i="13" s="1"/>
  <c r="L9" i="3"/>
  <c r="V10" i="13" s="1"/>
  <c r="U14" i="2"/>
  <c r="J14" i="2" s="1"/>
  <c r="N30" i="2" s="1"/>
  <c r="L15" i="7"/>
  <c r="S16" i="16" s="1"/>
  <c r="U9" i="2"/>
  <c r="J9" i="2" s="1"/>
  <c r="M9" i="2" s="1"/>
  <c r="G9" i="2" s="1"/>
  <c r="C9" i="9" s="1"/>
  <c r="O12" i="13"/>
  <c r="O16" i="16"/>
  <c r="U16" i="13"/>
  <c r="L11" i="7"/>
  <c r="Q11" i="9" s="1"/>
  <c r="I13" i="9"/>
  <c r="K14" i="16"/>
  <c r="L13" i="8"/>
  <c r="T14" i="16" s="1"/>
  <c r="U13" i="2"/>
  <c r="J13" i="2" s="1"/>
  <c r="M13" i="2" s="1"/>
  <c r="G13" i="2" s="1"/>
  <c r="R14" i="9"/>
  <c r="T15" i="16"/>
  <c r="U12" i="6"/>
  <c r="J12" i="6" s="1"/>
  <c r="M12" i="6" s="1"/>
  <c r="G12" i="6" s="1"/>
  <c r="T10" i="16"/>
  <c r="K15" i="16"/>
  <c r="Q15" i="13"/>
  <c r="I14" i="9"/>
  <c r="N13" i="9"/>
  <c r="G13" i="16"/>
  <c r="P14" i="16"/>
  <c r="U15" i="6"/>
  <c r="J15" i="6" s="1"/>
  <c r="M15" i="6" s="1"/>
  <c r="G15" i="6" s="1"/>
  <c r="G15" i="9" s="1"/>
  <c r="E10" i="9"/>
  <c r="O13" i="16"/>
  <c r="U15" i="2"/>
  <c r="J15" i="2" s="1"/>
  <c r="L15" i="2" s="1"/>
  <c r="D12" i="9"/>
  <c r="U12" i="2"/>
  <c r="J12" i="2" s="1"/>
  <c r="L12" i="2" s="1"/>
  <c r="L12" i="9" s="1"/>
  <c r="I11" i="13"/>
  <c r="L9" i="6"/>
  <c r="X10" i="13" s="1"/>
  <c r="I16" i="16"/>
  <c r="Q11" i="13"/>
  <c r="Q14" i="13"/>
  <c r="U9" i="5"/>
  <c r="J9" i="5" s="1"/>
  <c r="M9" i="5" s="1"/>
  <c r="G9" i="5" s="1"/>
  <c r="K10" i="13" s="1"/>
  <c r="V15" i="13"/>
  <c r="U10" i="2"/>
  <c r="J10" i="2" s="1"/>
  <c r="L10" i="2" s="1"/>
  <c r="R9" i="9"/>
  <c r="I16" i="13"/>
  <c r="P15" i="16"/>
  <c r="H15" i="9"/>
  <c r="U13" i="13"/>
  <c r="I10" i="9"/>
  <c r="I15" i="16"/>
  <c r="E14" i="9"/>
  <c r="Q13" i="9"/>
  <c r="Y14" i="13"/>
  <c r="S14" i="16"/>
  <c r="M14" i="6"/>
  <c r="G14" i="6" s="1"/>
  <c r="G14" i="9" s="1"/>
  <c r="O15" i="13"/>
  <c r="H14" i="9"/>
  <c r="S15" i="16"/>
  <c r="Y15" i="13"/>
  <c r="Q14" i="9"/>
  <c r="M8" i="8"/>
  <c r="G8" i="8" s="1"/>
  <c r="L8" i="8"/>
  <c r="M13" i="4"/>
  <c r="G13" i="4" s="1"/>
  <c r="D13" i="9" s="1"/>
  <c r="N30" i="6"/>
  <c r="L14" i="4"/>
  <c r="O15" i="16" s="1"/>
  <c r="N30" i="4"/>
  <c r="L13" i="6"/>
  <c r="X14" i="13" s="1"/>
  <c r="N11" i="9"/>
  <c r="U11" i="2"/>
  <c r="J11" i="2" s="1"/>
  <c r="M11" i="2" s="1"/>
  <c r="G11" i="2" s="1"/>
  <c r="E12" i="16" s="1"/>
  <c r="V12" i="13"/>
  <c r="L10" i="6"/>
  <c r="X11" i="13" s="1"/>
  <c r="M9" i="6"/>
  <c r="G9" i="6" s="1"/>
  <c r="G9" i="9" s="1"/>
  <c r="L11" i="4"/>
  <c r="M11" i="4"/>
  <c r="G11" i="4" s="1"/>
  <c r="G15" i="16"/>
  <c r="G15" i="13"/>
  <c r="D14" i="9"/>
  <c r="O11" i="13"/>
  <c r="Q16" i="16"/>
  <c r="W16" i="13"/>
  <c r="O15" i="9"/>
  <c r="L15" i="8"/>
  <c r="M15" i="8"/>
  <c r="G15" i="8" s="1"/>
  <c r="I10" i="13"/>
  <c r="I10" i="16"/>
  <c r="E9" i="9"/>
  <c r="S11" i="16"/>
  <c r="Y11" i="13"/>
  <c r="Q10" i="9"/>
  <c r="O14" i="16"/>
  <c r="U14" i="13"/>
  <c r="M13" i="9"/>
  <c r="L12" i="8"/>
  <c r="M12" i="8"/>
  <c r="G12" i="8" s="1"/>
  <c r="S13" i="16"/>
  <c r="Y13" i="13"/>
  <c r="Q12" i="9"/>
  <c r="M11" i="6"/>
  <c r="G11" i="6" s="1"/>
  <c r="L11" i="6"/>
  <c r="Q13" i="16"/>
  <c r="W13" i="13"/>
  <c r="O12" i="9"/>
  <c r="O10" i="13"/>
  <c r="H9" i="9"/>
  <c r="L10" i="5"/>
  <c r="M10" i="5"/>
  <c r="G10" i="5" s="1"/>
  <c r="M10" i="4"/>
  <c r="G10" i="4" s="1"/>
  <c r="L10" i="4"/>
  <c r="G13" i="9"/>
  <c r="M14" i="13"/>
  <c r="R15" i="16"/>
  <c r="P14" i="9"/>
  <c r="X15" i="13"/>
  <c r="F15" i="9"/>
  <c r="K16" i="13"/>
  <c r="F12" i="9"/>
  <c r="K13" i="13"/>
  <c r="P10" i="16"/>
  <c r="G10" i="9"/>
  <c r="N10" i="9" l="1"/>
  <c r="M11" i="5"/>
  <c r="G11" i="5" s="1"/>
  <c r="V11" i="13"/>
  <c r="M9" i="4"/>
  <c r="G9" i="4" s="1"/>
  <c r="H12" i="9"/>
  <c r="Q9" i="9"/>
  <c r="S10" i="16"/>
  <c r="D15" i="9"/>
  <c r="N9" i="9"/>
  <c r="Q15" i="9"/>
  <c r="G16" i="13"/>
  <c r="Y16" i="13"/>
  <c r="L12" i="6"/>
  <c r="R13" i="16" s="1"/>
  <c r="M14" i="2"/>
  <c r="G14" i="2" s="1"/>
  <c r="C14" i="9" s="1"/>
  <c r="L14" i="2"/>
  <c r="N15" i="16" s="1"/>
  <c r="L9" i="2"/>
  <c r="T10" i="13" s="1"/>
  <c r="L13" i="2"/>
  <c r="T14" i="13" s="1"/>
  <c r="M16" i="13"/>
  <c r="S12" i="16"/>
  <c r="Y12" i="13"/>
  <c r="R11" i="16"/>
  <c r="M15" i="2"/>
  <c r="G15" i="2" s="1"/>
  <c r="E16" i="13" s="1"/>
  <c r="R13" i="9"/>
  <c r="Z14" i="13"/>
  <c r="P9" i="9"/>
  <c r="E14" i="13"/>
  <c r="E14" i="16"/>
  <c r="F9" i="9"/>
  <c r="L9" i="5"/>
  <c r="W10" i="13" s="1"/>
  <c r="C13" i="9"/>
  <c r="L14" i="9"/>
  <c r="R10" i="16"/>
  <c r="L15" i="6"/>
  <c r="R16" i="16" s="1"/>
  <c r="N13" i="16"/>
  <c r="T13" i="13"/>
  <c r="M12" i="2"/>
  <c r="G12" i="2" s="1"/>
  <c r="M10" i="2"/>
  <c r="G10" i="2" s="1"/>
  <c r="E11" i="16" s="1"/>
  <c r="L10" i="9"/>
  <c r="N11" i="16"/>
  <c r="T11" i="13"/>
  <c r="R14" i="16"/>
  <c r="M15" i="13"/>
  <c r="P13" i="9"/>
  <c r="C11" i="9"/>
  <c r="E10" i="13"/>
  <c r="G14" i="16"/>
  <c r="U15" i="13"/>
  <c r="E10" i="16"/>
  <c r="R8" i="9"/>
  <c r="T9" i="16"/>
  <c r="Z9" i="13"/>
  <c r="K9" i="16"/>
  <c r="I8" i="9"/>
  <c r="Q9" i="13"/>
  <c r="P10" i="9"/>
  <c r="G14" i="13"/>
  <c r="M14" i="9"/>
  <c r="E12" i="13"/>
  <c r="L11" i="2"/>
  <c r="N12" i="16" s="1"/>
  <c r="M10" i="13"/>
  <c r="G11" i="16"/>
  <c r="G11" i="13"/>
  <c r="D10" i="9"/>
  <c r="Q11" i="16"/>
  <c r="O10" i="9"/>
  <c r="W11" i="13"/>
  <c r="R12" i="16"/>
  <c r="X12" i="13"/>
  <c r="P11" i="9"/>
  <c r="O10" i="16"/>
  <c r="U10" i="13"/>
  <c r="M9" i="9"/>
  <c r="G11" i="9"/>
  <c r="M12" i="13"/>
  <c r="K13" i="16"/>
  <c r="Q13" i="13"/>
  <c r="I12" i="9"/>
  <c r="K16" i="16"/>
  <c r="I15" i="9"/>
  <c r="Q16" i="13"/>
  <c r="G10" i="16"/>
  <c r="G10" i="13"/>
  <c r="D9" i="9"/>
  <c r="T13" i="16"/>
  <c r="Z13" i="13"/>
  <c r="R12" i="9"/>
  <c r="T16" i="16"/>
  <c r="Z16" i="13"/>
  <c r="R15" i="9"/>
  <c r="G12" i="13"/>
  <c r="G12" i="16"/>
  <c r="D11" i="9"/>
  <c r="O11" i="16"/>
  <c r="M10" i="9"/>
  <c r="U11" i="13"/>
  <c r="F10" i="9"/>
  <c r="K11" i="13"/>
  <c r="Q12" i="16"/>
  <c r="W12" i="13"/>
  <c r="O11" i="9"/>
  <c r="O12" i="16"/>
  <c r="M11" i="9"/>
  <c r="U12" i="13"/>
  <c r="M13" i="13"/>
  <c r="G12" i="9"/>
  <c r="N16" i="16"/>
  <c r="T16" i="13"/>
  <c r="L15" i="9"/>
  <c r="F11" i="9"/>
  <c r="K12" i="13"/>
  <c r="T15" i="13" l="1"/>
  <c r="N10" i="16"/>
  <c r="P12" i="9"/>
  <c r="X13" i="13"/>
  <c r="E15" i="13"/>
  <c r="E15" i="16"/>
  <c r="E16" i="16"/>
  <c r="L9" i="9"/>
  <c r="N14" i="16"/>
  <c r="L13" i="9"/>
  <c r="C15" i="9"/>
  <c r="Q10" i="16"/>
  <c r="O9" i="9"/>
  <c r="X16" i="13"/>
  <c r="C10" i="9"/>
  <c r="P15" i="9"/>
  <c r="C12" i="9"/>
  <c r="E13" i="16"/>
  <c r="E13" i="13"/>
  <c r="E11" i="13"/>
  <c r="L11" i="9"/>
  <c r="T12" i="13"/>
</calcChain>
</file>

<file path=xl/sharedStrings.xml><?xml version="1.0" encoding="utf-8"?>
<sst xmlns="http://schemas.openxmlformats.org/spreadsheetml/2006/main" count="661" uniqueCount="145">
  <si>
    <t xml:space="preserve"> AREA REPORTED</t>
  </si>
  <si>
    <t xml:space="preserve">Data Entry Section </t>
  </si>
  <si>
    <t>State: Michigan</t>
  </si>
  <si>
    <t>All Reporting Counties</t>
  </si>
  <si>
    <t xml:space="preserve">Reporting Period:  </t>
  </si>
  <si>
    <t>10/1/22 through 9/30/23</t>
  </si>
  <si>
    <t>Total Youth</t>
  </si>
  <si>
    <t>White</t>
  </si>
  <si>
    <t>Black or African American</t>
  </si>
  <si>
    <t>Hispanic or Latino</t>
  </si>
  <si>
    <t>Asian</t>
  </si>
  <si>
    <t>Native Hawaiian or Other Pacific Islanders</t>
  </si>
  <si>
    <t>American Indian or Alaska Native</t>
  </si>
  <si>
    <t>Biracial or Other</t>
  </si>
  <si>
    <t>All Minorities</t>
  </si>
  <si>
    <t>No Race Data</t>
  </si>
  <si>
    <t xml:space="preserve">1. Population at Risk (age 10-17) </t>
  </si>
  <si>
    <t>2. Juvenile Arrests</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</si>
  <si>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</si>
  <si>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</si>
  <si>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</si>
  <si>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</si>
  <si>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</si>
  <si>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</si>
  <si>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</si>
  <si>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</si>
  <si>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</si>
  <si>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</si>
  <si>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Item 1. Population: U.S. Census estimate (from C. Puzzanchera, A. Sladky, and W. Kang (2024), "Easy Access to Juvenile Populations: 1990-2022," Online, accessed November 19, 2024 from http://www.ojjdp.gov/ojstatbb/ezapop/)</t>
  </si>
  <si>
    <t>Item 2.Arrest: Michigan State Police</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</si>
  <si>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</si>
  <si>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</si>
  <si>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</si>
  <si>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</si>
  <si>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</si>
  <si>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</si>
  <si>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</si>
  <si>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</si>
  <si>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 xml:space="preserve">Item 2.Arrest: </t>
  </si>
  <si>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</si>
  <si>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</si>
  <si>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</si>
  <si>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</si>
  <si>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</si>
  <si>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</si>
  <si>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</si>
  <si>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</si>
  <si>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</si>
  <si>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Juvenile Justice Disproportionality Summary</t>
  </si>
  <si>
    <t>Decision Point</t>
  </si>
  <si>
    <t>Value</t>
  </si>
  <si>
    <t>RRI</t>
  </si>
  <si>
    <t>3. Referred to Juvenile Court</t>
  </si>
  <si>
    <t>6. Cases Petitioned</t>
  </si>
  <si>
    <t>Group meets 1% threshold?</t>
  </si>
  <si>
    <t xml:space="preserve">RRI </t>
  </si>
  <si>
    <t>Key:</t>
  </si>
  <si>
    <t>Statistically Significant Results:</t>
  </si>
  <si>
    <t>Bold font</t>
  </si>
  <si>
    <t>Group is less than 1% of the youth population</t>
  </si>
  <si>
    <t>*</t>
  </si>
  <si>
    <t>Statistically insignificant results:</t>
  </si>
  <si>
    <t>Regular font</t>
  </si>
  <si>
    <t>Insufficient number of cases for analysis</t>
  </si>
  <si>
    <t>**</t>
  </si>
  <si>
    <t>Missing data for some element of calculation</t>
  </si>
  <si>
    <t>---</t>
  </si>
  <si>
    <t>Note: The non-reporting counties for 2012 (for decision points 3-10) were Clinton, Emmet, Antrim, Lake, Tuscola, Berrien, Branch, Delta, Ingham, Kalamazoo, Kent, Macomb, Oakland, Ottawa, and Wayne.</t>
  </si>
  <si>
    <t>Other</t>
  </si>
  <si>
    <t>DP</t>
  </si>
  <si>
    <t>Proportional Rate</t>
  </si>
  <si>
    <t xml:space="preserve">2. Juvenile Arrests </t>
  </si>
  <si>
    <t>8. Cases resulting in Probation Placement</t>
  </si>
  <si>
    <t>RRI Key:</t>
  </si>
  <si>
    <t>Results that are not statistically significant:</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</si>
  <si>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</si>
  <si>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</si>
  <si>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</si>
  <si>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</si>
  <si>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</si>
  <si>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</si>
  <si>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</si>
  <si>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</si>
  <si>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</si>
  <si>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</si>
  <si>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</si>
  <si>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</si>
  <si>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</si>
  <si>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</si>
  <si>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</si>
  <si>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</si>
  <si>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</si>
  <si>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</si>
  <si>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</si>
  <si>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</si>
  <si>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</si>
  <si>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</si>
  <si>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release 10/17/05</t>
  </si>
  <si>
    <t>Statistically significant results:</t>
  </si>
  <si>
    <t>Results that are not statistically significant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</si>
  <si>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</si>
  <si>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</si>
  <si>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</si>
  <si>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</si>
  <si>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</si>
  <si>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</si>
  <si>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</si>
  <si>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</si>
  <si>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</si>
  <si>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</si>
  <si>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</si>
  <si>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</si>
  <si>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</si>
  <si>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</si>
  <si>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</si>
  <si>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</si>
  <si>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</si>
  <si>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</si>
  <si>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</si>
  <si>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</si>
  <si>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</si>
  <si>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</si>
  <si>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</si>
  <si>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</si>
  <si>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</si>
  <si>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</si>
  <si>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</si>
  <si>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</si>
  <si>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</si>
  <si>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</si>
  <si>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release 10/3/05</t>
  </si>
  <si>
    <t>bold</t>
  </si>
  <si>
    <t>1 = signif</t>
  </si>
  <si>
    <t>Relative Rate Index Compared with White Juveniles</t>
  </si>
  <si>
    <t xml:space="preserve">9. Cases Resulting in Confinement in Secure    Juvenile Correctional Facilities </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</si>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</sst>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6">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3">
    <xf numFmtId="0" fontId="0" fillId="0" borderId="0"/>
    <xf numFmtId="0" fontId="16" fillId="4" borderId="0" applyNumberFormat="0" applyBorder="0" applyAlignment="0" applyProtection="0"/>
    <xf numFmtId="0" fontId="1" fillId="5" borderId="0" applyNumberFormat="0" applyBorder="0" applyAlignment="0" applyProtection="0"/>
  </cellStyleXfs>
  <cellXfs count="218">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30" fillId="0" borderId="1" xfId="0" applyNumberFormat="1" applyFont="1" applyBorder="1" applyAlignment="1">
      <alignment vertical="top" wrapText="1"/>
    </xf>
    <xf numFmtId="3" fontId="5" fillId="0" borderId="2" xfId="0" applyNumberFormat="1" applyFont="1" applyBorder="1" applyAlignment="1">
      <alignment horizontal="right" vertical="center"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2" fillId="0" borderId="0" xfId="0" applyNumberFormat="1" applyFont="1" applyAlignment="1">
      <alignment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0" fontId="35" fillId="0" borderId="71" xfId="0" applyFont="1" applyBorder="1" applyAlignment="1">
      <alignment horizontal="center" wrapText="1"/>
    </xf>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0" fontId="20" fillId="0" borderId="0" xfId="0" applyFont="1" applyAlignment="1"/>
    <xf numFmtId="0" fontId="20" fillId="0" borderId="30" xfId="0" applyFont="1" applyBorder="1" applyAlignment="1"/>
    <xf numFmtId="0" fontId="20" fillId="0" borderId="22" xfId="0" applyFont="1" applyBorder="1" applyAlignment="1"/>
    <xf numFmtId="0" fontId="20" fillId="0" borderId="73" xfId="0" applyFont="1" applyBorder="1" applyAlignment="1"/>
    <xf numFmtId="0" fontId="0" fillId="0" borderId="0" xfId="0" applyAlignment="1"/>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0" fontId="26" fillId="0" borderId="44" xfId="0" applyFont="1" applyBorder="1" applyAlignment="1"/>
    <xf numFmtId="0" fontId="0" fillId="0" borderId="44" xfId="0" applyBorder="1" applyAlignment="1"/>
    <xf numFmtId="0" fontId="0" fillId="0" borderId="45" xfId="0" applyBorder="1" applyAlignment="1"/>
    <xf numFmtId="4" fontId="32" fillId="6" borderId="41" xfId="0" applyNumberFormat="1" applyFont="1" applyFill="1" applyBorder="1" applyAlignment="1"/>
    <xf numFmtId="0" fontId="26" fillId="0" borderId="42" xfId="0" applyFont="1" applyBorder="1" applyAlignment="1"/>
    <xf numFmtId="4" fontId="26" fillId="6" borderId="80" xfId="0" applyNumberFormat="1" applyFont="1" applyFill="1" applyBorder="1" applyAlignment="1"/>
    <xf numFmtId="0" fontId="26" fillId="0" borderId="41" xfId="0" applyFont="1" applyBorder="1" applyAlignment="1"/>
    <xf numFmtId="4" fontId="26" fillId="6" borderId="29" xfId="0" applyNumberFormat="1" applyFont="1" applyFill="1" applyBorder="1" applyAlignment="1"/>
    <xf numFmtId="0" fontId="26" fillId="0" borderId="37" xfId="0" applyFont="1" applyBorder="1" applyAlignment="1"/>
    <xf numFmtId="4" fontId="26" fillId="6" borderId="36" xfId="0" applyNumberFormat="1" applyFont="1" applyFill="1" applyBorder="1" applyAlignment="1"/>
    <xf numFmtId="0" fontId="26" fillId="0" borderId="29" xfId="0" applyFont="1" applyBorder="1" applyAlignment="1"/>
    <xf numFmtId="4" fontId="26" fillId="6" borderId="75" xfId="0" applyNumberFormat="1" applyFont="1" applyFill="1" applyBorder="1" applyAlignment="1"/>
    <xf numFmtId="0" fontId="29" fillId="0" borderId="76" xfId="0" applyFont="1" applyBorder="1" applyAlignment="1"/>
    <xf numFmtId="0" fontId="29" fillId="0" borderId="74" xfId="0" applyFont="1" applyBorder="1" applyAlignment="1"/>
    <xf numFmtId="4" fontId="26" fillId="6" borderId="38" xfId="0" applyNumberFormat="1" applyFont="1" applyFill="1" applyBorder="1" applyAlignment="1"/>
    <xf numFmtId="0" fontId="26" fillId="0" borderId="39" xfId="0" applyFont="1" applyBorder="1" applyAlignment="1"/>
  </cellXfs>
  <cellStyles count="3">
    <cellStyle name="40% - Accent1" xfId="2" builtinId="31"/>
    <cellStyle name="Accent1" xfId="1" builtinId="29"/>
    <cellStyle name="Normal" xfId="0" builtinId="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All Reporting Counties 2023</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N=53</c:v>
                </c:pt>
                <c:pt idx="1">
                  <c:v>Confinement, total N=979</c:v>
                </c:pt>
                <c:pt idx="2">
                  <c:v>Delinquent Findings, total N=4750</c:v>
                </c:pt>
                <c:pt idx="3">
                  <c:v>Petitions, total N=10863</c:v>
                </c:pt>
                <c:pt idx="4">
                  <c:v>Detentions, total N=2745</c:v>
                </c:pt>
                <c:pt idx="5">
                  <c:v>Referrals, total N=18935</c:v>
                </c:pt>
                <c:pt idx="6">
                  <c:v>Arrests, total N=9678</c:v>
                </c:pt>
                <c:pt idx="7">
                  <c:v>Population, total N=991532</c:v>
                </c:pt>
              </c:strCache>
            </c:strRef>
          </c:cat>
          <c:val>
            <c:numRef>
              <c:f>'Stacked 100%'!$B$7:$B$14</c:f>
              <c:numCache>
                <c:formatCode>0%</c:formatCode>
                <c:ptCount val="8"/>
                <c:pt idx="0">
                  <c:v>0.8867924528301887</c:v>
                </c:pt>
                <c:pt idx="1">
                  <c:v>0.25025536261491316</c:v>
                </c:pt>
                <c:pt idx="2">
                  <c:v>0.32694736842105265</c:v>
                </c:pt>
                <c:pt idx="3">
                  <c:v>0.27570652674215224</c:v>
                </c:pt>
                <c:pt idx="4">
                  <c:v>0.50018214936247718</c:v>
                </c:pt>
                <c:pt idx="5">
                  <c:v>0.25117507261684713</c:v>
                </c:pt>
                <c:pt idx="6">
                  <c:v>0.45701591237859063</c:v>
                </c:pt>
                <c:pt idx="7">
                  <c:v>0.17652279502829965</c:v>
                </c:pt>
              </c:numCache>
            </c:numRef>
          </c:val>
          <c:extLst>
            <c:ext xmlns:c16="http://schemas.microsoft.com/office/drawing/2014/chart" uri="{C3380CC4-5D6E-409C-BE32-E72D297353CC}">
              <c16:uniqueId val="{00000000-FA19-4927-880B-8FC4A6B96E0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N=53</c:v>
                </c:pt>
                <c:pt idx="1">
                  <c:v>Confinement, total N=979</c:v>
                </c:pt>
                <c:pt idx="2">
                  <c:v>Delinquent Findings, total N=4750</c:v>
                </c:pt>
                <c:pt idx="3">
                  <c:v>Petitions, total N=10863</c:v>
                </c:pt>
                <c:pt idx="4">
                  <c:v>Detentions, total N=2745</c:v>
                </c:pt>
                <c:pt idx="5">
                  <c:v>Referrals, total N=18935</c:v>
                </c:pt>
                <c:pt idx="6">
                  <c:v>Arrests, total N=9678</c:v>
                </c:pt>
                <c:pt idx="7">
                  <c:v>Population, total N=991532</c:v>
                </c:pt>
              </c:strCache>
            </c:strRef>
          </c:cat>
          <c:val>
            <c:numRef>
              <c:f>'Stacked 100%'!$C$7:$C$14</c:f>
              <c:numCache>
                <c:formatCode>0%</c:formatCode>
                <c:ptCount val="8"/>
                <c:pt idx="0">
                  <c:v>0</c:v>
                </c:pt>
                <c:pt idx="1">
                  <c:v>2.7579162410623085E-2</c:v>
                </c:pt>
                <c:pt idx="2">
                  <c:v>4.3789473684210524E-2</c:v>
                </c:pt>
                <c:pt idx="3">
                  <c:v>3.1483015741507872E-2</c:v>
                </c:pt>
                <c:pt idx="4">
                  <c:v>6.4116575591985428E-2</c:v>
                </c:pt>
                <c:pt idx="5">
                  <c:v>2.9944547134935304E-2</c:v>
                </c:pt>
                <c:pt idx="6">
                  <c:v>2.3661913618516224E-2</c:v>
                </c:pt>
                <c:pt idx="7">
                  <c:v>9.0623398942242916E-2</c:v>
                </c:pt>
              </c:numCache>
            </c:numRef>
          </c:val>
          <c:extLst>
            <c:ext xmlns:c16="http://schemas.microsoft.com/office/drawing/2014/chart" uri="{C3380CC4-5D6E-409C-BE32-E72D297353CC}">
              <c16:uniqueId val="{00000001-FA19-4927-880B-8FC4A6B96E0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N=53</c:v>
                </c:pt>
                <c:pt idx="1">
                  <c:v>Confinement, total N=979</c:v>
                </c:pt>
                <c:pt idx="2">
                  <c:v>Delinquent Findings, total N=4750</c:v>
                </c:pt>
                <c:pt idx="3">
                  <c:v>Petitions, total N=10863</c:v>
                </c:pt>
                <c:pt idx="4">
                  <c:v>Detentions, total N=2745</c:v>
                </c:pt>
                <c:pt idx="5">
                  <c:v>Referrals, total N=18935</c:v>
                </c:pt>
                <c:pt idx="6">
                  <c:v>Arrests, total N=9678</c:v>
                </c:pt>
                <c:pt idx="7">
                  <c:v>Population, total N=991532</c:v>
                </c:pt>
              </c:strCache>
            </c:strRef>
          </c:cat>
          <c:val>
            <c:numRef>
              <c:f>'Stacked 100%'!$H$7:$H$14</c:f>
              <c:numCache>
                <c:formatCode>0%</c:formatCode>
                <c:ptCount val="8"/>
                <c:pt idx="0">
                  <c:v>7.1199715201139188E-4</c:v>
                </c:pt>
                <c:pt idx="1">
                  <c:v>3.6517636453365409E-5</c:v>
                </c:pt>
                <c:pt idx="2">
                  <c:v>9.3518005540166214E-6</c:v>
                </c:pt>
                <c:pt idx="3">
                  <c:v>3.2625800064063509E-6</c:v>
                </c:pt>
                <c:pt idx="4">
                  <c:v>2.9462410542765284E-5</c:v>
                </c:pt>
                <c:pt idx="5">
                  <c:v>2.0165438878254926E-6</c:v>
                </c:pt>
                <c:pt idx="6">
                  <c:v>1.0890026490950323E-6</c:v>
                </c:pt>
                <c:pt idx="7">
                  <c:v>4.7715691399310376E-8</c:v>
                </c:pt>
              </c:numCache>
            </c:numRef>
          </c:val>
          <c:extLst>
            <c:ext xmlns:c16="http://schemas.microsoft.com/office/drawing/2014/chart" uri="{C3380CC4-5D6E-409C-BE32-E72D297353CC}">
              <c16:uniqueId val="{00000002-FA19-4927-880B-8FC4A6B96E0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N=53</c:v>
                </c:pt>
                <c:pt idx="1">
                  <c:v>Confinement, total N=979</c:v>
                </c:pt>
                <c:pt idx="2">
                  <c:v>Delinquent Findings, total N=4750</c:v>
                </c:pt>
                <c:pt idx="3">
                  <c:v>Petitions, total N=10863</c:v>
                </c:pt>
                <c:pt idx="4">
                  <c:v>Detentions, total N=2745</c:v>
                </c:pt>
                <c:pt idx="5">
                  <c:v>Referrals, total N=18935</c:v>
                </c:pt>
                <c:pt idx="6">
                  <c:v>Arrests, total N=9678</c:v>
                </c:pt>
                <c:pt idx="7">
                  <c:v>Population, total N=991532</c:v>
                </c:pt>
              </c:strCache>
            </c:strRef>
          </c:cat>
          <c:val>
            <c:numRef>
              <c:f>'Stacked 100%'!$I$7:$I$14</c:f>
              <c:numCache>
                <c:formatCode>0%</c:formatCode>
                <c:ptCount val="8"/>
                <c:pt idx="0">
                  <c:v>5.6603773584905662E-2</c:v>
                </c:pt>
                <c:pt idx="1">
                  <c:v>0.56281920326864143</c:v>
                </c:pt>
                <c:pt idx="2">
                  <c:v>0.49389473684210528</c:v>
                </c:pt>
                <c:pt idx="3">
                  <c:v>0.33618705698241735</c:v>
                </c:pt>
                <c:pt idx="4">
                  <c:v>0.31511839708561018</c:v>
                </c:pt>
                <c:pt idx="5">
                  <c:v>0.38473725904409822</c:v>
                </c:pt>
                <c:pt idx="6">
                  <c:v>0.46724529861541642</c:v>
                </c:pt>
                <c:pt idx="7">
                  <c:v>0.68554217110491644</c:v>
                </c:pt>
              </c:numCache>
            </c:numRef>
          </c:val>
          <c:extLst>
            <c:ext xmlns:c16="http://schemas.microsoft.com/office/drawing/2014/chart" uri="{C3380CC4-5D6E-409C-BE32-E72D297353CC}">
              <c16:uniqueId val="{00000003-FA19-4927-880B-8FC4A6B96E0C}"/>
            </c:ext>
          </c:extLst>
        </c:ser>
        <c:dLbls>
          <c:showLegendKey val="0"/>
          <c:showVal val="0"/>
          <c:showCatName val="0"/>
          <c:showSerName val="0"/>
          <c:showPercent val="0"/>
          <c:showBubbleSize val="0"/>
        </c:dLbls>
        <c:gapWidth val="150"/>
        <c:overlap val="100"/>
        <c:axId val="126325504"/>
        <c:axId val="1263270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N=53</c:v>
                </c:pt>
                <c:pt idx="1">
                  <c:v>Confinement, total N=979</c:v>
                </c:pt>
                <c:pt idx="2">
                  <c:v>Delinquent Findings, total N=4750</c:v>
                </c:pt>
                <c:pt idx="3">
                  <c:v>Petitions, total N=10863</c:v>
                </c:pt>
                <c:pt idx="4">
                  <c:v>Detentions, total N=2745</c:v>
                </c:pt>
                <c:pt idx="5">
                  <c:v>Referrals, total N=18935</c:v>
                </c:pt>
                <c:pt idx="6">
                  <c:v>Arrests, total N=9678</c:v>
                </c:pt>
                <c:pt idx="7">
                  <c:v>Population, total N=991532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A19-4927-880B-8FC4A6B96E0C}"/>
            </c:ext>
          </c:extLst>
        </c:ser>
        <c:dLbls>
          <c:showLegendKey val="0"/>
          <c:showVal val="0"/>
          <c:showCatName val="0"/>
          <c:showSerName val="0"/>
          <c:showPercent val="0"/>
          <c:showBubbleSize val="0"/>
        </c:dLbls>
        <c:gapWidth val="150"/>
        <c:overlap val="100"/>
        <c:axId val="126330368"/>
        <c:axId val="126328832"/>
      </c:barChart>
      <c:catAx>
        <c:axId val="126325504"/>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26327040"/>
        <c:crosses val="autoZero"/>
        <c:auto val="1"/>
        <c:lblAlgn val="ctr"/>
        <c:lblOffset val="100"/>
        <c:noMultiLvlLbl val="0"/>
      </c:catAx>
      <c:valAx>
        <c:axId val="1263270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26325504"/>
        <c:crosses val="autoZero"/>
        <c:crossBetween val="between"/>
      </c:valAx>
      <c:valAx>
        <c:axId val="126328832"/>
        <c:scaling>
          <c:orientation val="minMax"/>
        </c:scaling>
        <c:delete val="1"/>
        <c:axPos val="t"/>
        <c:numFmt formatCode="0%" sourceLinked="1"/>
        <c:majorTickMark val="out"/>
        <c:minorTickMark val="none"/>
        <c:tickLblPos val="nextTo"/>
        <c:crossAx val="126330368"/>
        <c:crosses val="max"/>
        <c:crossBetween val="between"/>
      </c:valAx>
      <c:catAx>
        <c:axId val="126330368"/>
        <c:scaling>
          <c:orientation val="minMax"/>
        </c:scaling>
        <c:delete val="1"/>
        <c:axPos val="l"/>
        <c:numFmt formatCode="General" sourceLinked="1"/>
        <c:majorTickMark val="out"/>
        <c:minorTickMark val="none"/>
        <c:tickLblPos val="nextTo"/>
        <c:crossAx val="1263288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I12" sqref="I12"/>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2</v>
      </c>
      <c r="B2" s="4"/>
      <c r="C2" s="4"/>
      <c r="D2" s="4"/>
      <c r="E2" s="4"/>
      <c r="F2" s="4"/>
    </row>
    <row r="3" spans="1:11" ht="15" customHeight="1">
      <c r="A3" s="134" t="s">
        <v>3</v>
      </c>
      <c r="B3" s="4"/>
      <c r="C3" s="5" t="s">
        <v>4</v>
      </c>
      <c r="D3" s="6"/>
      <c r="E3" s="6"/>
      <c r="F3" s="6"/>
      <c r="G3" s="7"/>
      <c r="H3" s="7"/>
    </row>
    <row r="4" spans="1:11" ht="15" customHeight="1">
      <c r="A4" s="4"/>
      <c r="B4" s="4"/>
      <c r="C4" s="171" t="s">
        <v>5</v>
      </c>
      <c r="D4" s="171"/>
      <c r="E4" s="171"/>
      <c r="F4" s="171"/>
      <c r="G4" s="8"/>
    </row>
    <row r="5" spans="1:11" ht="65.25" customHeight="1" thickBot="1">
      <c r="A5" s="8"/>
      <c r="B5" s="9" t="s">
        <v>6</v>
      </c>
      <c r="C5" s="9" t="s">
        <v>7</v>
      </c>
      <c r="D5" s="9" t="s">
        <v>8</v>
      </c>
      <c r="E5" s="9" t="s">
        <v>9</v>
      </c>
      <c r="F5" s="9" t="s">
        <v>10</v>
      </c>
      <c r="G5" s="9" t="s">
        <v>11</v>
      </c>
      <c r="H5" s="9" t="s">
        <v>12</v>
      </c>
      <c r="I5" s="9" t="s">
        <v>13</v>
      </c>
      <c r="J5" s="9" t="s">
        <v>14</v>
      </c>
      <c r="K5" s="9" t="s">
        <v>15</v>
      </c>
    </row>
    <row r="6" spans="1:11" ht="15.75" customHeight="1" thickBot="1">
      <c r="A6" s="10" t="s">
        <v>16</v>
      </c>
      <c r="B6" s="11">
        <v>991532</v>
      </c>
      <c r="C6" s="11">
        <v>679737</v>
      </c>
      <c r="D6" s="11">
        <v>175028</v>
      </c>
      <c r="E6" s="11">
        <v>89856</v>
      </c>
      <c r="F6" s="11">
        <v>39232</v>
      </c>
      <c r="G6" s="11">
        <v>0</v>
      </c>
      <c r="H6" s="11">
        <v>7679</v>
      </c>
      <c r="I6" s="11">
        <v>0</v>
      </c>
      <c r="J6" s="168">
        <v>311795</v>
      </c>
      <c r="K6" s="11">
        <v>0</v>
      </c>
    </row>
    <row r="7" spans="1:11" ht="15.75" customHeight="1" thickBot="1">
      <c r="A7" s="167" t="s">
        <v>17</v>
      </c>
      <c r="B7" s="11">
        <v>9678</v>
      </c>
      <c r="C7" s="11">
        <v>4522</v>
      </c>
      <c r="D7" s="11">
        <v>4423</v>
      </c>
      <c r="E7" s="11">
        <v>229</v>
      </c>
      <c r="F7" s="11">
        <v>49</v>
      </c>
      <c r="G7" s="11">
        <v>5</v>
      </c>
      <c r="H7" s="11">
        <v>48</v>
      </c>
      <c r="I7" s="11">
        <v>0</v>
      </c>
      <c r="J7" s="168">
        <v>4754</v>
      </c>
      <c r="K7" s="11">
        <v>402</v>
      </c>
    </row>
    <row r="8" spans="1:11" ht="15.75" customHeight="1" thickBot="1">
      <c r="A8" s="10" t="s">
        <v>18</v>
      </c>
      <c r="B8" s="11">
        <v>18935</v>
      </c>
      <c r="C8" s="11">
        <v>7285</v>
      </c>
      <c r="D8" s="11">
        <v>4756</v>
      </c>
      <c r="E8" s="11">
        <v>567</v>
      </c>
      <c r="F8" s="11">
        <v>61</v>
      </c>
      <c r="G8" s="11">
        <v>8</v>
      </c>
      <c r="H8" s="11">
        <v>141</v>
      </c>
      <c r="I8" s="11">
        <v>513</v>
      </c>
      <c r="J8" s="168">
        <v>6046</v>
      </c>
      <c r="K8" s="11">
        <v>5604</v>
      </c>
    </row>
    <row r="9" spans="1:11" ht="15.75" customHeight="1" thickBot="1">
      <c r="A9" s="10" t="s">
        <v>19</v>
      </c>
      <c r="B9" s="11">
        <v>3990</v>
      </c>
      <c r="C9" s="11">
        <v>1889</v>
      </c>
      <c r="D9" s="11">
        <v>1459</v>
      </c>
      <c r="E9" s="11">
        <v>179</v>
      </c>
      <c r="F9" s="11">
        <v>31</v>
      </c>
      <c r="G9" s="11">
        <v>2</v>
      </c>
      <c r="H9" s="11">
        <v>20</v>
      </c>
      <c r="I9" s="11">
        <v>168</v>
      </c>
      <c r="J9" s="168">
        <v>1859</v>
      </c>
      <c r="K9" s="11">
        <v>242</v>
      </c>
    </row>
    <row r="10" spans="1:11" ht="15.75" customHeight="1" thickBot="1">
      <c r="A10" s="10" t="s">
        <v>20</v>
      </c>
      <c r="B10" s="11">
        <v>2745</v>
      </c>
      <c r="C10" s="11">
        <v>865</v>
      </c>
      <c r="D10" s="11">
        <v>1373</v>
      </c>
      <c r="E10" s="11">
        <v>176</v>
      </c>
      <c r="F10" s="11">
        <v>8</v>
      </c>
      <c r="G10" s="11">
        <v>0</v>
      </c>
      <c r="H10" s="11">
        <v>11</v>
      </c>
      <c r="I10" s="11">
        <v>203</v>
      </c>
      <c r="J10" s="168">
        <v>1771</v>
      </c>
      <c r="K10" s="11">
        <v>109</v>
      </c>
    </row>
    <row r="11" spans="1:11" ht="15.75" customHeight="1" thickBot="1">
      <c r="A11" s="10" t="s">
        <v>21</v>
      </c>
      <c r="B11" s="11">
        <v>10863</v>
      </c>
      <c r="C11" s="11">
        <v>3652</v>
      </c>
      <c r="D11" s="11">
        <v>2995</v>
      </c>
      <c r="E11" s="11">
        <v>342</v>
      </c>
      <c r="F11" s="11">
        <v>38</v>
      </c>
      <c r="G11" s="11">
        <v>1</v>
      </c>
      <c r="H11" s="11">
        <v>72</v>
      </c>
      <c r="I11" s="11">
        <v>274</v>
      </c>
      <c r="J11" s="168">
        <v>3722</v>
      </c>
      <c r="K11" s="11">
        <v>3489</v>
      </c>
    </row>
    <row r="12" spans="1:11" ht="15.75" customHeight="1" thickBot="1">
      <c r="A12" s="10" t="s">
        <v>22</v>
      </c>
      <c r="B12" s="11">
        <v>4750</v>
      </c>
      <c r="C12" s="11">
        <v>2346</v>
      </c>
      <c r="D12" s="11">
        <v>1553</v>
      </c>
      <c r="E12" s="11">
        <v>208</v>
      </c>
      <c r="F12" s="11">
        <v>16</v>
      </c>
      <c r="G12" s="11">
        <v>1</v>
      </c>
      <c r="H12" s="11">
        <v>46</v>
      </c>
      <c r="I12" s="11">
        <v>148</v>
      </c>
      <c r="J12" s="168">
        <v>1972</v>
      </c>
      <c r="K12" s="11">
        <v>432</v>
      </c>
    </row>
    <row r="13" spans="1:11" ht="15.75" customHeight="1" thickBot="1">
      <c r="A13" s="10" t="s">
        <v>23</v>
      </c>
      <c r="B13" s="11">
        <v>3734</v>
      </c>
      <c r="C13" s="11">
        <v>1965</v>
      </c>
      <c r="D13" s="11">
        <v>1093</v>
      </c>
      <c r="E13" s="11">
        <v>212</v>
      </c>
      <c r="F13" s="11">
        <v>15</v>
      </c>
      <c r="G13" s="11">
        <v>2</v>
      </c>
      <c r="H13" s="11">
        <v>68</v>
      </c>
      <c r="I13" s="11">
        <v>114</v>
      </c>
      <c r="J13" s="168">
        <v>1504</v>
      </c>
      <c r="K13" s="11">
        <v>265</v>
      </c>
    </row>
    <row r="14" spans="1:11" ht="26.25" customHeight="1" thickBot="1">
      <c r="A14" s="10" t="s">
        <v>24</v>
      </c>
      <c r="B14" s="11">
        <v>979</v>
      </c>
      <c r="C14" s="11">
        <v>551</v>
      </c>
      <c r="D14" s="11">
        <v>245</v>
      </c>
      <c r="E14" s="11">
        <v>27</v>
      </c>
      <c r="F14" s="11">
        <v>4</v>
      </c>
      <c r="G14" s="11">
        <v>0</v>
      </c>
      <c r="H14" s="11">
        <v>11</v>
      </c>
      <c r="I14" s="11">
        <v>20</v>
      </c>
      <c r="J14" s="168">
        <v>307</v>
      </c>
      <c r="K14" s="11">
        <v>121</v>
      </c>
    </row>
    <row r="15" spans="1:11" ht="15.75" customHeight="1" thickBot="1">
      <c r="A15" s="10" t="s">
        <v>25</v>
      </c>
      <c r="B15" s="11">
        <v>53</v>
      </c>
      <c r="C15" s="11">
        <v>3</v>
      </c>
      <c r="D15" s="11">
        <v>47</v>
      </c>
      <c r="E15" s="11">
        <v>0</v>
      </c>
      <c r="F15" s="11">
        <v>0</v>
      </c>
      <c r="G15" s="11">
        <v>0</v>
      </c>
      <c r="H15" s="11">
        <v>0</v>
      </c>
      <c r="I15" s="11">
        <v>2</v>
      </c>
      <c r="J15" s="168">
        <v>49</v>
      </c>
      <c r="K15" s="11">
        <v>1</v>
      </c>
    </row>
    <row r="16" spans="1:11" s="14" customFormat="1" ht="15" customHeight="1">
      <c r="A16" s="12" t="s">
        <v>26</v>
      </c>
      <c r="B16" s="13" t="str">
        <f>IF((B6 &gt; ($B6/100)),"Yes","No")</f>
        <v>Yes</v>
      </c>
      <c r="C16" s="13" t="str">
        <f>IF((C6 &gt; ($B6/100)),"Yes","No")</f>
        <v>Yes</v>
      </c>
      <c r="D16" s="13" t="str">
        <f t="shared" ref="D16:J16" si="0">IF((D6 &gt; ($B6/100)),"Yes","No")</f>
        <v>Yes</v>
      </c>
      <c r="E16" s="13" t="str">
        <f t="shared" si="0"/>
        <v>Yes</v>
      </c>
      <c r="F16" s="13" t="str">
        <f t="shared" si="0"/>
        <v>Yes</v>
      </c>
      <c r="G16" s="13" t="str">
        <f t="shared" si="0"/>
        <v>No</v>
      </c>
      <c r="H16" s="13" t="str">
        <f t="shared" si="0"/>
        <v>No</v>
      </c>
      <c r="I16" s="13" t="str">
        <f t="shared" si="0"/>
        <v>No</v>
      </c>
      <c r="J16" s="13" t="str">
        <f t="shared" si="0"/>
        <v>Yes</v>
      </c>
    </row>
    <row r="17" spans="1:9" ht="15" customHeight="1">
      <c r="A17" s="15"/>
    </row>
    <row r="18" spans="1:9" ht="15" customHeight="1">
      <c r="A18" s="16" t="s">
        <v>27</v>
      </c>
      <c r="B18" s="16"/>
      <c r="C18" s="16"/>
      <c r="D18" s="16"/>
      <c r="E18" s="16"/>
      <c r="F18" s="16"/>
      <c r="G18" s="16"/>
    </row>
    <row r="19" spans="1:9" ht="15" customHeight="1">
      <c r="A19" s="169" t="s">
        <v>28</v>
      </c>
      <c r="B19" s="169"/>
      <c r="C19" s="8"/>
      <c r="D19" s="169" t="s">
        <v>29</v>
      </c>
      <c r="E19" s="169"/>
      <c r="F19" s="169"/>
      <c r="G19" s="169"/>
      <c r="H19" s="169"/>
      <c r="I19" s="169"/>
    </row>
    <row r="20" spans="1:9" ht="15" customHeight="1">
      <c r="A20" s="169" t="s">
        <v>30</v>
      </c>
      <c r="B20" s="169"/>
      <c r="C20" s="8"/>
      <c r="D20" s="169" t="s">
        <v>31</v>
      </c>
      <c r="E20" s="169"/>
      <c r="F20" s="169"/>
      <c r="G20" s="169"/>
      <c r="H20" s="169"/>
      <c r="I20" s="169"/>
    </row>
    <row r="21" spans="1:9" ht="15" customHeight="1">
      <c r="A21" s="169" t="s">
        <v>32</v>
      </c>
      <c r="B21" s="169"/>
      <c r="C21" s="8"/>
      <c r="D21" s="169" t="s">
        <v>33</v>
      </c>
      <c r="E21" s="169"/>
      <c r="F21" s="169"/>
      <c r="G21" s="169"/>
      <c r="H21" s="169"/>
      <c r="I21" s="169"/>
    </row>
    <row r="22" spans="1:9" ht="15" customHeight="1">
      <c r="A22" s="169" t="s">
        <v>34</v>
      </c>
      <c r="B22" s="169"/>
      <c r="C22" s="8"/>
      <c r="D22" s="169" t="s">
        <v>35</v>
      </c>
      <c r="E22" s="169"/>
      <c r="F22" s="169"/>
      <c r="G22" s="169"/>
      <c r="H22" s="169"/>
      <c r="I22" s="169"/>
    </row>
    <row r="23" spans="1:9" ht="15" customHeight="1">
      <c r="A23" s="169" t="s">
        <v>36</v>
      </c>
      <c r="B23" s="169"/>
      <c r="C23" s="8"/>
      <c r="D23" s="169" t="s">
        <v>37</v>
      </c>
      <c r="E23" s="169"/>
      <c r="F23" s="169"/>
      <c r="G23" s="169"/>
      <c r="H23" s="169"/>
      <c r="I23" s="169"/>
    </row>
    <row r="24" spans="1:9" ht="15" customHeight="1">
      <c r="A24" s="8"/>
      <c r="B24" s="8"/>
      <c r="C24" s="8"/>
      <c r="D24" s="8"/>
      <c r="E24" s="8"/>
      <c r="F24" s="8"/>
      <c r="G24" s="8"/>
      <c r="H24" s="8"/>
      <c r="I24" s="8"/>
    </row>
    <row r="27" spans="1:9" s="8" customFormat="1" ht="81.75" customHeight="1"/>
    <row r="33" spans="1:3" ht="15.75" customHeight="1">
      <c r="C33" s="17"/>
    </row>
    <row r="34" spans="1:3" ht="15.75" customHeight="1">
      <c r="A34" s="1" t="s">
        <v>38</v>
      </c>
      <c r="B34" s="1" t="s">
        <v>39</v>
      </c>
      <c r="C34" s="17"/>
    </row>
    <row r="35" spans="1:3" ht="15">
      <c r="A35" s="1" t="s">
        <v>40</v>
      </c>
      <c r="B35" s="1" t="s">
        <v>39</v>
      </c>
    </row>
    <row r="36" spans="1:3" ht="15">
      <c r="A36" s="1" t="s">
        <v>41</v>
      </c>
      <c r="B36" s="1" t="s">
        <v>39</v>
      </c>
    </row>
    <row r="37" spans="1:3" ht="15">
      <c r="A37" s="1" t="s">
        <v>42</v>
      </c>
    </row>
    <row r="38" spans="1:3" ht="15">
      <c r="A38" s="1" t="s">
        <v>43</v>
      </c>
    </row>
    <row r="39" spans="1:3" ht="15">
      <c r="A39" s="1" t="s">
        <v>44</v>
      </c>
    </row>
    <row r="40" spans="1:3" ht="15">
      <c r="A40" s="1" t="s">
        <v>45</v>
      </c>
    </row>
    <row r="41" spans="1:3" ht="15">
      <c r="A41" s="1" t="s">
        <v>46</v>
      </c>
    </row>
    <row r="42" spans="1:3" ht="15">
      <c r="A42" s="1" t="s">
        <v>47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oddHeader>&amp;C&amp;"Calibri"&amp;10&amp;K000000 MPHI Internal Use Only&amp;1#_x000D_</oddHeader>
    <oddFooter>&amp;C_x000D_&amp;1#&amp;"Calibri"&amp;10&amp;K000000 MPHI 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G11" sqref="G11"/>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75</v>
      </c>
      <c r="D1" s="20" t="s">
        <v>76</v>
      </c>
      <c r="E1" s="14"/>
      <c r="F1" s="189" t="str">
        <f>'Data Entry'!I5</f>
        <v>Biracial or Other</v>
      </c>
      <c r="G1" s="189"/>
      <c r="H1" s="189"/>
      <c r="I1" s="189"/>
      <c r="J1" s="18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188" t="s">
        <v>77</v>
      </c>
      <c r="O3" s="188"/>
      <c r="P3" s="188"/>
      <c r="Q3" s="188"/>
      <c r="R3" s="188"/>
      <c r="S3" s="188"/>
      <c r="T3" s="188"/>
      <c r="U3" s="188"/>
    </row>
    <row r="4" spans="2:21" ht="8.25" customHeight="1">
      <c r="B4" s="4"/>
      <c r="C4" s="23"/>
      <c r="D4" s="23"/>
      <c r="E4" s="23"/>
      <c r="F4" s="23"/>
      <c r="G4" s="8"/>
      <c r="H4" s="8"/>
      <c r="I4" s="8"/>
      <c r="N4" s="188"/>
      <c r="O4" s="188"/>
      <c r="P4" s="188"/>
      <c r="Q4" s="188"/>
      <c r="R4" s="188"/>
      <c r="S4" s="188"/>
      <c r="T4" s="188"/>
      <c r="U4" s="188"/>
    </row>
    <row r="5" spans="2:21" ht="66.75" customHeight="1">
      <c r="B5" s="24" t="s">
        <v>78</v>
      </c>
      <c r="C5" s="25" t="s">
        <v>79</v>
      </c>
      <c r="D5" s="26" t="s">
        <v>80</v>
      </c>
      <c r="E5" s="25" t="s">
        <v>81</v>
      </c>
      <c r="F5" s="25" t="s">
        <v>82</v>
      </c>
      <c r="G5" s="27" t="s">
        <v>83</v>
      </c>
      <c r="H5" s="25"/>
      <c r="I5" s="25"/>
      <c r="J5" s="25" t="s">
        <v>84</v>
      </c>
      <c r="K5" s="28" t="s">
        <v>85</v>
      </c>
      <c r="L5" s="8" t="s">
        <v>86</v>
      </c>
      <c r="M5" s="8" t="s">
        <v>87</v>
      </c>
      <c r="N5" s="29" t="s">
        <v>88</v>
      </c>
      <c r="O5" s="21" t="s">
        <v>89</v>
      </c>
      <c r="P5" s="21" t="s">
        <v>90</v>
      </c>
      <c r="Q5" s="21" t="s">
        <v>91</v>
      </c>
      <c r="R5" s="21" t="s">
        <v>92</v>
      </c>
      <c r="S5" s="30" t="s">
        <v>93</v>
      </c>
      <c r="T5" s="30" t="s">
        <v>94</v>
      </c>
      <c r="U5" s="31" t="s">
        <v>95</v>
      </c>
    </row>
    <row r="6" spans="2:21" ht="20.25" customHeight="1">
      <c r="B6" s="32" t="str">
        <f>'Data Entry'!A6</f>
        <v xml:space="preserve">1. Population at Risk (age 10-17) </v>
      </c>
      <c r="C6" s="33">
        <f>'Data Entry'!C6</f>
        <v>679737</v>
      </c>
      <c r="D6" s="34"/>
      <c r="E6" s="33">
        <f>'Data Entry'!I6</f>
        <v>0</v>
      </c>
      <c r="F6" s="34"/>
      <c r="G6" s="35"/>
      <c r="H6" s="36"/>
      <c r="I6" s="37"/>
      <c r="J6" s="38"/>
      <c r="K6" s="37"/>
      <c r="L6" s="1">
        <f>IF( ('Data Entry'!I6&gt;('Data Entry'!B6/100)),1,100)</f>
        <v>100</v>
      </c>
      <c r="M6" s="1" t="s">
        <v>96</v>
      </c>
      <c r="N6" s="21"/>
      <c r="O6" s="21"/>
      <c r="P6" s="21"/>
      <c r="Q6" s="21"/>
      <c r="R6" s="21"/>
      <c r="S6" s="30"/>
      <c r="T6" s="30"/>
      <c r="U6" s="31"/>
    </row>
    <row r="7" spans="2:21" ht="18" customHeight="1">
      <c r="B7" s="32" t="str">
        <f>'Data Entry'!A7</f>
        <v>2. Juvenile Arrests</v>
      </c>
      <c r="C7" s="33">
        <f>'Data Entry'!C7</f>
        <v>4522</v>
      </c>
      <c r="D7" s="34">
        <f>IF((AND(C66&gt;0,C7&gt;0)),(C7/C66),0)</f>
        <v>6.6525729804321383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4522</v>
      </c>
      <c r="Q7" s="42">
        <f>C6-C7</f>
        <v>675215</v>
      </c>
      <c r="R7" s="42">
        <f t="shared" ref="R7:R15" si="5">SUM(N7:Q7)</f>
        <v>679737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7285</v>
      </c>
      <c r="D8" s="34">
        <f>IF((AND(C67&gt;0,C8&gt;0)),(C8/C67),0)</f>
        <v>161.10128261831048</v>
      </c>
      <c r="E8" s="33">
        <f>'Data Entry'!I8</f>
        <v>513</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513</v>
      </c>
      <c r="O8" s="42">
        <f>((D67*L67)-E8)+0.05</f>
        <v>-512.95000000000005</v>
      </c>
      <c r="P8" s="42">
        <f t="shared" si="4"/>
        <v>7285</v>
      </c>
      <c r="Q8" s="42">
        <f>(C$67*L67)-C8</f>
        <v>-2763</v>
      </c>
      <c r="R8" s="42">
        <f t="shared" si="5"/>
        <v>4522.05</v>
      </c>
      <c r="S8" s="30">
        <f t="shared" si="6"/>
        <v>2.4327350410137716E+16</v>
      </c>
      <c r="T8" s="30">
        <f t="shared" si="7"/>
        <v>-5775918516.404747</v>
      </c>
      <c r="U8" s="31">
        <f t="shared" si="8"/>
        <v>-4211858.3115470288</v>
      </c>
    </row>
    <row r="9" spans="2:21" ht="18" customHeight="1">
      <c r="B9" s="32" t="str">
        <f>'Data Entry'!A9</f>
        <v xml:space="preserve">4. Cases Diverted </v>
      </c>
      <c r="C9" s="33">
        <f>'Data Entry'!C9</f>
        <v>1889</v>
      </c>
      <c r="D9" s="34">
        <f>IF((AND(C68&gt;0,C9&gt;0)),((C9/C68)),0)</f>
        <v>25.92999313658202</v>
      </c>
      <c r="E9" s="33">
        <f>'Data Entry'!I9</f>
        <v>168</v>
      </c>
      <c r="F9" s="34">
        <f>IF((AND($E$9&gt;0,$D$68&gt;0)),(($E$9/$D$68)),0)</f>
        <v>32.748538011695906</v>
      </c>
      <c r="G9" s="39" t="str">
        <f t="shared" si="0"/>
        <v>*</v>
      </c>
      <c r="H9" s="40"/>
      <c r="I9" s="41"/>
      <c r="J9" s="40">
        <f>IF((ABS($U9)&gt;Defaults!D$7),1,2)</f>
        <v>1</v>
      </c>
      <c r="K9" s="39">
        <f>IF((AND(N9&gt;Defaults!B$12,(N9+O9)&gt;Defaults!B$13, P9 &gt; Defaults!B$12, (P9+Q9) &gt; Defaults!B$13)),1,20)</f>
        <v>1</v>
      </c>
      <c r="L9" s="1">
        <f t="shared" si="1"/>
        <v>100</v>
      </c>
      <c r="M9" s="1" t="b">
        <f t="shared" si="2"/>
        <v>1</v>
      </c>
      <c r="N9" s="42">
        <f t="shared" si="3"/>
        <v>168</v>
      </c>
      <c r="O9" s="42">
        <f>(D$68*L68)-E9</f>
        <v>345</v>
      </c>
      <c r="P9" s="42">
        <f t="shared" si="4"/>
        <v>1889</v>
      </c>
      <c r="Q9" s="42">
        <f>(C$68*L68)-C9</f>
        <v>5395.9999999999991</v>
      </c>
      <c r="R9" s="42">
        <f t="shared" si="5"/>
        <v>7797.9999999999991</v>
      </c>
      <c r="S9" s="30">
        <f t="shared" si="6"/>
        <v>506361268843541.44</v>
      </c>
      <c r="T9" s="30">
        <f t="shared" si="7"/>
        <v>44133539562584.984</v>
      </c>
      <c r="U9" s="31">
        <f t="shared" si="8"/>
        <v>11.473389033877048</v>
      </c>
    </row>
    <row r="10" spans="2:21" ht="18" customHeight="1">
      <c r="B10" s="32" t="str">
        <f>'Data Entry'!A10</f>
        <v>5. Cases Involving Secure Detention</v>
      </c>
      <c r="C10" s="33">
        <f>'Data Entry'!C10</f>
        <v>865</v>
      </c>
      <c r="D10" s="34">
        <f>IF(((AND(C68&gt;0,C10&gt;0))),(C10/(C68)),0)</f>
        <v>11.873713109128348</v>
      </c>
      <c r="E10" s="33">
        <f>'Data Entry'!I10</f>
        <v>203</v>
      </c>
      <c r="F10" s="34">
        <f>IF(((AND($E$10&gt;0,$D$68&gt;0))),($E$10/($D$68)),0)</f>
        <v>39.571150097465889</v>
      </c>
      <c r="G10" s="39" t="str">
        <f t="shared" si="0"/>
        <v>*</v>
      </c>
      <c r="H10" s="40"/>
      <c r="I10" s="41"/>
      <c r="J10" s="40">
        <f>IF((ABS($U10)&gt;Defaults!D$7),1,2)</f>
        <v>1</v>
      </c>
      <c r="K10" s="39">
        <f>IF((AND(N10&gt;Defaults!B$12,(N10+O10)&gt;Defaults!B$13, P10 &gt; Defaults!B$12, (P10+Q10) &gt; Defaults!B$13)),1,20)</f>
        <v>1</v>
      </c>
      <c r="L10" s="1">
        <f t="shared" si="1"/>
        <v>100</v>
      </c>
      <c r="M10" s="1" t="b">
        <f t="shared" si="2"/>
        <v>1</v>
      </c>
      <c r="N10" s="42">
        <f t="shared" si="3"/>
        <v>203</v>
      </c>
      <c r="O10" s="42">
        <f>(D$68*L68)-E10</f>
        <v>310</v>
      </c>
      <c r="P10" s="42">
        <f t="shared" si="4"/>
        <v>865</v>
      </c>
      <c r="Q10" s="42">
        <f>(C$68*L68)-C10</f>
        <v>6419.9999999999991</v>
      </c>
      <c r="R10" s="42">
        <f t="shared" si="5"/>
        <v>7797.9999999999991</v>
      </c>
      <c r="S10" s="30">
        <f t="shared" si="6"/>
        <v>8355188248955795</v>
      </c>
      <c r="T10" s="30">
        <f t="shared" si="7"/>
        <v>26861684146199.992</v>
      </c>
      <c r="U10" s="31">
        <f t="shared" si="8"/>
        <v>311.04484005846552</v>
      </c>
    </row>
    <row r="11" spans="2:21" ht="18" customHeight="1">
      <c r="B11" s="32" t="str">
        <f>'Data Entry'!A11</f>
        <v>6. Cases Petitioned (Charge Filed)</v>
      </c>
      <c r="C11" s="33">
        <f>'Data Entry'!C11</f>
        <v>3652</v>
      </c>
      <c r="D11" s="34">
        <f>IF(((AND(C68&gt;0,C11&gt;0))),(C11/(C68)),0)</f>
        <v>50.130404941660949</v>
      </c>
      <c r="E11" s="33">
        <f>'Data Entry'!I11</f>
        <v>274</v>
      </c>
      <c r="F11" s="34">
        <f>IF(((AND($E$11&gt;0,$D$68&gt;0))),($E$11/($D$68)),0)</f>
        <v>53.411306042884995</v>
      </c>
      <c r="G11" s="39" t="str">
        <f t="shared" si="0"/>
        <v>*</v>
      </c>
      <c r="H11" s="40"/>
      <c r="I11" s="41"/>
      <c r="J11" s="40">
        <f>IF((ABS($U11)&gt;Defaults!D$7),1,2)</f>
        <v>2</v>
      </c>
      <c r="K11" s="39">
        <f>IF((AND(N11&gt;Defaults!B$12,(N11+O11)&gt;Defaults!B$13, P11 &gt; Defaults!B$12, (P11+Q11) &gt; Defaults!B$13)),1,20)</f>
        <v>1</v>
      </c>
      <c r="L11" s="1">
        <f t="shared" si="1"/>
        <v>101</v>
      </c>
      <c r="M11" s="1" t="b">
        <f t="shared" si="2"/>
        <v>1</v>
      </c>
      <c r="N11" s="42">
        <f t="shared" si="3"/>
        <v>274</v>
      </c>
      <c r="O11" s="42">
        <f>(D$68*L68)-E11</f>
        <v>239</v>
      </c>
      <c r="P11" s="42">
        <f t="shared" si="4"/>
        <v>3652</v>
      </c>
      <c r="Q11" s="42">
        <f>(C$68*L68)-C11</f>
        <v>3632.9999999999991</v>
      </c>
      <c r="R11" s="42">
        <f t="shared" si="5"/>
        <v>7797.9999999999991</v>
      </c>
      <c r="S11" s="30">
        <f t="shared" si="6"/>
        <v>117236636982807.55</v>
      </c>
      <c r="T11" s="30">
        <f t="shared" si="7"/>
        <v>56811017165759.977</v>
      </c>
      <c r="U11" s="31">
        <f t="shared" si="8"/>
        <v>2.0636250296441818</v>
      </c>
    </row>
    <row r="12" spans="2:21" ht="18" customHeight="1">
      <c r="B12" s="32" t="str">
        <f>'Data Entry'!A12</f>
        <v>7. Cases Resulting in Delinquent Findings</v>
      </c>
      <c r="C12" s="33">
        <f>'Data Entry'!C12</f>
        <v>2346</v>
      </c>
      <c r="D12" s="34">
        <f>IF(((AND(C69&gt;0,C12&gt;0))),(C12/(C69)),0)</f>
        <v>64.238773274917847</v>
      </c>
      <c r="E12" s="33">
        <f>'Data Entry'!I12</f>
        <v>148</v>
      </c>
      <c r="F12" s="34">
        <f>IF(((AND($D$69&gt;0,$E$12&gt;0))),(E12/(D69)),0)</f>
        <v>54.014598540145982</v>
      </c>
      <c r="G12" s="39" t="str">
        <f t="shared" si="0"/>
        <v>*</v>
      </c>
      <c r="H12" s="40"/>
      <c r="I12" s="41"/>
      <c r="J12" s="40">
        <f>IF((ABS($U12)&gt;Defaults!D$7),1,2)</f>
        <v>1</v>
      </c>
      <c r="K12" s="39">
        <f>IF((AND(N12&gt;Defaults!B$12,(N12+O12)&gt;Defaults!B$13, P12 &gt; Defaults!B$12, (P12+Q12) &gt; Defaults!B$13)),1,20)</f>
        <v>1</v>
      </c>
      <c r="L12" s="1">
        <f t="shared" si="1"/>
        <v>100</v>
      </c>
      <c r="M12" s="1" t="b">
        <f t="shared" si="2"/>
        <v>1</v>
      </c>
      <c r="N12" s="42">
        <f t="shared" si="3"/>
        <v>148</v>
      </c>
      <c r="O12" s="42">
        <f>(D69*L69)-E12</f>
        <v>126</v>
      </c>
      <c r="P12" s="42">
        <f t="shared" si="4"/>
        <v>2346</v>
      </c>
      <c r="Q12" s="42">
        <f>(C69*L69)-C12</f>
        <v>1306.0000000000005</v>
      </c>
      <c r="R12" s="42">
        <f t="shared" si="5"/>
        <v>3926.0000000000005</v>
      </c>
      <c r="S12" s="30">
        <f t="shared" si="6"/>
        <v>41093154868063.961</v>
      </c>
      <c r="T12" s="30">
        <f t="shared" si="7"/>
        <v>3573722272384.002</v>
      </c>
      <c r="U12" s="31">
        <f t="shared" si="8"/>
        <v>11.498698481863572</v>
      </c>
    </row>
    <row r="13" spans="2:21" ht="18" customHeight="1">
      <c r="B13" s="32" t="str">
        <f>'Data Entry'!A13</f>
        <v>8. Cases Resulting in Probation Placement</v>
      </c>
      <c r="C13" s="33">
        <f>'Data Entry'!C13</f>
        <v>1965</v>
      </c>
      <c r="D13" s="34">
        <f>IF(((AND(C70&gt;0,C13&gt;0))),(C13/(C70)),0)</f>
        <v>83.759590792838878</v>
      </c>
      <c r="E13" s="33">
        <f>'Data Entry'!I13</f>
        <v>114</v>
      </c>
      <c r="F13" s="34">
        <f>IF(((AND($D$70&gt;0,$E$13&gt;0))),($E$13/($D$70)),0)</f>
        <v>77.027027027027032</v>
      </c>
      <c r="G13" s="39" t="str">
        <f t="shared" si="0"/>
        <v>*</v>
      </c>
      <c r="H13" s="40"/>
      <c r="I13" s="41"/>
      <c r="J13" s="40">
        <f>IF((ABS($U13)&gt;Defaults!D$7),1,2)</f>
        <v>1</v>
      </c>
      <c r="K13" s="39">
        <f>IF((AND(N13&gt;Defaults!B$12,(N13+O13)&gt;Defaults!B$13, P13 &gt; Defaults!B$12, (P13+Q13) &gt; Defaults!B$13)),1,20)</f>
        <v>1</v>
      </c>
      <c r="L13" s="1">
        <f t="shared" si="1"/>
        <v>100</v>
      </c>
      <c r="M13" s="1" t="b">
        <f t="shared" si="2"/>
        <v>1</v>
      </c>
      <c r="N13" s="42">
        <f t="shared" si="3"/>
        <v>114</v>
      </c>
      <c r="O13" s="42">
        <f>(D70*L70)-E13</f>
        <v>34</v>
      </c>
      <c r="P13" s="42">
        <f t="shared" si="4"/>
        <v>1965</v>
      </c>
      <c r="Q13" s="42">
        <f>(C70*L70)-C13</f>
        <v>381</v>
      </c>
      <c r="R13" s="42">
        <f t="shared" si="5"/>
        <v>2494</v>
      </c>
      <c r="S13" s="30">
        <f t="shared" si="6"/>
        <v>1362814815744</v>
      </c>
      <c r="T13" s="30">
        <f t="shared" si="7"/>
        <v>299565854280</v>
      </c>
      <c r="U13" s="31">
        <f t="shared" si="8"/>
        <v>4.5492995822888282</v>
      </c>
    </row>
    <row r="14" spans="2:21" ht="30.75" customHeight="1">
      <c r="B14" s="32" t="str">
        <f>'Data Entry'!A14</f>
        <v xml:space="preserve">9. Cases Resulting in Confinement in Secure Juvenile Correctional Facilities </v>
      </c>
      <c r="C14" s="33">
        <f>'Data Entry'!C14</f>
        <v>551</v>
      </c>
      <c r="D14" s="34">
        <f>IF(((AND(C70&gt;0,C14&gt;0))), ((C14/(C70))),0)</f>
        <v>23.486786018755328</v>
      </c>
      <c r="E14" s="33">
        <f>'Data Entry'!I14</f>
        <v>20</v>
      </c>
      <c r="F14" s="34">
        <f>IF(((AND($D$70&gt;0,$E$14&gt;0))), (($E$14/($D$70))),0)</f>
        <v>13.513513513513514</v>
      </c>
      <c r="G14" s="39" t="str">
        <f t="shared" si="0"/>
        <v>*</v>
      </c>
      <c r="H14" s="40"/>
      <c r="I14" s="41"/>
      <c r="J14" s="40">
        <f>IF((ABS($U14)&gt;Defaults!D$7),1,2)</f>
        <v>1</v>
      </c>
      <c r="K14" s="39">
        <f>IF((AND(N14&gt;Defaults!B$12,(N14+O14)&gt;Defaults!B$13, P14 &gt; Defaults!B$12, (P14+Q14) &gt; Defaults!B$13)),1,20)</f>
        <v>1</v>
      </c>
      <c r="L14" s="1">
        <f t="shared" si="1"/>
        <v>100</v>
      </c>
      <c r="M14" s="1" t="b">
        <f t="shared" si="2"/>
        <v>1</v>
      </c>
      <c r="N14" s="42">
        <f t="shared" si="3"/>
        <v>20</v>
      </c>
      <c r="O14" s="42">
        <f>(D70*L70)-E14</f>
        <v>128</v>
      </c>
      <c r="P14" s="42">
        <f t="shared" si="4"/>
        <v>551</v>
      </c>
      <c r="Q14" s="42">
        <f>(C70*L70)-C14</f>
        <v>1795</v>
      </c>
      <c r="R14" s="42">
        <f t="shared" si="5"/>
        <v>2494</v>
      </c>
      <c r="S14" s="30">
        <f t="shared" si="6"/>
        <v>2990551369696</v>
      </c>
      <c r="T14" s="30">
        <f t="shared" si="7"/>
        <v>381245841864</v>
      </c>
      <c r="U14" s="31">
        <f t="shared" si="8"/>
        <v>7.8441547193655818</v>
      </c>
    </row>
    <row r="15" spans="2:21" ht="15.75" customHeight="1">
      <c r="B15" s="32" t="str">
        <f>'Data Entry'!A15</f>
        <v xml:space="preserve">10. Cases Transferred to Adult Court </v>
      </c>
      <c r="C15" s="33">
        <f>'Data Entry'!C15</f>
        <v>3</v>
      </c>
      <c r="D15" s="34">
        <f>IF(((AND(C69&gt;0,C15&gt;0))),((C15/(C69))),0)</f>
        <v>8.2146768893756841E-2</v>
      </c>
      <c r="E15" s="33">
        <f>'Data Entry'!I15</f>
        <v>2</v>
      </c>
      <c r="F15" s="34">
        <f>IF(((AND($D$69&gt;0,$E$15&gt;0))),(($E$15/($D$69))),0)</f>
        <v>0.72992700729927007</v>
      </c>
      <c r="G15" s="39" t="str">
        <f t="shared" si="0"/>
        <v>*</v>
      </c>
      <c r="H15" s="40"/>
      <c r="I15" s="41"/>
      <c r="J15" s="40">
        <f>IF((ABS($U15)&gt;Defaults!D$7),1,2)</f>
        <v>1</v>
      </c>
      <c r="K15" s="39">
        <f>IF((AND(N15&gt;Defaults!B$12,(N15+O15)&gt;Defaults!B$13, P15 &gt; Defaults!B$12, (P15+Q15) &gt; Defaults!B$13)),1,20)</f>
        <v>20</v>
      </c>
      <c r="L15" s="1">
        <f t="shared" si="1"/>
        <v>119</v>
      </c>
      <c r="M15" s="1" t="b">
        <f t="shared" si="2"/>
        <v>1</v>
      </c>
      <c r="N15" s="42">
        <f t="shared" si="3"/>
        <v>2</v>
      </c>
      <c r="O15" s="42">
        <f>(D69*L69)-E15</f>
        <v>272</v>
      </c>
      <c r="P15" s="42">
        <f t="shared" si="4"/>
        <v>3</v>
      </c>
      <c r="Q15" s="42">
        <f>(C69*L69)-C15</f>
        <v>3649.0000000000005</v>
      </c>
      <c r="R15" s="42">
        <f t="shared" si="5"/>
        <v>3926.0000000000005</v>
      </c>
      <c r="S15" s="30">
        <f t="shared" si="6"/>
        <v>164956088024.00009</v>
      </c>
      <c r="T15" s="30">
        <f t="shared" si="7"/>
        <v>19617704040.000008</v>
      </c>
      <c r="U15" s="31">
        <f t="shared" si="8"/>
        <v>8.4085317878003849</v>
      </c>
    </row>
    <row r="16" spans="2:21" ht="12" customHeight="1">
      <c r="B16" s="43" t="s">
        <v>130</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131</v>
      </c>
      <c r="L17" s="1" t="s">
        <v>132</v>
      </c>
      <c r="N17" s="21"/>
      <c r="O17" s="21"/>
      <c r="P17" s="21"/>
      <c r="Q17" s="21"/>
      <c r="R17" s="21"/>
      <c r="S17" s="30"/>
      <c r="T17" s="30"/>
      <c r="U17" s="31"/>
    </row>
    <row r="18" spans="2:21" ht="15" customHeight="1">
      <c r="B18" s="1" t="s">
        <v>56</v>
      </c>
    </row>
    <row r="19" spans="2:21" ht="15" customHeight="1">
      <c r="B19" s="1" t="s">
        <v>98</v>
      </c>
      <c r="D19" s="45" t="s">
        <v>58</v>
      </c>
    </row>
    <row r="20" spans="2:21" ht="15" customHeight="1">
      <c r="B20" s="1" t="s">
        <v>99</v>
      </c>
      <c r="D20" s="1" t="s">
        <v>62</v>
      </c>
    </row>
    <row r="21" spans="2:21" ht="15" customHeight="1">
      <c r="B21" s="1" t="s">
        <v>59</v>
      </c>
      <c r="D21" s="1" t="s">
        <v>60</v>
      </c>
    </row>
    <row r="22" spans="2:21" ht="15" customHeight="1">
      <c r="B22" s="1" t="s">
        <v>63</v>
      </c>
      <c r="D22" s="1" t="s">
        <v>64</v>
      </c>
    </row>
    <row r="23" spans="2:21" ht="15" customHeight="1">
      <c r="B23" s="1" t="s">
        <v>65</v>
      </c>
      <c r="D23" s="1" t="s">
        <v>66</v>
      </c>
    </row>
    <row r="24" spans="2:21" ht="26.25" customHeight="1">
      <c r="B24" s="62"/>
      <c r="C24" s="62"/>
      <c r="D24" s="62"/>
      <c r="E24" s="62"/>
      <c r="F24" s="62"/>
      <c r="G24" s="62"/>
      <c r="H24" s="62"/>
      <c r="I24" s="62"/>
      <c r="N24" s="21"/>
      <c r="O24" s="21"/>
      <c r="P24" s="21"/>
      <c r="Q24" s="21"/>
      <c r="R24" s="21"/>
      <c r="S24" s="30"/>
      <c r="T24" s="30"/>
      <c r="U24" s="31"/>
    </row>
    <row r="25" spans="2:21" ht="15" customHeight="1">
      <c r="B25" s="46" t="s">
        <v>100</v>
      </c>
      <c r="K25" s="1" t="s">
        <v>101</v>
      </c>
      <c r="L25" s="1" t="s">
        <v>102</v>
      </c>
      <c r="N25" s="21"/>
      <c r="O25" s="21" t="b">
        <f>ISBLANK(N12)</f>
        <v>0</v>
      </c>
      <c r="P25" s="21"/>
      <c r="Q25" s="21"/>
      <c r="R25" s="21"/>
    </row>
    <row r="26" spans="2:21" ht="15" customHeight="1">
      <c r="B26" s="47" t="s">
        <v>103</v>
      </c>
      <c r="F26" s="47" t="s">
        <v>104</v>
      </c>
      <c r="G26" s="47"/>
      <c r="H26" s="47"/>
      <c r="I26" s="47"/>
      <c r="J26" s="47"/>
      <c r="K26" s="48" t="s">
        <v>66</v>
      </c>
      <c r="L26" s="48" t="s">
        <v>105</v>
      </c>
      <c r="M26" s="48"/>
      <c r="R26" s="49"/>
    </row>
    <row r="27" spans="2:21" ht="15" customHeight="1">
      <c r="B27" s="50" t="s">
        <v>106</v>
      </c>
      <c r="C27" s="50"/>
      <c r="D27" s="50"/>
      <c r="E27" s="50"/>
      <c r="F27" s="50" t="str">
        <f>B66</f>
        <v>per 1000 youth</v>
      </c>
      <c r="G27" s="50"/>
      <c r="H27" s="50"/>
      <c r="I27" s="50"/>
      <c r="J27" s="50">
        <f>F66</f>
        <v>0</v>
      </c>
      <c r="K27" s="50" t="s">
        <v>64</v>
      </c>
      <c r="L27" s="51" t="s">
        <v>107</v>
      </c>
      <c r="R27" s="49"/>
    </row>
    <row r="28" spans="2:21" ht="15" customHeight="1">
      <c r="B28" s="50" t="s">
        <v>108</v>
      </c>
      <c r="C28" s="50"/>
      <c r="D28" s="50"/>
      <c r="E28" s="50"/>
      <c r="F28" s="52" t="str">
        <f>B67</f>
        <v>per 100 arrests</v>
      </c>
      <c r="G28" s="52"/>
      <c r="H28" s="52"/>
      <c r="I28" s="52"/>
      <c r="J28" s="52"/>
      <c r="K28" s="52" t="s">
        <v>60</v>
      </c>
      <c r="L28" s="53" t="s">
        <v>109</v>
      </c>
      <c r="R28" s="49"/>
    </row>
    <row r="29" spans="2:21" ht="15" customHeight="1">
      <c r="B29" s="52" t="s">
        <v>110</v>
      </c>
      <c r="C29" s="52"/>
      <c r="D29" s="52"/>
      <c r="E29" s="52"/>
      <c r="F29" s="52" t="str">
        <f>B68</f>
        <v>per 100 referrals</v>
      </c>
      <c r="G29" s="52"/>
      <c r="H29" s="52"/>
      <c r="I29" s="52"/>
      <c r="J29" s="52"/>
      <c r="K29" s="52"/>
      <c r="L29" s="53"/>
      <c r="R29" s="49"/>
    </row>
    <row r="30" spans="2:21" ht="15" customHeight="1">
      <c r="B30" s="52" t="s">
        <v>111</v>
      </c>
      <c r="C30" s="52"/>
      <c r="D30" s="52"/>
      <c r="E30" s="52"/>
      <c r="F30" s="52" t="str">
        <f>B68</f>
        <v>per 100 referrals</v>
      </c>
      <c r="G30" s="52"/>
      <c r="H30" s="52"/>
      <c r="I30" s="52"/>
      <c r="J30" s="52"/>
      <c r="K30" s="52"/>
      <c r="L30" s="53"/>
      <c r="N30" s="1" t="b">
        <f>ISNUMBER(J14)</f>
        <v>1</v>
      </c>
      <c r="R30" s="49"/>
    </row>
    <row r="31" spans="2:21" ht="15" customHeight="1">
      <c r="B31" s="52" t="s">
        <v>112</v>
      </c>
      <c r="C31" s="52"/>
      <c r="D31" s="52"/>
      <c r="E31" s="52"/>
      <c r="F31" s="52" t="str">
        <f>B68</f>
        <v>per 100 referrals</v>
      </c>
      <c r="G31" s="52"/>
      <c r="H31" s="52"/>
      <c r="I31" s="52"/>
      <c r="J31" s="52"/>
      <c r="K31" s="52"/>
      <c r="L31" s="53"/>
      <c r="R31" s="49"/>
    </row>
    <row r="32" spans="2:21" ht="15" customHeight="1">
      <c r="B32" s="52" t="s">
        <v>113</v>
      </c>
      <c r="C32" s="52"/>
      <c r="D32" s="52"/>
      <c r="E32" s="52"/>
      <c r="F32" s="52" t="str">
        <f>B69</f>
        <v>per 100 youth petitioned</v>
      </c>
      <c r="G32" s="52"/>
      <c r="H32" s="52"/>
      <c r="I32" s="52"/>
      <c r="J32" s="52"/>
      <c r="K32" s="52"/>
      <c r="L32" s="53"/>
      <c r="R32" s="49"/>
    </row>
    <row r="33" spans="2:18" ht="15" customHeight="1">
      <c r="B33" s="52" t="s">
        <v>114</v>
      </c>
      <c r="C33" s="52"/>
      <c r="D33" s="52"/>
      <c r="E33" s="52"/>
      <c r="F33" s="52" t="str">
        <f>B70</f>
        <v>per 100 youth found delinquent</v>
      </c>
      <c r="G33" s="52"/>
      <c r="H33" s="52"/>
      <c r="I33" s="52"/>
      <c r="J33" s="52"/>
      <c r="K33" s="52"/>
      <c r="L33" s="53"/>
      <c r="R33" s="49"/>
    </row>
    <row r="34" spans="2:18" ht="15" customHeight="1">
      <c r="B34" s="52" t="s">
        <v>115</v>
      </c>
      <c r="C34" s="52"/>
      <c r="D34" s="52"/>
      <c r="E34" s="52"/>
      <c r="F34" s="52" t="str">
        <f>B70</f>
        <v>per 100 youth found delinquent</v>
      </c>
      <c r="G34" s="52"/>
      <c r="H34" s="52"/>
      <c r="I34" s="52"/>
      <c r="J34" s="52"/>
      <c r="K34" s="52"/>
      <c r="L34" s="53"/>
      <c r="R34" s="49"/>
    </row>
    <row r="35" spans="2:18" ht="15" customHeight="1">
      <c r="B35" s="52" t="s">
        <v>116</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187" t="s">
        <v>117</v>
      </c>
      <c r="C40" s="187"/>
      <c r="D40" s="187"/>
      <c r="E40" s="187"/>
      <c r="F40" s="187"/>
      <c r="G40" s="187"/>
      <c r="H40" s="187"/>
      <c r="I40" s="187"/>
      <c r="J40" s="187"/>
      <c r="K40" s="8"/>
      <c r="R40" s="49"/>
    </row>
    <row r="41" spans="2:18" ht="15" hidden="1" customHeight="1">
      <c r="B41" s="54" t="s">
        <v>118</v>
      </c>
      <c r="C41" s="54" t="s">
        <v>119</v>
      </c>
      <c r="D41" s="55" t="s">
        <v>120</v>
      </c>
      <c r="E41" s="54" t="s">
        <v>121</v>
      </c>
      <c r="G41" s="54" t="s">
        <v>122</v>
      </c>
      <c r="H41" s="54"/>
      <c r="I41" s="54"/>
      <c r="L41" s="1" t="s">
        <v>123</v>
      </c>
      <c r="R41" s="49"/>
    </row>
    <row r="42" spans="2:18" ht="15" hidden="1" customHeight="1">
      <c r="B42" s="49" t="s">
        <v>124</v>
      </c>
      <c r="C42" s="56">
        <f>C6/1000</f>
        <v>679.73699999999997</v>
      </c>
      <c r="D42" s="56">
        <f>E6/1000</f>
        <v>0</v>
      </c>
      <c r="E42" s="56">
        <f>MAX(C42:D42)</f>
        <v>679.73699999999997</v>
      </c>
      <c r="G42" s="1" t="str">
        <f>B42</f>
        <v>per 1000 youth</v>
      </c>
      <c r="L42" s="57">
        <v>1000</v>
      </c>
      <c r="M42" s="57"/>
      <c r="R42" s="49"/>
    </row>
    <row r="43" spans="2:18" ht="15" hidden="1" customHeight="1">
      <c r="B43" s="49" t="s">
        <v>125</v>
      </c>
      <c r="C43" s="56">
        <f>C7/100</f>
        <v>45.22</v>
      </c>
      <c r="D43" s="56">
        <f>E7/100</f>
        <v>0</v>
      </c>
      <c r="E43" s="56">
        <f>MAX(C43:D43,0)</f>
        <v>45.22</v>
      </c>
      <c r="G43" s="1" t="str">
        <f>B43</f>
        <v>per 100 arrests</v>
      </c>
      <c r="L43" s="57">
        <v>100</v>
      </c>
      <c r="M43" s="57"/>
      <c r="R43" s="49"/>
    </row>
    <row r="44" spans="2:18" ht="15" hidden="1" customHeight="1">
      <c r="B44" s="49" t="s">
        <v>126</v>
      </c>
      <c r="C44" s="56">
        <f>C8/100</f>
        <v>72.849999999999994</v>
      </c>
      <c r="D44" s="56">
        <f>E8/100</f>
        <v>5.13</v>
      </c>
      <c r="E44" s="56">
        <f>MAX(C44:D44,0)</f>
        <v>72.849999999999994</v>
      </c>
      <c r="G44" s="1" t="str">
        <f>B44</f>
        <v>per 100 referrals</v>
      </c>
      <c r="L44" s="57">
        <v>100</v>
      </c>
      <c r="M44" s="57"/>
      <c r="R44" s="49"/>
    </row>
    <row r="45" spans="2:18" ht="15" hidden="1" customHeight="1">
      <c r="B45" s="49" t="s">
        <v>127</v>
      </c>
      <c r="C45" s="49">
        <f>C11/100</f>
        <v>36.520000000000003</v>
      </c>
      <c r="D45" s="49">
        <f>E11/100</f>
        <v>2.74</v>
      </c>
      <c r="E45" s="56">
        <f>MAX(C45:D45,0)</f>
        <v>36.520000000000003</v>
      </c>
      <c r="G45" s="1" t="str">
        <f>B45</f>
        <v>per 100 youth petitioned</v>
      </c>
      <c r="L45" s="57">
        <v>100</v>
      </c>
      <c r="M45" s="57"/>
      <c r="R45" s="49"/>
    </row>
    <row r="46" spans="2:18" ht="15" hidden="1" customHeight="1">
      <c r="B46" s="49" t="s">
        <v>128</v>
      </c>
      <c r="C46" s="49">
        <f>C12/100</f>
        <v>23.46</v>
      </c>
      <c r="D46" s="49">
        <f>E12/100</f>
        <v>1.48</v>
      </c>
      <c r="E46" s="56">
        <f>MAX(C46:D46)</f>
        <v>23.46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0</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45.22</v>
      </c>
      <c r="D49" s="49">
        <f t="shared" si="9"/>
        <v>0</v>
      </c>
      <c r="E49" s="49">
        <f>MAX(C49:D49)</f>
        <v>45.22</v>
      </c>
      <c r="G49" s="1" t="str">
        <f>G43</f>
        <v>per 100 arrests</v>
      </c>
      <c r="L49" s="58">
        <f>IF(($E43&gt;0),L43,L42)</f>
        <v>100</v>
      </c>
      <c r="M49" s="58"/>
      <c r="N49" s="21"/>
      <c r="O49" s="21"/>
      <c r="P49" s="21"/>
      <c r="Q49" s="21"/>
      <c r="R49" s="21"/>
    </row>
    <row r="50" spans="2:18" ht="15" hidden="1" customHeight="1">
      <c r="B50" s="49" t="str">
        <f t="shared" si="9"/>
        <v>per 100 referrals</v>
      </c>
      <c r="C50" s="49">
        <f t="shared" si="9"/>
        <v>72.849999999999994</v>
      </c>
      <c r="D50" s="49">
        <f t="shared" si="9"/>
        <v>5.13</v>
      </c>
      <c r="E50" s="49">
        <f>MAX(C50:D50)</f>
        <v>72.849999999999994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36.520000000000003</v>
      </c>
      <c r="D51" s="49">
        <f>IF(($E45&gt;0),D45,D44)</f>
        <v>2.74</v>
      </c>
      <c r="E51" s="49">
        <f>MAX(C51:D51)</f>
        <v>36.520000000000003</v>
      </c>
      <c r="G51" s="1" t="str">
        <f>G45</f>
        <v>per 100 youth petitioned</v>
      </c>
      <c r="L51" s="58">
        <f>IF(($E45&gt;0),L45,L44)</f>
        <v>100</v>
      </c>
      <c r="M51" s="58"/>
    </row>
    <row r="52" spans="2:18" ht="15" hidden="1" customHeight="1">
      <c r="B52" s="49" t="str">
        <f>IF(($E46&gt;0),B46,B45)</f>
        <v>per 100 youth found delinquent</v>
      </c>
      <c r="C52" s="49">
        <f>IF(($E46&gt;0),C46,C45)</f>
        <v>23.46</v>
      </c>
      <c r="D52" s="49">
        <f>IF(($E46&gt;0),D46,D45)</f>
        <v>1.48</v>
      </c>
      <c r="E52" s="56">
        <f>MAX(C52:D52)</f>
        <v>23.46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0</v>
      </c>
      <c r="E54" s="56">
        <f>MAX(C54:D54)</f>
        <v>679.73699999999997</v>
      </c>
      <c r="G54" s="1" t="str">
        <f>G48</f>
        <v>per 1000 youth</v>
      </c>
      <c r="L54" s="58">
        <f>L48</f>
        <v>1000</v>
      </c>
      <c r="M54" s="58"/>
    </row>
    <row r="55" spans="2:18" ht="15" hidden="1" customHeight="1">
      <c r="B55" s="49" t="str">
        <f t="shared" ref="B55:D56" si="10">IF(($E49&gt;0),B49,B48)</f>
        <v>per 100 arrests</v>
      </c>
      <c r="C55" s="49">
        <f t="shared" si="10"/>
        <v>45.22</v>
      </c>
      <c r="D55" s="49">
        <f t="shared" si="10"/>
        <v>0</v>
      </c>
      <c r="E55" s="49">
        <f>MAX(C55:D55)</f>
        <v>45.22</v>
      </c>
      <c r="G55" s="1" t="str">
        <f>G49</f>
        <v>per 100 arrests</v>
      </c>
      <c r="L55" s="58">
        <f>IF(($E49&gt;0),L49,L48)</f>
        <v>100</v>
      </c>
      <c r="M55" s="58"/>
    </row>
    <row r="56" spans="2:18" ht="15" hidden="1" customHeight="1">
      <c r="B56" s="49" t="str">
        <f t="shared" si="10"/>
        <v>per 100 referrals</v>
      </c>
      <c r="C56" s="49">
        <f t="shared" si="10"/>
        <v>72.849999999999994</v>
      </c>
      <c r="D56" s="49">
        <f t="shared" si="10"/>
        <v>5.13</v>
      </c>
      <c r="E56" s="49">
        <f>MAX(C56:D56)</f>
        <v>72.849999999999994</v>
      </c>
      <c r="G56" s="1" t="str">
        <f>G50</f>
        <v>per 100 referrals</v>
      </c>
      <c r="L56" s="58">
        <f>IF(($E50&gt;0),L50,L49)</f>
        <v>100</v>
      </c>
      <c r="M56" s="58"/>
    </row>
    <row r="57" spans="2:18" ht="15" hidden="1" customHeight="1">
      <c r="B57" s="49" t="str">
        <f>IF(($E51&gt;0),B51,B49)</f>
        <v>per 100 youth petitioned</v>
      </c>
      <c r="C57" s="49">
        <f>IF(($E51&gt;0),C51,C50)</f>
        <v>36.520000000000003</v>
      </c>
      <c r="D57" s="49">
        <f>IF(($E51&gt;0),D51,D50)</f>
        <v>2.74</v>
      </c>
      <c r="E57" s="49">
        <f>MAX(C57:D57)</f>
        <v>36.520000000000003</v>
      </c>
      <c r="G57" s="1" t="str">
        <f>G51</f>
        <v>per 100 youth petitioned</v>
      </c>
      <c r="L57" s="58">
        <f>IF(($E51&gt;0),L51,L50)</f>
        <v>100</v>
      </c>
      <c r="M57" s="58"/>
    </row>
    <row r="58" spans="2:18" ht="15" hidden="1" customHeight="1">
      <c r="B58" s="49" t="str">
        <f>IF(($E52&gt;0),B52,B51)</f>
        <v>per 100 youth found delinquent</v>
      </c>
      <c r="C58" s="49">
        <f>IF(($E52&gt;0),C52,C51)</f>
        <v>23.46</v>
      </c>
      <c r="D58" s="49">
        <f>IF(($E52&gt;0),D52,D51)</f>
        <v>1.48</v>
      </c>
      <c r="E58" s="56">
        <f>MAX(C58:D58)</f>
        <v>23.46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0</v>
      </c>
      <c r="E60" s="56">
        <f>MAX(C60:D60)</f>
        <v>679.73699999999997</v>
      </c>
      <c r="G60" s="1" t="str">
        <f>G54</f>
        <v>per 1000 youth</v>
      </c>
      <c r="L60" s="58">
        <f>L54</f>
        <v>1000</v>
      </c>
      <c r="M60" s="58"/>
    </row>
    <row r="61" spans="2:18" ht="15" hidden="1" customHeight="1">
      <c r="B61" s="49" t="str">
        <f t="shared" ref="B61:D62" si="11">IF(($E55&gt;0),B55,B54)</f>
        <v>per 100 arrests</v>
      </c>
      <c r="C61" s="49">
        <f t="shared" si="11"/>
        <v>45.22</v>
      </c>
      <c r="D61" s="49">
        <f t="shared" si="11"/>
        <v>0</v>
      </c>
      <c r="E61" s="49">
        <f>MAX(C61:D61)</f>
        <v>45.22</v>
      </c>
      <c r="G61" s="1" t="str">
        <f>G55</f>
        <v>per 100 arrests</v>
      </c>
      <c r="L61" s="58">
        <f>IF(($E55&gt;0),L55,L54)</f>
        <v>100</v>
      </c>
      <c r="M61" s="58"/>
    </row>
    <row r="62" spans="2:18" ht="15" hidden="1" customHeight="1">
      <c r="B62" s="49" t="str">
        <f t="shared" si="11"/>
        <v>per 100 referrals</v>
      </c>
      <c r="C62" s="49">
        <f t="shared" si="11"/>
        <v>72.849999999999994</v>
      </c>
      <c r="D62" s="49">
        <f t="shared" si="11"/>
        <v>5.13</v>
      </c>
      <c r="E62" s="49">
        <f>MAX(C62:D62)</f>
        <v>72.849999999999994</v>
      </c>
      <c r="G62" s="1" t="str">
        <f>G56</f>
        <v>per 100 referrals</v>
      </c>
      <c r="L62" s="58">
        <f>IF(($E56&gt;0),L56,L55)</f>
        <v>100</v>
      </c>
      <c r="M62" s="58"/>
    </row>
    <row r="63" spans="2:18" ht="15" hidden="1" customHeight="1">
      <c r="B63" s="49" t="str">
        <f>IF(($E57&gt;0),B57,B55)</f>
        <v>per 100 youth petitioned</v>
      </c>
      <c r="C63" s="49">
        <f>IF(($E57&gt;0),C57,C56)</f>
        <v>36.520000000000003</v>
      </c>
      <c r="D63" s="49">
        <f>IF(($E57&gt;0),D57,D56)</f>
        <v>2.74</v>
      </c>
      <c r="E63" s="49">
        <f>MAX(C63:D63)</f>
        <v>36.520000000000003</v>
      </c>
      <c r="G63" s="1" t="str">
        <f>G57</f>
        <v>per 100 youth petitioned</v>
      </c>
      <c r="L63" s="58">
        <f>IF(($E57&gt;0),L57,L56)</f>
        <v>100</v>
      </c>
      <c r="M63" s="58"/>
    </row>
    <row r="64" spans="2:18" ht="15" hidden="1" customHeight="1">
      <c r="B64" s="49" t="str">
        <f>IF(($E58&gt;0),B58,B57)</f>
        <v>per 100 youth found delinquent</v>
      </c>
      <c r="C64" s="49">
        <f>IF(($E58&gt;0),C58,C57)</f>
        <v>23.46</v>
      </c>
      <c r="D64" s="49">
        <f>IF(($E58&gt;0),D58,D57)</f>
        <v>1.48</v>
      </c>
      <c r="E64" s="56">
        <f>MAX(C64:D64)</f>
        <v>23.46</v>
      </c>
      <c r="G64" s="1" t="str">
        <f>G58</f>
        <v>per 100 youth found delinquent</v>
      </c>
      <c r="L64" s="58">
        <f>IF(($E58&gt;0),L58,L57)</f>
        <v>100</v>
      </c>
      <c r="M64" s="58"/>
    </row>
    <row r="65" spans="2:13" ht="15" hidden="1" customHeight="1">
      <c r="B65" s="59" t="s">
        <v>129</v>
      </c>
      <c r="L65" s="57"/>
      <c r="M65" s="57"/>
    </row>
    <row r="66" spans="2:13" ht="15" hidden="1" customHeight="1">
      <c r="B66" s="49" t="str">
        <f>B60</f>
        <v>per 1000 youth</v>
      </c>
      <c r="C66" s="56">
        <f>C60</f>
        <v>679.73699999999997</v>
      </c>
      <c r="D66" s="56">
        <f>D60</f>
        <v>0</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45.22</v>
      </c>
      <c r="D67" s="49">
        <f t="shared" si="12"/>
        <v>0</v>
      </c>
      <c r="E67" s="49">
        <f>MAX(C67:D67)</f>
        <v>45.22</v>
      </c>
      <c r="G67" s="1" t="str">
        <f>G61</f>
        <v>per 100 arrests</v>
      </c>
      <c r="L67" s="58">
        <f>IF(($E61&gt;0),L61,L60)</f>
        <v>100</v>
      </c>
      <c r="M67" s="58">
        <f>IF((B67=G67),1,2)</f>
        <v>1</v>
      </c>
    </row>
    <row r="68" spans="2:13" ht="15" hidden="1" customHeight="1">
      <c r="B68" s="49" t="str">
        <f t="shared" si="12"/>
        <v>per 100 referrals</v>
      </c>
      <c r="C68" s="49">
        <f t="shared" si="12"/>
        <v>72.849999999999994</v>
      </c>
      <c r="D68" s="49">
        <f t="shared" si="12"/>
        <v>5.13</v>
      </c>
      <c r="E68" s="49">
        <f>MAX(C68:D68)</f>
        <v>72.849999999999994</v>
      </c>
      <c r="G68" s="1" t="str">
        <f>G62</f>
        <v>per 100 referrals</v>
      </c>
      <c r="L68" s="58">
        <f>IF(($E62&gt;0),L62,L61)</f>
        <v>100</v>
      </c>
      <c r="M68" s="58">
        <f>IF((B68=G68),1,2)</f>
        <v>1</v>
      </c>
    </row>
    <row r="69" spans="2:13" ht="15" hidden="1" customHeight="1">
      <c r="B69" s="49" t="str">
        <f>IF(($E63&gt;0),B63,B61)</f>
        <v>per 100 youth petitioned</v>
      </c>
      <c r="C69" s="49">
        <f>IF(($E63&gt;0),C63,C62)</f>
        <v>36.520000000000003</v>
      </c>
      <c r="D69" s="49">
        <f>IF(($E63&gt;0),D63,D62)</f>
        <v>2.74</v>
      </c>
      <c r="E69" s="49">
        <f>MAX(C69:D69)</f>
        <v>36.520000000000003</v>
      </c>
      <c r="G69" s="1" t="str">
        <f>G63</f>
        <v>per 100 youth petitioned</v>
      </c>
      <c r="L69" s="58">
        <f>IF(($E63&gt;0),L63,L62)</f>
        <v>100</v>
      </c>
      <c r="M69" s="58">
        <f>IF((B69=G69),1,2)</f>
        <v>1</v>
      </c>
    </row>
    <row r="70" spans="2:13" ht="15" hidden="1" customHeight="1">
      <c r="B70" s="49" t="str">
        <f>IF(($E64&gt;0),B64,B63)</f>
        <v>per 100 youth found delinquent</v>
      </c>
      <c r="C70" s="49">
        <f>IF(($E64&gt;0),C64,C63)</f>
        <v>23.46</v>
      </c>
      <c r="D70" s="49">
        <f>IF(($E64&gt;0),D64,D63)</f>
        <v>1.48</v>
      </c>
      <c r="E70" s="56">
        <f>MAX(C70:D70)</f>
        <v>23.46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oddHeader>&amp;C&amp;"Calibri"&amp;10&amp;K000000 MPHI Internal Use Only&amp;1#_x000D_</oddHeader>
    <oddFooter>&amp;C_x000D_&amp;1#&amp;"Calibri"&amp;10&amp;K000000 MPHI 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75</v>
      </c>
      <c r="D1" s="20" t="s">
        <v>76</v>
      </c>
      <c r="E1" s="14"/>
      <c r="F1" s="189" t="str">
        <f>'Data Entry'!J5</f>
        <v>All Minorities</v>
      </c>
      <c r="G1" s="189"/>
      <c r="H1" s="189"/>
      <c r="I1" s="189"/>
      <c r="J1" s="18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188" t="s">
        <v>77</v>
      </c>
      <c r="O3" s="188"/>
      <c r="P3" s="188"/>
      <c r="Q3" s="188"/>
      <c r="R3" s="188"/>
      <c r="S3" s="188"/>
      <c r="T3" s="188"/>
      <c r="U3" s="188"/>
    </row>
    <row r="4" spans="2:21" ht="8.25" customHeight="1">
      <c r="B4" s="4"/>
      <c r="C4" s="23"/>
      <c r="D4" s="23"/>
      <c r="E4" s="23"/>
      <c r="F4" s="23"/>
      <c r="G4" s="8"/>
      <c r="H4" s="8"/>
      <c r="I4" s="8"/>
      <c r="N4" s="188"/>
      <c r="O4" s="188"/>
      <c r="P4" s="188"/>
      <c r="Q4" s="188"/>
      <c r="R4" s="188"/>
      <c r="S4" s="188"/>
      <c r="T4" s="188"/>
      <c r="U4" s="188"/>
    </row>
    <row r="5" spans="2:21" ht="66.75" customHeight="1">
      <c r="B5" s="24" t="s">
        <v>78</v>
      </c>
      <c r="C5" s="25" t="s">
        <v>79</v>
      </c>
      <c r="D5" s="26" t="s">
        <v>80</v>
      </c>
      <c r="E5" s="25" t="s">
        <v>81</v>
      </c>
      <c r="F5" s="25" t="s">
        <v>82</v>
      </c>
      <c r="G5" s="27" t="s">
        <v>83</v>
      </c>
      <c r="H5" s="25"/>
      <c r="I5" s="25"/>
      <c r="J5" s="25" t="s">
        <v>84</v>
      </c>
      <c r="K5" s="28" t="s">
        <v>85</v>
      </c>
      <c r="L5" s="8" t="s">
        <v>86</v>
      </c>
      <c r="M5" s="8" t="s">
        <v>87</v>
      </c>
      <c r="N5" s="29" t="s">
        <v>88</v>
      </c>
      <c r="O5" s="21" t="s">
        <v>89</v>
      </c>
      <c r="P5" s="21" t="s">
        <v>90</v>
      </c>
      <c r="Q5" s="21" t="s">
        <v>91</v>
      </c>
      <c r="R5" s="21" t="s">
        <v>92</v>
      </c>
      <c r="S5" s="30" t="s">
        <v>93</v>
      </c>
      <c r="T5" s="30" t="s">
        <v>94</v>
      </c>
      <c r="U5" s="31" t="s">
        <v>95</v>
      </c>
    </row>
    <row r="6" spans="2:21" ht="20.25" customHeight="1">
      <c r="B6" s="32" t="str">
        <f>'Data Entry'!A6</f>
        <v xml:space="preserve">1. Population at Risk (age 10-17) </v>
      </c>
      <c r="C6" s="33">
        <f>'Data Entry'!C6</f>
        <v>679737</v>
      </c>
      <c r="D6" s="34"/>
      <c r="E6" s="33">
        <f>'Data Entry'!J6</f>
        <v>311795</v>
      </c>
      <c r="F6" s="34"/>
      <c r="G6" s="35"/>
      <c r="H6" s="36"/>
      <c r="I6" s="37"/>
      <c r="J6" s="38"/>
      <c r="K6" s="37"/>
      <c r="L6" s="1">
        <f>IF( ('Data Entry'!J6&gt;('Data Entry'!B6/100)),1,100)</f>
        <v>1</v>
      </c>
      <c r="M6" s="1" t="s">
        <v>96</v>
      </c>
      <c r="N6" s="21"/>
      <c r="O6" s="21"/>
      <c r="P6" s="21"/>
      <c r="Q6" s="21"/>
      <c r="R6" s="21"/>
      <c r="S6" s="30"/>
      <c r="T6" s="30"/>
      <c r="U6" s="31"/>
    </row>
    <row r="7" spans="2:21" ht="18" customHeight="1">
      <c r="B7" s="32" t="str">
        <f>'Data Entry'!A7</f>
        <v>2. Juvenile Arrests</v>
      </c>
      <c r="C7" s="33">
        <f>'Data Entry'!C7</f>
        <v>4522</v>
      </c>
      <c r="D7" s="34">
        <f>IF((AND(C66&gt;0,C7&gt;0)),(C7/C66),0)</f>
        <v>6.6525729804321383</v>
      </c>
      <c r="E7" s="33">
        <f>'Data Entry'!J7</f>
        <v>4754</v>
      </c>
      <c r="F7" s="34">
        <f>IF((AND($E$7&gt;0,$D$66&gt;0)),($E$7/$D$66),0)</f>
        <v>15.247197677961481</v>
      </c>
      <c r="G7" s="39">
        <f t="shared" ref="G7:G15" si="0">IF(L$6=100,"*",IF(M7=FALSE,"--",IF(K7=20,"**",($F7/$D7))))</f>
        <v>2.2919249022610577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4754</v>
      </c>
      <c r="O7" s="42">
        <f>E6-E7</f>
        <v>307041</v>
      </c>
      <c r="P7" s="42">
        <f t="shared" ref="P7:P15" si="4">C7</f>
        <v>4522</v>
      </c>
      <c r="Q7" s="42">
        <f>C6-C7</f>
        <v>675215</v>
      </c>
      <c r="R7" s="42">
        <f t="shared" ref="R7:R15" si="5">SUM(N7:Q7)</f>
        <v>991532</v>
      </c>
      <c r="S7" s="30">
        <f t="shared" ref="S7:S15" si="6">R7*((((N7*Q7)-(O7*P7))^2))</f>
        <v>3.2898847397651484E+24</v>
      </c>
      <c r="T7" s="30">
        <f t="shared" ref="T7:T15" si="7">(N7+O7)*(P7+Q7)*(N7+P7)*(O7+Q7)</f>
        <v>1.9310587517060388E+21</v>
      </c>
      <c r="U7" s="31">
        <f t="shared" ref="U7:U15" si="8">IF((S7&gt;0),S7/T7,"- -")</f>
        <v>1703.6689002127061</v>
      </c>
    </row>
    <row r="8" spans="2:21" ht="18" customHeight="1">
      <c r="B8" s="32" t="str">
        <f>'Data Entry'!A8</f>
        <v>3. Refer to Juvenile Court</v>
      </c>
      <c r="C8" s="33">
        <f>'Data Entry'!C8</f>
        <v>7285</v>
      </c>
      <c r="D8" s="34">
        <f>IF((AND(C67&gt;0,C8&gt;0)),(C8/C67),0)</f>
        <v>161.10128261831048</v>
      </c>
      <c r="E8" s="33">
        <f>'Data Entry'!J8</f>
        <v>6046</v>
      </c>
      <c r="F8" s="34">
        <f>IF((AND($E$8&gt;0,$D$67&gt;0)),($E8/$D67),0)</f>
        <v>127.17711400925536</v>
      </c>
      <c r="G8" s="39">
        <f t="shared" si="0"/>
        <v>0.78942334873006559</v>
      </c>
      <c r="H8" s="40"/>
      <c r="I8" s="41"/>
      <c r="J8" s="40">
        <f>IF((ABS($U8)&gt;Defaults!D$7),1,2)</f>
        <v>1</v>
      </c>
      <c r="K8" s="39">
        <f>IF((AND(N8&gt;Defaults!B$12,(N8+O8)&gt;Defaults!B$13, P8 &gt; Defaults!B$12, (P8+Q8) &gt; Defaults!B$13)),1,20)</f>
        <v>1</v>
      </c>
      <c r="L8" s="1">
        <f t="shared" si="1"/>
        <v>1</v>
      </c>
      <c r="M8" s="1" t="b">
        <f t="shared" si="2"/>
        <v>1</v>
      </c>
      <c r="N8" s="42">
        <f t="shared" si="3"/>
        <v>6046</v>
      </c>
      <c r="O8" s="42">
        <f>((D67*L67)-E8)+0.05</f>
        <v>-1291.95</v>
      </c>
      <c r="P8" s="42">
        <f t="shared" si="4"/>
        <v>7285</v>
      </c>
      <c r="Q8" s="42">
        <f>(C$67*L67)-C8</f>
        <v>-2763</v>
      </c>
      <c r="R8" s="42">
        <f t="shared" si="5"/>
        <v>9276.0499999999993</v>
      </c>
      <c r="S8" s="30">
        <f t="shared" si="6"/>
        <v>4.9340592379853446E+17</v>
      </c>
      <c r="T8" s="30">
        <f t="shared" si="7"/>
        <v>-1162097414487602.3</v>
      </c>
      <c r="U8" s="31">
        <f t="shared" si="8"/>
        <v>-424.58224039340922</v>
      </c>
    </row>
    <row r="9" spans="2:21" ht="18" customHeight="1">
      <c r="B9" s="32" t="str">
        <f>'Data Entry'!A9</f>
        <v xml:space="preserve">4. Cases Diverted </v>
      </c>
      <c r="C9" s="33">
        <f>'Data Entry'!C9</f>
        <v>1889</v>
      </c>
      <c r="D9" s="34">
        <f>IF((AND(C68&gt;0,C9&gt;0)),((C9/C68)),0)</f>
        <v>25.92999313658202</v>
      </c>
      <c r="E9" s="33">
        <f>'Data Entry'!J9</f>
        <v>1859</v>
      </c>
      <c r="F9" s="34">
        <f>IF((AND($E$9&gt;0,$D$68&gt;0)),(($E$9/$D$68)),0)</f>
        <v>30.74760172014555</v>
      </c>
      <c r="G9" s="39">
        <f t="shared" si="0"/>
        <v>1.1857928985244062</v>
      </c>
      <c r="H9" s="40"/>
      <c r="I9" s="41"/>
      <c r="J9" s="40">
        <f>IF((ABS($U9)&gt;Defaults!D$7),1,2)</f>
        <v>1</v>
      </c>
      <c r="K9" s="39">
        <f>IF((AND(N9&gt;Defaults!B$12,(N9+O9)&gt;Defaults!B$13, P9 &gt; Defaults!B$12, (P9+Q9) &gt; Defaults!B$13)),1,20)</f>
        <v>1</v>
      </c>
      <c r="L9" s="1">
        <f t="shared" si="1"/>
        <v>1</v>
      </c>
      <c r="M9" s="1" t="b">
        <f t="shared" si="2"/>
        <v>1</v>
      </c>
      <c r="N9" s="42">
        <f t="shared" si="3"/>
        <v>1859</v>
      </c>
      <c r="O9" s="42">
        <f>(D$68*L68)-E9</f>
        <v>4187</v>
      </c>
      <c r="P9" s="42">
        <f t="shared" si="4"/>
        <v>1889</v>
      </c>
      <c r="Q9" s="42">
        <f>(C$68*L68)-C9</f>
        <v>5395.9999999999991</v>
      </c>
      <c r="R9" s="42">
        <f t="shared" si="5"/>
        <v>13331</v>
      </c>
      <c r="S9" s="30">
        <f t="shared" si="6"/>
        <v>6.0023477122842664E+16</v>
      </c>
      <c r="T9" s="30">
        <f t="shared" si="7"/>
        <v>1581971915659239.8</v>
      </c>
      <c r="U9" s="31">
        <f t="shared" si="8"/>
        <v>37.942188814287306</v>
      </c>
    </row>
    <row r="10" spans="2:21" ht="18" customHeight="1">
      <c r="B10" s="32" t="str">
        <f>'Data Entry'!A10</f>
        <v>5. Cases Involving Secure Detention</v>
      </c>
      <c r="C10" s="33">
        <f>'Data Entry'!C10</f>
        <v>865</v>
      </c>
      <c r="D10" s="34">
        <f>IF(((AND(C68&gt;0,C10&gt;0))),(C10/(C68)),0)</f>
        <v>11.873713109128348</v>
      </c>
      <c r="E10" s="33">
        <f>'Data Entry'!J10</f>
        <v>1771</v>
      </c>
      <c r="F10" s="34">
        <f>IF(((AND($E$10&gt;0,$D$68&gt;0))),($E$10/($D$68)),0)</f>
        <v>29.292093946410851</v>
      </c>
      <c r="G10" s="39">
        <f t="shared" si="0"/>
        <v>2.4669699930589943</v>
      </c>
      <c r="H10" s="40"/>
      <c r="I10" s="41"/>
      <c r="J10" s="40">
        <f>IF((ABS($U10)&gt;Defaults!D$7),1,2)</f>
        <v>1</v>
      </c>
      <c r="K10" s="39">
        <f>IF((AND(N10&gt;Defaults!B$12,(N10+O10)&gt;Defaults!B$13, P10 &gt; Defaults!B$12, (P10+Q10) &gt; Defaults!B$13)),1,20)</f>
        <v>1</v>
      </c>
      <c r="L10" s="1">
        <f t="shared" si="1"/>
        <v>1</v>
      </c>
      <c r="M10" s="1" t="b">
        <f t="shared" si="2"/>
        <v>1</v>
      </c>
      <c r="N10" s="42">
        <f t="shared" si="3"/>
        <v>1771</v>
      </c>
      <c r="O10" s="42">
        <f>(D$68*L68)-E10</f>
        <v>4275</v>
      </c>
      <c r="P10" s="42">
        <f t="shared" si="4"/>
        <v>865</v>
      </c>
      <c r="Q10" s="42">
        <f>(C$68*L68)-C10</f>
        <v>6419.9999999999991</v>
      </c>
      <c r="R10" s="42">
        <f t="shared" si="5"/>
        <v>13331</v>
      </c>
      <c r="S10" s="30">
        <f t="shared" si="6"/>
        <v>7.8464586404680589E+17</v>
      </c>
      <c r="T10" s="30">
        <f t="shared" si="7"/>
        <v>1241720622022199.8</v>
      </c>
      <c r="U10" s="31">
        <f t="shared" si="8"/>
        <v>631.90209627748118</v>
      </c>
    </row>
    <row r="11" spans="2:21" ht="18" customHeight="1">
      <c r="B11" s="32" t="str">
        <f>'Data Entry'!A11</f>
        <v>6. Cases Petitioned (Charge Filed)</v>
      </c>
      <c r="C11" s="33">
        <f>'Data Entry'!C11</f>
        <v>3652</v>
      </c>
      <c r="D11" s="34">
        <f>IF(((AND(C68&gt;0,C11&gt;0))),(C11/(C68)),0)</f>
        <v>50.130404941660949</v>
      </c>
      <c r="E11" s="33">
        <f>'Data Entry'!J11</f>
        <v>3722</v>
      </c>
      <c r="F11" s="34">
        <f>IF(((AND($E$11&gt;0,$D$68&gt;0))),($E$11/($D$68)),0)</f>
        <v>61.56136288455177</v>
      </c>
      <c r="G11" s="39">
        <f t="shared" si="0"/>
        <v>1.2280244485595828</v>
      </c>
      <c r="H11" s="40"/>
      <c r="I11" s="41"/>
      <c r="J11" s="40">
        <f>IF((ABS($U11)&gt;Defaults!D$7),1,2)</f>
        <v>1</v>
      </c>
      <c r="K11" s="39">
        <f>IF((AND(N11&gt;Defaults!B$12,(N11+O11)&gt;Defaults!B$13, P11 &gt; Defaults!B$12, (P11+Q11) &gt; Defaults!B$13)),1,20)</f>
        <v>1</v>
      </c>
      <c r="L11" s="1">
        <f t="shared" si="1"/>
        <v>1</v>
      </c>
      <c r="M11" s="1" t="b">
        <f t="shared" si="2"/>
        <v>1</v>
      </c>
      <c r="N11" s="42">
        <f t="shared" si="3"/>
        <v>3722</v>
      </c>
      <c r="O11" s="42">
        <f>(D$68*L68)-E11</f>
        <v>2324</v>
      </c>
      <c r="P11" s="42">
        <f t="shared" si="4"/>
        <v>3652</v>
      </c>
      <c r="Q11" s="42">
        <f>(C$68*L68)-C11</f>
        <v>3632.9999999999991</v>
      </c>
      <c r="R11" s="42">
        <f t="shared" si="5"/>
        <v>13331</v>
      </c>
      <c r="S11" s="30">
        <f t="shared" si="6"/>
        <v>3.3792737914826451E+17</v>
      </c>
      <c r="T11" s="30">
        <f t="shared" si="7"/>
        <v>1934765935270979.3</v>
      </c>
      <c r="U11" s="31">
        <f t="shared" si="8"/>
        <v>174.66060001771487</v>
      </c>
    </row>
    <row r="12" spans="2:21" ht="18" customHeight="1">
      <c r="B12" s="32" t="str">
        <f>'Data Entry'!A12</f>
        <v>7. Cases Resulting in Delinquent Findings</v>
      </c>
      <c r="C12" s="33">
        <f>'Data Entry'!C12</f>
        <v>2346</v>
      </c>
      <c r="D12" s="34">
        <f>IF(((AND(C69&gt;0,C12&gt;0))),(C12/(C69)),0)</f>
        <v>64.238773274917847</v>
      </c>
      <c r="E12" s="33">
        <f>'Data Entry'!J12</f>
        <v>1972</v>
      </c>
      <c r="F12" s="34">
        <f>IF(((AND($D$69&gt;0,$E$12&gt;0))),(E12/(D69)),0)</f>
        <v>52.982267598065555</v>
      </c>
      <c r="G12" s="39">
        <f t="shared" si="0"/>
        <v>0.82477084939529166</v>
      </c>
      <c r="H12" s="40"/>
      <c r="I12" s="41"/>
      <c r="J12" s="40">
        <f>IF((ABS($U12)&gt;Defaults!D$7),1,2)</f>
        <v>1</v>
      </c>
      <c r="K12" s="39">
        <f>IF((AND(N12&gt;Defaults!B$12,(N12+O12)&gt;Defaults!B$13, P12 &gt; Defaults!B$12, (P12+Q12) &gt; Defaults!B$13)),1,20)</f>
        <v>1</v>
      </c>
      <c r="L12" s="1">
        <f t="shared" si="1"/>
        <v>1</v>
      </c>
      <c r="M12" s="1" t="b">
        <f t="shared" si="2"/>
        <v>1</v>
      </c>
      <c r="N12" s="42">
        <f t="shared" si="3"/>
        <v>1972</v>
      </c>
      <c r="O12" s="42">
        <f>(D69*L69)-E12</f>
        <v>1750</v>
      </c>
      <c r="P12" s="42">
        <f t="shared" si="4"/>
        <v>2346</v>
      </c>
      <c r="Q12" s="42">
        <f>(C69*L69)-C12</f>
        <v>1306.0000000000005</v>
      </c>
      <c r="R12" s="42">
        <f t="shared" si="5"/>
        <v>7374</v>
      </c>
      <c r="S12" s="30">
        <f t="shared" si="6"/>
        <v>1.7263331016017354E+16</v>
      </c>
      <c r="T12" s="30">
        <f t="shared" si="7"/>
        <v>179367240017152.06</v>
      </c>
      <c r="U12" s="31">
        <f t="shared" si="8"/>
        <v>96.245730348343102</v>
      </c>
    </row>
    <row r="13" spans="2:21" ht="18" customHeight="1">
      <c r="B13" s="32" t="str">
        <f>'Data Entry'!A13</f>
        <v>8. Cases Resulting in Probation Placement</v>
      </c>
      <c r="C13" s="33">
        <f>'Data Entry'!C13</f>
        <v>1965</v>
      </c>
      <c r="D13" s="34">
        <f>IF(((AND(C70&gt;0,C13&gt;0))),(C13/(C70)),0)</f>
        <v>83.759590792838878</v>
      </c>
      <c r="E13" s="33">
        <f>'Data Entry'!J13</f>
        <v>1504</v>
      </c>
      <c r="F13" s="34">
        <f>IF(((AND($D$70&gt;0,$E$13&gt;0))),($E$13/($D$70)),0)</f>
        <v>76.267748478701833</v>
      </c>
      <c r="G13" s="39">
        <f t="shared" si="0"/>
        <v>0.91055540931824164</v>
      </c>
      <c r="H13" s="40"/>
      <c r="I13" s="41"/>
      <c r="J13" s="40">
        <f>IF((ABS($U13)&gt;Defaults!D$7),1,2)</f>
        <v>1</v>
      </c>
      <c r="K13" s="39">
        <f>IF((AND(N13&gt;Defaults!B$12,(N13+O13)&gt;Defaults!B$13, P13 &gt; Defaults!B$12, (P13+Q13) &gt; Defaults!B$13)),1,20)</f>
        <v>1</v>
      </c>
      <c r="L13" s="1">
        <f t="shared" si="1"/>
        <v>1</v>
      </c>
      <c r="M13" s="1" t="b">
        <f t="shared" si="2"/>
        <v>1</v>
      </c>
      <c r="N13" s="42">
        <f t="shared" si="3"/>
        <v>1504</v>
      </c>
      <c r="O13" s="42">
        <f>(D70*L70)-E13</f>
        <v>468</v>
      </c>
      <c r="P13" s="42">
        <f t="shared" si="4"/>
        <v>1965</v>
      </c>
      <c r="Q13" s="42">
        <f>(C70*L70)-C13</f>
        <v>381</v>
      </c>
      <c r="R13" s="42">
        <f t="shared" si="5"/>
        <v>4318</v>
      </c>
      <c r="S13" s="30">
        <f t="shared" si="6"/>
        <v>518716103198688</v>
      </c>
      <c r="T13" s="30">
        <f t="shared" si="7"/>
        <v>13625326202472</v>
      </c>
      <c r="U13" s="31">
        <f t="shared" si="8"/>
        <v>38.069995205294902</v>
      </c>
    </row>
    <row r="14" spans="2:21" ht="30.75" customHeight="1">
      <c r="B14" s="32" t="str">
        <f>'Data Entry'!A14</f>
        <v xml:space="preserve">9. Cases Resulting in Confinement in Secure Juvenile Correctional Facilities </v>
      </c>
      <c r="C14" s="33">
        <f>'Data Entry'!C14</f>
        <v>551</v>
      </c>
      <c r="D14" s="34">
        <f>IF(((AND(C70&gt;0,C14&gt;0))), ((C14/(C70))),0)</f>
        <v>23.486786018755328</v>
      </c>
      <c r="E14" s="33">
        <f>'Data Entry'!J14</f>
        <v>307</v>
      </c>
      <c r="F14" s="34">
        <f>IF(((AND($D$70&gt;0,$E$14&gt;0))), (($E$14/($D$70))),0)</f>
        <v>15.56795131845842</v>
      </c>
      <c r="G14" s="39">
        <f t="shared" si="0"/>
        <v>0.66283872582764891</v>
      </c>
      <c r="H14" s="40"/>
      <c r="I14" s="41"/>
      <c r="J14" s="40">
        <f>IF((ABS($U14)&gt;Defaults!D$7),1,2)</f>
        <v>1</v>
      </c>
      <c r="K14" s="39">
        <f>IF((AND(N14&gt;Defaults!B$12,(N14+O14)&gt;Defaults!B$13, P14 &gt; Defaults!B$12, (P14+Q14) &gt; Defaults!B$13)),1,20)</f>
        <v>1</v>
      </c>
      <c r="L14" s="1">
        <f t="shared" si="1"/>
        <v>1</v>
      </c>
      <c r="M14" s="1" t="b">
        <f t="shared" si="2"/>
        <v>1</v>
      </c>
      <c r="N14" s="42">
        <f t="shared" si="3"/>
        <v>307</v>
      </c>
      <c r="O14" s="42">
        <f>(D70*L70)-E14</f>
        <v>1665</v>
      </c>
      <c r="P14" s="42">
        <f t="shared" si="4"/>
        <v>551</v>
      </c>
      <c r="Q14" s="42">
        <f>(C70*L70)-C14</f>
        <v>1795</v>
      </c>
      <c r="R14" s="42">
        <f t="shared" si="5"/>
        <v>4318</v>
      </c>
      <c r="S14" s="30">
        <f t="shared" si="6"/>
        <v>579528808555000</v>
      </c>
      <c r="T14" s="30">
        <f t="shared" si="7"/>
        <v>13734039908160</v>
      </c>
      <c r="U14" s="31">
        <f t="shared" si="8"/>
        <v>42.196528656559117</v>
      </c>
    </row>
    <row r="15" spans="2:21" ht="15.75" customHeight="1">
      <c r="B15" s="32" t="str">
        <f>'Data Entry'!A15</f>
        <v xml:space="preserve">10. Cases Transferred to Adult Court </v>
      </c>
      <c r="C15" s="33">
        <f>'Data Entry'!C15</f>
        <v>3</v>
      </c>
      <c r="D15" s="34">
        <f>IF(((AND(C69&gt;0,C15&gt;0))),((C15/(C69))),0)</f>
        <v>8.2146768893756841E-2</v>
      </c>
      <c r="E15" s="33">
        <f>'Data Entry'!J15</f>
        <v>49</v>
      </c>
      <c r="F15" s="34">
        <f>IF(((AND($D$69&gt;0,$E$15&gt;0))),(($E$15/($D$69))),0)</f>
        <v>1.3164965072541646</v>
      </c>
      <c r="G15" s="39" t="str">
        <f t="shared" si="0"/>
        <v>**</v>
      </c>
      <c r="H15" s="40"/>
      <c r="I15" s="41"/>
      <c r="J15" s="40">
        <f>IF((ABS($U15)&gt;Defaults!D$7),1,2)</f>
        <v>1</v>
      </c>
      <c r="K15" s="39">
        <f>IF((AND(N15&gt;Defaults!B$12,(N15+O15)&gt;Defaults!B$13, P15 &gt; Defaults!B$12, (P15+Q15) &gt; Defaults!B$13)),1,20)</f>
        <v>20</v>
      </c>
      <c r="L15" s="1">
        <f t="shared" si="1"/>
        <v>20</v>
      </c>
      <c r="M15" s="1" t="b">
        <f t="shared" si="2"/>
        <v>1</v>
      </c>
      <c r="N15" s="42">
        <f t="shared" si="3"/>
        <v>49</v>
      </c>
      <c r="O15" s="42">
        <f>(D69*L69)-E15</f>
        <v>3673</v>
      </c>
      <c r="P15" s="42">
        <f t="shared" si="4"/>
        <v>3</v>
      </c>
      <c r="Q15" s="42">
        <f>(C69*L69)-C15</f>
        <v>3649.0000000000005</v>
      </c>
      <c r="R15" s="42">
        <f t="shared" si="5"/>
        <v>7374</v>
      </c>
      <c r="S15" s="30">
        <f t="shared" si="6"/>
        <v>207583995689976.09</v>
      </c>
      <c r="T15" s="30">
        <f t="shared" si="7"/>
        <v>5175355721536.001</v>
      </c>
      <c r="U15" s="31">
        <f t="shared" si="8"/>
        <v>40.110092302673053</v>
      </c>
    </row>
    <row r="16" spans="2:21" ht="12" customHeight="1">
      <c r="B16" s="43" t="s">
        <v>130</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131</v>
      </c>
      <c r="L17" s="1" t="s">
        <v>132</v>
      </c>
      <c r="N17" s="21"/>
      <c r="O17" s="21"/>
      <c r="P17" s="21"/>
      <c r="Q17" s="21"/>
      <c r="R17" s="21"/>
      <c r="S17" s="30"/>
      <c r="T17" s="30"/>
      <c r="U17" s="31"/>
    </row>
    <row r="18" spans="2:21" ht="15" customHeight="1">
      <c r="B18" s="1" t="s">
        <v>56</v>
      </c>
    </row>
    <row r="19" spans="2:21" ht="15" customHeight="1">
      <c r="B19" s="1" t="s">
        <v>98</v>
      </c>
      <c r="D19" s="45" t="s">
        <v>58</v>
      </c>
    </row>
    <row r="20" spans="2:21" ht="15" customHeight="1">
      <c r="B20" s="1" t="s">
        <v>99</v>
      </c>
      <c r="D20" s="1" t="s">
        <v>62</v>
      </c>
    </row>
    <row r="21" spans="2:21" ht="15" customHeight="1">
      <c r="B21" s="1" t="s">
        <v>59</v>
      </c>
      <c r="D21" s="1" t="s">
        <v>60</v>
      </c>
    </row>
    <row r="22" spans="2:21" ht="15" customHeight="1">
      <c r="B22" s="1" t="s">
        <v>63</v>
      </c>
      <c r="D22" s="1" t="s">
        <v>64</v>
      </c>
    </row>
    <row r="23" spans="2:21" ht="15" customHeight="1">
      <c r="B23" s="1" t="s">
        <v>65</v>
      </c>
      <c r="D23" s="1" t="s">
        <v>66</v>
      </c>
    </row>
    <row r="24" spans="2:21" ht="26.25" customHeight="1">
      <c r="B24" s="62"/>
      <c r="C24" s="62"/>
      <c r="D24" s="62"/>
      <c r="E24" s="62"/>
      <c r="F24" s="62"/>
      <c r="G24" s="62"/>
      <c r="H24" s="62"/>
      <c r="I24" s="62"/>
      <c r="N24" s="21"/>
      <c r="O24" s="21"/>
      <c r="P24" s="21"/>
      <c r="Q24" s="21"/>
      <c r="R24" s="21"/>
      <c r="S24" s="30"/>
      <c r="T24" s="30"/>
      <c r="U24" s="31"/>
    </row>
    <row r="25" spans="2:21" ht="15" customHeight="1">
      <c r="B25" s="46" t="s">
        <v>100</v>
      </c>
      <c r="K25" s="1" t="s">
        <v>101</v>
      </c>
      <c r="L25" s="1" t="s">
        <v>102</v>
      </c>
      <c r="N25" s="21"/>
      <c r="O25" s="21" t="b">
        <f>ISBLANK(N12)</f>
        <v>0</v>
      </c>
      <c r="P25" s="21"/>
      <c r="Q25" s="21"/>
      <c r="R25" s="21"/>
    </row>
    <row r="26" spans="2:21" ht="15" customHeight="1">
      <c r="B26" s="47" t="s">
        <v>103</v>
      </c>
      <c r="F26" s="47" t="s">
        <v>104</v>
      </c>
      <c r="G26" s="47"/>
      <c r="H26" s="47"/>
      <c r="I26" s="47"/>
      <c r="J26" s="47"/>
      <c r="K26" s="48" t="s">
        <v>66</v>
      </c>
      <c r="L26" s="48" t="s">
        <v>105</v>
      </c>
      <c r="M26" s="48"/>
      <c r="R26" s="49"/>
    </row>
    <row r="27" spans="2:21" ht="15" customHeight="1">
      <c r="B27" s="50" t="s">
        <v>106</v>
      </c>
      <c r="C27" s="50"/>
      <c r="D27" s="50"/>
      <c r="E27" s="50"/>
      <c r="F27" s="50" t="str">
        <f>B66</f>
        <v>per 1000 youth</v>
      </c>
      <c r="G27" s="50"/>
      <c r="H27" s="50"/>
      <c r="I27" s="50"/>
      <c r="J27" s="50">
        <f>F66</f>
        <v>0</v>
      </c>
      <c r="K27" s="50" t="s">
        <v>64</v>
      </c>
      <c r="L27" s="51" t="s">
        <v>107</v>
      </c>
      <c r="R27" s="49"/>
    </row>
    <row r="28" spans="2:21" ht="15" customHeight="1">
      <c r="B28" s="50" t="s">
        <v>108</v>
      </c>
      <c r="C28" s="50"/>
      <c r="D28" s="50"/>
      <c r="E28" s="50"/>
      <c r="F28" s="52" t="str">
        <f>B67</f>
        <v>per 100 arrests</v>
      </c>
      <c r="G28" s="52"/>
      <c r="H28" s="52"/>
      <c r="I28" s="52"/>
      <c r="J28" s="52"/>
      <c r="K28" s="52" t="s">
        <v>60</v>
      </c>
      <c r="L28" s="53" t="s">
        <v>109</v>
      </c>
      <c r="R28" s="49"/>
    </row>
    <row r="29" spans="2:21" ht="15" customHeight="1">
      <c r="B29" s="52" t="s">
        <v>110</v>
      </c>
      <c r="C29" s="52"/>
      <c r="D29" s="52"/>
      <c r="E29" s="52"/>
      <c r="F29" s="52" t="str">
        <f>B68</f>
        <v>per 100 referrals</v>
      </c>
      <c r="G29" s="52"/>
      <c r="H29" s="52"/>
      <c r="I29" s="52"/>
      <c r="J29" s="52"/>
      <c r="K29" s="52"/>
      <c r="L29" s="53"/>
      <c r="R29" s="49"/>
    </row>
    <row r="30" spans="2:21" ht="15" customHeight="1">
      <c r="B30" s="52" t="s">
        <v>111</v>
      </c>
      <c r="C30" s="52"/>
      <c r="D30" s="52"/>
      <c r="E30" s="52"/>
      <c r="F30" s="52" t="str">
        <f>B68</f>
        <v>per 100 referrals</v>
      </c>
      <c r="G30" s="52"/>
      <c r="H30" s="52"/>
      <c r="I30" s="52"/>
      <c r="J30" s="52"/>
      <c r="K30" s="52"/>
      <c r="L30" s="53"/>
      <c r="N30" s="1" t="b">
        <f>ISNUMBER(J14)</f>
        <v>1</v>
      </c>
      <c r="R30" s="49"/>
    </row>
    <row r="31" spans="2:21" ht="15" customHeight="1">
      <c r="B31" s="52" t="s">
        <v>112</v>
      </c>
      <c r="C31" s="52"/>
      <c r="D31" s="52"/>
      <c r="E31" s="52"/>
      <c r="F31" s="52" t="str">
        <f>B68</f>
        <v>per 100 referrals</v>
      </c>
      <c r="G31" s="52"/>
      <c r="H31" s="52"/>
      <c r="I31" s="52"/>
      <c r="J31" s="52"/>
      <c r="K31" s="52"/>
      <c r="L31" s="53"/>
      <c r="R31" s="49"/>
    </row>
    <row r="32" spans="2:21" ht="15" customHeight="1">
      <c r="B32" s="52" t="s">
        <v>113</v>
      </c>
      <c r="C32" s="52"/>
      <c r="D32" s="52"/>
      <c r="E32" s="52"/>
      <c r="F32" s="52" t="str">
        <f>B69</f>
        <v>per 100 youth petitioned</v>
      </c>
      <c r="G32" s="52"/>
      <c r="H32" s="52"/>
      <c r="I32" s="52"/>
      <c r="J32" s="52"/>
      <c r="K32" s="52"/>
      <c r="L32" s="53"/>
      <c r="R32" s="49"/>
    </row>
    <row r="33" spans="2:18" ht="15" customHeight="1">
      <c r="B33" s="52" t="s">
        <v>114</v>
      </c>
      <c r="C33" s="52"/>
      <c r="D33" s="52"/>
      <c r="E33" s="52"/>
      <c r="F33" s="52" t="str">
        <f>B70</f>
        <v>per 100 youth found delinquent</v>
      </c>
      <c r="G33" s="52"/>
      <c r="H33" s="52"/>
      <c r="I33" s="52"/>
      <c r="J33" s="52"/>
      <c r="K33" s="52"/>
      <c r="L33" s="53"/>
      <c r="R33" s="49"/>
    </row>
    <row r="34" spans="2:18" ht="15" customHeight="1">
      <c r="B34" s="52" t="s">
        <v>115</v>
      </c>
      <c r="C34" s="52"/>
      <c r="D34" s="52"/>
      <c r="E34" s="52"/>
      <c r="F34" s="52" t="str">
        <f>B70</f>
        <v>per 100 youth found delinquent</v>
      </c>
      <c r="G34" s="52"/>
      <c r="H34" s="52"/>
      <c r="I34" s="52"/>
      <c r="J34" s="52"/>
      <c r="K34" s="52"/>
      <c r="L34" s="53"/>
      <c r="R34" s="49"/>
    </row>
    <row r="35" spans="2:18" ht="15" customHeight="1">
      <c r="B35" s="52" t="s">
        <v>116</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187" t="s">
        <v>117</v>
      </c>
      <c r="C40" s="187"/>
      <c r="D40" s="187"/>
      <c r="E40" s="187"/>
      <c r="F40" s="187"/>
      <c r="G40" s="187"/>
      <c r="H40" s="187"/>
      <c r="I40" s="187"/>
      <c r="J40" s="187"/>
      <c r="K40" s="8"/>
      <c r="R40" s="49"/>
    </row>
    <row r="41" spans="2:18" ht="15" hidden="1" customHeight="1">
      <c r="B41" s="54" t="s">
        <v>118</v>
      </c>
      <c r="C41" s="54" t="s">
        <v>119</v>
      </c>
      <c r="D41" s="55" t="s">
        <v>120</v>
      </c>
      <c r="E41" s="54" t="s">
        <v>121</v>
      </c>
      <c r="G41" s="54" t="s">
        <v>122</v>
      </c>
      <c r="H41" s="54"/>
      <c r="I41" s="54"/>
      <c r="L41" s="1" t="s">
        <v>123</v>
      </c>
      <c r="R41" s="49"/>
    </row>
    <row r="42" spans="2:18" ht="15" hidden="1" customHeight="1">
      <c r="B42" s="49" t="s">
        <v>124</v>
      </c>
      <c r="C42" s="56">
        <f>C6/1000</f>
        <v>679.73699999999997</v>
      </c>
      <c r="D42" s="56">
        <f>E6/1000</f>
        <v>311.79500000000002</v>
      </c>
      <c r="E42" s="56">
        <f>MAX(C42:D42)</f>
        <v>679.73699999999997</v>
      </c>
      <c r="G42" s="1" t="str">
        <f>B42</f>
        <v>per 1000 youth</v>
      </c>
      <c r="L42" s="57">
        <v>1000</v>
      </c>
      <c r="M42" s="57"/>
      <c r="R42" s="49"/>
    </row>
    <row r="43" spans="2:18" ht="15" hidden="1" customHeight="1">
      <c r="B43" s="49" t="s">
        <v>125</v>
      </c>
      <c r="C43" s="56">
        <f>C7/100</f>
        <v>45.22</v>
      </c>
      <c r="D43" s="56">
        <f>E7/100</f>
        <v>47.54</v>
      </c>
      <c r="E43" s="56">
        <f>MAX(C43:D43,0)</f>
        <v>47.54</v>
      </c>
      <c r="G43" s="1" t="str">
        <f>B43</f>
        <v>per 100 arrests</v>
      </c>
      <c r="L43" s="57">
        <v>100</v>
      </c>
      <c r="M43" s="57"/>
      <c r="R43" s="49"/>
    </row>
    <row r="44" spans="2:18" ht="15" hidden="1" customHeight="1">
      <c r="B44" s="49" t="s">
        <v>126</v>
      </c>
      <c r="C44" s="56">
        <f>C8/100</f>
        <v>72.849999999999994</v>
      </c>
      <c r="D44" s="56">
        <f>E8/100</f>
        <v>60.46</v>
      </c>
      <c r="E44" s="56">
        <f>MAX(C44:D44,0)</f>
        <v>72.849999999999994</v>
      </c>
      <c r="G44" s="1" t="str">
        <f>B44</f>
        <v>per 100 referrals</v>
      </c>
      <c r="L44" s="57">
        <v>100</v>
      </c>
      <c r="M44" s="57"/>
      <c r="R44" s="49"/>
    </row>
    <row r="45" spans="2:18" ht="15" hidden="1" customHeight="1">
      <c r="B45" s="49" t="s">
        <v>127</v>
      </c>
      <c r="C45" s="49">
        <f>C11/100</f>
        <v>36.520000000000003</v>
      </c>
      <c r="D45" s="49">
        <f>E11/100</f>
        <v>37.22</v>
      </c>
      <c r="E45" s="56">
        <f>MAX(C45:D45,0)</f>
        <v>37.22</v>
      </c>
      <c r="G45" s="1" t="str">
        <f>B45</f>
        <v>per 100 youth petitioned</v>
      </c>
      <c r="L45" s="57">
        <v>100</v>
      </c>
      <c r="M45" s="57"/>
      <c r="R45" s="49"/>
    </row>
    <row r="46" spans="2:18" ht="15" hidden="1" customHeight="1">
      <c r="B46" s="49" t="s">
        <v>128</v>
      </c>
      <c r="C46" s="49">
        <f>C12/100</f>
        <v>23.46</v>
      </c>
      <c r="D46" s="49">
        <f>E12/100</f>
        <v>19.72</v>
      </c>
      <c r="E46" s="56">
        <f>MAX(C46:D46)</f>
        <v>23.46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311.79500000000002</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45.22</v>
      </c>
      <c r="D49" s="49">
        <f t="shared" si="9"/>
        <v>47.54</v>
      </c>
      <c r="E49" s="49">
        <f>MAX(C49:D49)</f>
        <v>47.54</v>
      </c>
      <c r="G49" s="1" t="str">
        <f>G43</f>
        <v>per 100 arrests</v>
      </c>
      <c r="L49" s="58">
        <f>IF(($E43&gt;0),L43,L42)</f>
        <v>100</v>
      </c>
      <c r="M49" s="58"/>
      <c r="N49" s="21"/>
      <c r="O49" s="21"/>
      <c r="P49" s="21"/>
      <c r="Q49" s="21"/>
      <c r="R49" s="21"/>
    </row>
    <row r="50" spans="2:18" ht="15" hidden="1" customHeight="1">
      <c r="B50" s="49" t="str">
        <f t="shared" si="9"/>
        <v>per 100 referrals</v>
      </c>
      <c r="C50" s="49">
        <f t="shared" si="9"/>
        <v>72.849999999999994</v>
      </c>
      <c r="D50" s="49">
        <f t="shared" si="9"/>
        <v>60.46</v>
      </c>
      <c r="E50" s="49">
        <f>MAX(C50:D50)</f>
        <v>72.849999999999994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36.520000000000003</v>
      </c>
      <c r="D51" s="49">
        <f>IF(($E45&gt;0),D45,D44)</f>
        <v>37.22</v>
      </c>
      <c r="E51" s="49">
        <f>MAX(C51:D51)</f>
        <v>37.22</v>
      </c>
      <c r="G51" s="1" t="str">
        <f>G45</f>
        <v>per 100 youth petitioned</v>
      </c>
      <c r="L51" s="58">
        <f>IF(($E45&gt;0),L45,L44)</f>
        <v>100</v>
      </c>
      <c r="M51" s="58"/>
    </row>
    <row r="52" spans="2:18" ht="15" hidden="1" customHeight="1">
      <c r="B52" s="49" t="str">
        <f>IF(($E46&gt;0),B46,B45)</f>
        <v>per 100 youth found delinquent</v>
      </c>
      <c r="C52" s="49">
        <f>IF(($E46&gt;0),C46,C45)</f>
        <v>23.46</v>
      </c>
      <c r="D52" s="49">
        <f>IF(($E46&gt;0),D46,D45)</f>
        <v>19.72</v>
      </c>
      <c r="E52" s="56">
        <f>MAX(C52:D52)</f>
        <v>23.46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311.79500000000002</v>
      </c>
      <c r="E54" s="56">
        <f>MAX(C54:D54)</f>
        <v>679.73699999999997</v>
      </c>
      <c r="G54" s="1" t="str">
        <f>G48</f>
        <v>per 1000 youth</v>
      </c>
      <c r="L54" s="58">
        <f>L48</f>
        <v>1000</v>
      </c>
      <c r="M54" s="58"/>
    </row>
    <row r="55" spans="2:18" ht="15" hidden="1" customHeight="1">
      <c r="B55" s="49" t="str">
        <f t="shared" ref="B55:D56" si="10">IF(($E49&gt;0),B49,B48)</f>
        <v>per 100 arrests</v>
      </c>
      <c r="C55" s="49">
        <f t="shared" si="10"/>
        <v>45.22</v>
      </c>
      <c r="D55" s="49">
        <f t="shared" si="10"/>
        <v>47.54</v>
      </c>
      <c r="E55" s="49">
        <f>MAX(C55:D55)</f>
        <v>47.54</v>
      </c>
      <c r="G55" s="1" t="str">
        <f>G49</f>
        <v>per 100 arrests</v>
      </c>
      <c r="L55" s="58">
        <f>IF(($E49&gt;0),L49,L48)</f>
        <v>100</v>
      </c>
      <c r="M55" s="58"/>
    </row>
    <row r="56" spans="2:18" ht="15" hidden="1" customHeight="1">
      <c r="B56" s="49" t="str">
        <f t="shared" si="10"/>
        <v>per 100 referrals</v>
      </c>
      <c r="C56" s="49">
        <f t="shared" si="10"/>
        <v>72.849999999999994</v>
      </c>
      <c r="D56" s="49">
        <f t="shared" si="10"/>
        <v>60.46</v>
      </c>
      <c r="E56" s="49">
        <f>MAX(C56:D56)</f>
        <v>72.849999999999994</v>
      </c>
      <c r="G56" s="1" t="str">
        <f>G50</f>
        <v>per 100 referrals</v>
      </c>
      <c r="L56" s="58">
        <f>IF(($E50&gt;0),L50,L49)</f>
        <v>100</v>
      </c>
      <c r="M56" s="58"/>
    </row>
    <row r="57" spans="2:18" ht="15" hidden="1" customHeight="1">
      <c r="B57" s="49" t="str">
        <f>IF(($E51&gt;0),B51,B49)</f>
        <v>per 100 youth petitioned</v>
      </c>
      <c r="C57" s="49">
        <f>IF(($E51&gt;0),C51,C50)</f>
        <v>36.520000000000003</v>
      </c>
      <c r="D57" s="49">
        <f>IF(($E51&gt;0),D51,D50)</f>
        <v>37.22</v>
      </c>
      <c r="E57" s="49">
        <f>MAX(C57:D57)</f>
        <v>37.22</v>
      </c>
      <c r="G57" s="1" t="str">
        <f>G51</f>
        <v>per 100 youth petitioned</v>
      </c>
      <c r="L57" s="58">
        <f>IF(($E51&gt;0),L51,L50)</f>
        <v>100</v>
      </c>
      <c r="M57" s="58"/>
    </row>
    <row r="58" spans="2:18" ht="15" hidden="1" customHeight="1">
      <c r="B58" s="49" t="str">
        <f>IF(($E52&gt;0),B52,B51)</f>
        <v>per 100 youth found delinquent</v>
      </c>
      <c r="C58" s="49">
        <f>IF(($E52&gt;0),C52,C51)</f>
        <v>23.46</v>
      </c>
      <c r="D58" s="49">
        <f>IF(($E52&gt;0),D52,D51)</f>
        <v>19.72</v>
      </c>
      <c r="E58" s="56">
        <f>MAX(C58:D58)</f>
        <v>23.46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311.79500000000002</v>
      </c>
      <c r="E60" s="56">
        <f>MAX(C60:D60)</f>
        <v>679.73699999999997</v>
      </c>
      <c r="G60" s="1" t="str">
        <f>G54</f>
        <v>per 1000 youth</v>
      </c>
      <c r="L60" s="58">
        <f>L54</f>
        <v>1000</v>
      </c>
      <c r="M60" s="58"/>
    </row>
    <row r="61" spans="2:18" ht="15" hidden="1" customHeight="1">
      <c r="B61" s="49" t="str">
        <f t="shared" ref="B61:D62" si="11">IF(($E55&gt;0),B55,B54)</f>
        <v>per 100 arrests</v>
      </c>
      <c r="C61" s="49">
        <f t="shared" si="11"/>
        <v>45.22</v>
      </c>
      <c r="D61" s="49">
        <f t="shared" si="11"/>
        <v>47.54</v>
      </c>
      <c r="E61" s="49">
        <f>MAX(C61:D61)</f>
        <v>47.54</v>
      </c>
      <c r="G61" s="1" t="str">
        <f>G55</f>
        <v>per 100 arrests</v>
      </c>
      <c r="L61" s="58">
        <f>IF(($E55&gt;0),L55,L54)</f>
        <v>100</v>
      </c>
      <c r="M61" s="58"/>
    </row>
    <row r="62" spans="2:18" ht="15" hidden="1" customHeight="1">
      <c r="B62" s="49" t="str">
        <f t="shared" si="11"/>
        <v>per 100 referrals</v>
      </c>
      <c r="C62" s="49">
        <f t="shared" si="11"/>
        <v>72.849999999999994</v>
      </c>
      <c r="D62" s="49">
        <f t="shared" si="11"/>
        <v>60.46</v>
      </c>
      <c r="E62" s="49">
        <f>MAX(C62:D62)</f>
        <v>72.849999999999994</v>
      </c>
      <c r="G62" s="1" t="str">
        <f>G56</f>
        <v>per 100 referrals</v>
      </c>
      <c r="L62" s="58">
        <f>IF(($E56&gt;0),L56,L55)</f>
        <v>100</v>
      </c>
      <c r="M62" s="58"/>
    </row>
    <row r="63" spans="2:18" ht="15" hidden="1" customHeight="1">
      <c r="B63" s="49" t="str">
        <f>IF(($E57&gt;0),B57,B55)</f>
        <v>per 100 youth petitioned</v>
      </c>
      <c r="C63" s="49">
        <f>IF(($E57&gt;0),C57,C56)</f>
        <v>36.520000000000003</v>
      </c>
      <c r="D63" s="49">
        <f>IF(($E57&gt;0),D57,D56)</f>
        <v>37.22</v>
      </c>
      <c r="E63" s="49">
        <f>MAX(C63:D63)</f>
        <v>37.22</v>
      </c>
      <c r="G63" s="1" t="str">
        <f>G57</f>
        <v>per 100 youth petitioned</v>
      </c>
      <c r="L63" s="58">
        <f>IF(($E57&gt;0),L57,L56)</f>
        <v>100</v>
      </c>
      <c r="M63" s="58"/>
    </row>
    <row r="64" spans="2:18" ht="15" hidden="1" customHeight="1">
      <c r="B64" s="49" t="str">
        <f>IF(($E58&gt;0),B58,B57)</f>
        <v>per 100 youth found delinquent</v>
      </c>
      <c r="C64" s="49">
        <f>IF(($E58&gt;0),C58,C57)</f>
        <v>23.46</v>
      </c>
      <c r="D64" s="49">
        <f>IF(($E58&gt;0),D58,D57)</f>
        <v>19.72</v>
      </c>
      <c r="E64" s="56">
        <f>MAX(C64:D64)</f>
        <v>23.46</v>
      </c>
      <c r="G64" s="1" t="str">
        <f>G58</f>
        <v>per 100 youth found delinquent</v>
      </c>
      <c r="L64" s="58">
        <f>IF(($E58&gt;0),L58,L57)</f>
        <v>100</v>
      </c>
      <c r="M64" s="58"/>
    </row>
    <row r="65" spans="2:13" ht="15" hidden="1" customHeight="1">
      <c r="B65" s="59" t="s">
        <v>129</v>
      </c>
      <c r="L65" s="57"/>
      <c r="M65" s="57"/>
    </row>
    <row r="66" spans="2:13" ht="15" hidden="1" customHeight="1">
      <c r="B66" s="49" t="str">
        <f>B60</f>
        <v>per 1000 youth</v>
      </c>
      <c r="C66" s="56">
        <f>C60</f>
        <v>679.73699999999997</v>
      </c>
      <c r="D66" s="56">
        <f>D60</f>
        <v>311.79500000000002</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45.22</v>
      </c>
      <c r="D67" s="49">
        <f t="shared" si="12"/>
        <v>47.54</v>
      </c>
      <c r="E67" s="49">
        <f>MAX(C67:D67)</f>
        <v>47.54</v>
      </c>
      <c r="G67" s="1" t="str">
        <f>G61</f>
        <v>per 100 arrests</v>
      </c>
      <c r="L67" s="58">
        <f>IF(($E61&gt;0),L61,L60)</f>
        <v>100</v>
      </c>
      <c r="M67" s="58">
        <f>IF((B67=G67),1,2)</f>
        <v>1</v>
      </c>
    </row>
    <row r="68" spans="2:13" ht="15" hidden="1" customHeight="1">
      <c r="B68" s="49" t="str">
        <f t="shared" si="12"/>
        <v>per 100 referrals</v>
      </c>
      <c r="C68" s="49">
        <f t="shared" si="12"/>
        <v>72.849999999999994</v>
      </c>
      <c r="D68" s="49">
        <f t="shared" si="12"/>
        <v>60.46</v>
      </c>
      <c r="E68" s="49">
        <f>MAX(C68:D68)</f>
        <v>72.849999999999994</v>
      </c>
      <c r="G68" s="1" t="str">
        <f>G62</f>
        <v>per 100 referrals</v>
      </c>
      <c r="L68" s="58">
        <f>IF(($E62&gt;0),L62,L61)</f>
        <v>100</v>
      </c>
      <c r="M68" s="58">
        <f>IF((B68=G68),1,2)</f>
        <v>1</v>
      </c>
    </row>
    <row r="69" spans="2:13" ht="15" hidden="1" customHeight="1">
      <c r="B69" s="49" t="str">
        <f>IF(($E63&gt;0),B63,B61)</f>
        <v>per 100 youth petitioned</v>
      </c>
      <c r="C69" s="49">
        <f>IF(($E63&gt;0),C63,C62)</f>
        <v>36.520000000000003</v>
      </c>
      <c r="D69" s="49">
        <f>IF(($E63&gt;0),D63,D62)</f>
        <v>37.22</v>
      </c>
      <c r="E69" s="49">
        <f>MAX(C69:D69)</f>
        <v>37.22</v>
      </c>
      <c r="G69" s="1" t="str">
        <f>G63</f>
        <v>per 100 youth petitioned</v>
      </c>
      <c r="L69" s="58">
        <f>IF(($E63&gt;0),L63,L62)</f>
        <v>100</v>
      </c>
      <c r="M69" s="58">
        <f>IF((B69=G69),1,2)</f>
        <v>1</v>
      </c>
    </row>
    <row r="70" spans="2:13" ht="15" hidden="1" customHeight="1">
      <c r="B70" s="49" t="str">
        <f>IF(($E64&gt;0),B64,B63)</f>
        <v>per 100 youth found delinquent</v>
      </c>
      <c r="C70" s="49">
        <f>IF(($E64&gt;0),C64,C63)</f>
        <v>23.46</v>
      </c>
      <c r="D70" s="49">
        <f>IF(($E64&gt;0),D64,D63)</f>
        <v>19.72</v>
      </c>
      <c r="E70" s="56">
        <f>MAX(C70:D70)</f>
        <v>23.46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oddHeader>&amp;C&amp;"Calibri"&amp;10&amp;K000000 MPHI Internal Use Only&amp;1#_x000D_</oddHeader>
    <oddFooter>&amp;C_x000D_&amp;1#&amp;"Calibri"&amp;10&amp;K000000 MPHI 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133</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10/1/22 through 9/30/23</v>
      </c>
      <c r="I4" s="67"/>
    </row>
    <row r="5" spans="2:18" ht="15" customHeight="1">
      <c r="B5" s="66" t="str">
        <f>'Data Entry'!A3</f>
        <v>All Reporting Counties</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71</v>
      </c>
      <c r="C7" s="72">
        <f>'Black or African-American'!$G7</f>
        <v>3.7985667424948915</v>
      </c>
      <c r="D7" s="72">
        <f>Hispanic!G7</f>
        <v>0.3830881806585657</v>
      </c>
      <c r="E7" s="72">
        <f>Asian!G7</f>
        <v>0.18774396430032472</v>
      </c>
      <c r="F7" s="72" t="str">
        <f>Hawaiian!G7</f>
        <v>*</v>
      </c>
      <c r="G7" s="72" t="str">
        <f>'Am Indian'!G7</f>
        <v>*</v>
      </c>
      <c r="H7" s="72" t="str">
        <f>'Other - Mixed'!G7</f>
        <v>*</v>
      </c>
      <c r="I7" s="73">
        <f>'All Minorities'!G7</f>
        <v>2.2919249022610577</v>
      </c>
      <c r="L7" s="1">
        <f>'Black or African-American'!L7</f>
        <v>1</v>
      </c>
      <c r="M7" s="1">
        <f>Hispanic!L7</f>
        <v>1</v>
      </c>
      <c r="N7" s="1">
        <f>Asian!L7</f>
        <v>1</v>
      </c>
      <c r="O7" s="1" t="e">
        <f>Hawaiian!L7</f>
        <v>#DIV/0!</v>
      </c>
      <c r="P7" s="1">
        <f>'Am Indian'!L7</f>
        <v>101</v>
      </c>
      <c r="Q7" s="1" t="e">
        <f>'Other - Mixed'!L7</f>
        <v>#VALUE!</v>
      </c>
      <c r="R7" s="1">
        <f>'All Minorities'!L7</f>
        <v>1</v>
      </c>
    </row>
    <row r="8" spans="2:18" ht="15" customHeight="1">
      <c r="B8" s="71" t="s">
        <v>18</v>
      </c>
      <c r="C8" s="72">
        <f>'Black or African-American'!$G8</f>
        <v>0.66746102104631511</v>
      </c>
      <c r="D8" s="72">
        <f>Hispanic!G8</f>
        <v>1.5369105028277881</v>
      </c>
      <c r="E8" s="72">
        <f>Asian!G8</f>
        <v>0.77274242572801255</v>
      </c>
      <c r="F8" s="72" t="str">
        <f>Hawaiian!G8</f>
        <v>*</v>
      </c>
      <c r="G8" s="72" t="str">
        <f>'Am Indian'!G8</f>
        <v>*</v>
      </c>
      <c r="H8" s="72" t="str">
        <f>'Other - Mixed'!G8</f>
        <v>*</v>
      </c>
      <c r="I8" s="73">
        <f>'All Minorities'!G8</f>
        <v>0.78942334873006559</v>
      </c>
      <c r="L8" s="1">
        <f>'Black or African-American'!L8</f>
        <v>1</v>
      </c>
      <c r="M8" s="1">
        <f>Hispanic!L8</f>
        <v>1</v>
      </c>
      <c r="N8" s="1">
        <f>Asian!L8</f>
        <v>1</v>
      </c>
      <c r="O8" s="1">
        <f>Hawaiian!L8</f>
        <v>139</v>
      </c>
      <c r="P8" s="1">
        <f>'Am Indian'!L8</f>
        <v>100</v>
      </c>
      <c r="Q8" s="1">
        <f>'Other - Mixed'!L8</f>
        <v>119</v>
      </c>
      <c r="R8" s="1">
        <f>'All Minorities'!L8</f>
        <v>1</v>
      </c>
    </row>
    <row r="9" spans="2:18" ht="15" customHeight="1">
      <c r="B9" s="71" t="s">
        <v>19</v>
      </c>
      <c r="C9" s="72">
        <f>'Black or African-American'!$G9</f>
        <v>1.1830716409152005</v>
      </c>
      <c r="D9" s="72">
        <f>Hispanic!G9</f>
        <v>1.2174960763279097</v>
      </c>
      <c r="E9" s="72">
        <f>Asian!G9</f>
        <v>1.9598798913467963</v>
      </c>
      <c r="F9" s="72" t="str">
        <f>Hawaiian!G9</f>
        <v>*</v>
      </c>
      <c r="G9" s="72" t="str">
        <f>'Am Indian'!G9</f>
        <v>*</v>
      </c>
      <c r="H9" s="72" t="str">
        <f>'Other - Mixed'!G9</f>
        <v>*</v>
      </c>
      <c r="I9" s="73">
        <f>'All Minorities'!G9</f>
        <v>1.1857928985244062</v>
      </c>
      <c r="L9" s="1">
        <f>'Black or African-American'!L9</f>
        <v>1</v>
      </c>
      <c r="M9" s="1">
        <f>Hispanic!L9</f>
        <v>1</v>
      </c>
      <c r="N9" s="1">
        <f>Asian!L9</f>
        <v>1</v>
      </c>
      <c r="O9" s="1">
        <f>Hawaiian!L9</f>
        <v>139</v>
      </c>
      <c r="P9" s="1">
        <f>'Am Indian'!L9</f>
        <v>100</v>
      </c>
      <c r="Q9" s="1">
        <f>'Other - Mixed'!L9</f>
        <v>100</v>
      </c>
      <c r="R9" s="1">
        <f>'All Minorities'!L9</f>
        <v>1</v>
      </c>
    </row>
    <row r="10" spans="2:18" ht="15" customHeight="1">
      <c r="B10" s="71" t="s">
        <v>20</v>
      </c>
      <c r="C10" s="72">
        <f>'Black or African-American'!$G10</f>
        <v>2.4313200970359308</v>
      </c>
      <c r="D10" s="72">
        <f>Hispanic!G10</f>
        <v>2.614225566056009</v>
      </c>
      <c r="E10" s="72">
        <f>Asian!G10</f>
        <v>1.1045200416943048</v>
      </c>
      <c r="F10" s="72" t="str">
        <f>Hawaiian!G10</f>
        <v>*</v>
      </c>
      <c r="G10" s="72" t="str">
        <f>'Am Indian'!G10</f>
        <v>*</v>
      </c>
      <c r="H10" s="72" t="str">
        <f>'Other - Mixed'!G10</f>
        <v>*</v>
      </c>
      <c r="I10" s="73">
        <f>'All Minorities'!G10</f>
        <v>2.4669699930589943</v>
      </c>
      <c r="L10" s="1">
        <f>'Black or African-American'!L10</f>
        <v>1</v>
      </c>
      <c r="M10" s="1">
        <f>Hispanic!L10</f>
        <v>1</v>
      </c>
      <c r="N10" s="1">
        <f>Asian!L10</f>
        <v>2</v>
      </c>
      <c r="O10" s="1">
        <f>Hawaiian!L10</f>
        <v>139</v>
      </c>
      <c r="P10" s="1">
        <f>'Am Indian'!L10</f>
        <v>101</v>
      </c>
      <c r="Q10" s="1">
        <f>'Other - Mixed'!L10</f>
        <v>100</v>
      </c>
      <c r="R10" s="1">
        <f>'All Minorities'!L10</f>
        <v>1</v>
      </c>
    </row>
    <row r="11" spans="2:18" ht="15" customHeight="1">
      <c r="B11" s="71" t="s">
        <v>53</v>
      </c>
      <c r="C11" s="72">
        <f>'Black or African-American'!$G11</f>
        <v>1.2561854766723441</v>
      </c>
      <c r="D11" s="72">
        <f>Hispanic!G11</f>
        <v>1.203211112849667</v>
      </c>
      <c r="E11" s="72">
        <f>Asian!G11</f>
        <v>1.2426606575332626</v>
      </c>
      <c r="F11" s="72" t="str">
        <f>Hawaiian!G11</f>
        <v>*</v>
      </c>
      <c r="G11" s="72" t="str">
        <f>'Am Indian'!G11</f>
        <v>*</v>
      </c>
      <c r="H11" s="72" t="str">
        <f>'Other - Mixed'!G11</f>
        <v>*</v>
      </c>
      <c r="I11" s="73">
        <f>'All Minorities'!G11</f>
        <v>1.2280244485595828</v>
      </c>
      <c r="L11" s="1">
        <f>'Black or African-American'!L11</f>
        <v>1</v>
      </c>
      <c r="M11" s="1">
        <f>Hispanic!L11</f>
        <v>1</v>
      </c>
      <c r="N11" s="1">
        <f>Asian!L11</f>
        <v>2</v>
      </c>
      <c r="O11" s="1">
        <f>Hawaiian!L11</f>
        <v>119</v>
      </c>
      <c r="P11" s="1">
        <f>'Am Indian'!L11</f>
        <v>101</v>
      </c>
      <c r="Q11" s="1">
        <f>'Other - Mixed'!L11</f>
        <v>101</v>
      </c>
      <c r="R11" s="1">
        <f>'All Minorities'!L11</f>
        <v>1</v>
      </c>
    </row>
    <row r="12" spans="2:18" ht="15" customHeight="1">
      <c r="B12" s="71" t="s">
        <v>22</v>
      </c>
      <c r="C12" s="72">
        <f>'Black or African-American'!$G12</f>
        <v>0.8071930056772656</v>
      </c>
      <c r="D12" s="72">
        <f>Hispanic!G12</f>
        <v>0.94676019403438982</v>
      </c>
      <c r="E12" s="72">
        <f>Asian!G12</f>
        <v>0.65544936510073148</v>
      </c>
      <c r="F12" s="72" t="str">
        <f>Hawaiian!G12</f>
        <v>*</v>
      </c>
      <c r="G12" s="72" t="str">
        <f>'Am Indian'!G12</f>
        <v>*</v>
      </c>
      <c r="H12" s="72" t="str">
        <f>'Other - Mixed'!G12</f>
        <v>*</v>
      </c>
      <c r="I12" s="73">
        <f>'All Minorities'!G12</f>
        <v>0.82477084939529166</v>
      </c>
      <c r="L12" s="1">
        <f>'Black or African-American'!L12</f>
        <v>1</v>
      </c>
      <c r="M12" s="1">
        <f>Hispanic!L12</f>
        <v>2</v>
      </c>
      <c r="N12" s="1">
        <f>Asian!L12</f>
        <v>1</v>
      </c>
      <c r="O12" s="1">
        <f>Hawaiian!L12</f>
        <v>139</v>
      </c>
      <c r="P12" s="1">
        <f>'Am Indian'!L12</f>
        <v>101</v>
      </c>
      <c r="Q12" s="1">
        <f>'Other - Mixed'!L12</f>
        <v>100</v>
      </c>
      <c r="R12" s="1">
        <f>'All Minorities'!L12</f>
        <v>1</v>
      </c>
    </row>
    <row r="13" spans="2:18" ht="15" customHeight="1">
      <c r="B13" s="71" t="s">
        <v>72</v>
      </c>
      <c r="C13" s="72">
        <f>'Black or African-American'!$G13</f>
        <v>0.84026090846084656</v>
      </c>
      <c r="D13" s="72">
        <f>Hispanic!G13</f>
        <v>1.216852613035819</v>
      </c>
      <c r="E13" s="72" t="str">
        <f>Asian!G13</f>
        <v>**</v>
      </c>
      <c r="F13" s="72" t="str">
        <f>Hawaiian!G13</f>
        <v>*</v>
      </c>
      <c r="G13" s="72" t="str">
        <f>'Am Indian'!G13</f>
        <v>*</v>
      </c>
      <c r="H13" s="72" t="str">
        <f>'Other - Mixed'!G13</f>
        <v>*</v>
      </c>
      <c r="I13" s="73">
        <f>'All Minorities'!G13</f>
        <v>0.91055540931824164</v>
      </c>
      <c r="L13" s="1">
        <f>'Black or African-American'!L13</f>
        <v>1</v>
      </c>
      <c r="M13" s="1">
        <f>Hispanic!L13</f>
        <v>1</v>
      </c>
      <c r="N13" s="1">
        <f>Asian!L13</f>
        <v>40</v>
      </c>
      <c r="O13" s="1">
        <f>Hawaiian!L13</f>
        <v>119</v>
      </c>
      <c r="P13" s="1">
        <f>'Am Indian'!L13</f>
        <v>100</v>
      </c>
      <c r="Q13" s="1">
        <f>'Other - Mixed'!L13</f>
        <v>100</v>
      </c>
      <c r="R13" s="1">
        <f>'All Minorities'!L13</f>
        <v>1</v>
      </c>
    </row>
    <row r="14" spans="2:18" ht="25.5" customHeight="1">
      <c r="B14" s="71" t="s">
        <v>134</v>
      </c>
      <c r="C14" s="72">
        <f>'Black or African-American'!$G14</f>
        <v>0.67169333285029975</v>
      </c>
      <c r="D14" s="72">
        <f>Hispanic!G14</f>
        <v>0.55268393131369531</v>
      </c>
      <c r="E14" s="72" t="str">
        <f>Asian!G14</f>
        <v>**</v>
      </c>
      <c r="F14" s="72" t="str">
        <f>Hawaiian!G14</f>
        <v>*</v>
      </c>
      <c r="G14" s="72" t="str">
        <f>'Am Indian'!G14</f>
        <v>*</v>
      </c>
      <c r="H14" s="72" t="str">
        <f>'Other - Mixed'!G14</f>
        <v>*</v>
      </c>
      <c r="I14" s="73">
        <f>'All Minorities'!G14</f>
        <v>0.66283872582764891</v>
      </c>
      <c r="L14" s="1">
        <f>'Black or African-American'!L14</f>
        <v>1</v>
      </c>
      <c r="M14" s="1">
        <f>Hispanic!L14</f>
        <v>1</v>
      </c>
      <c r="N14" s="1">
        <f>Asian!L14</f>
        <v>40</v>
      </c>
      <c r="O14" s="1">
        <f>Hawaiian!L14</f>
        <v>139</v>
      </c>
      <c r="P14" s="1">
        <f>'Am Indian'!L14</f>
        <v>101</v>
      </c>
      <c r="Q14" s="1">
        <f>'Other - Mixed'!L14</f>
        <v>100</v>
      </c>
      <c r="R14" s="1">
        <f>'All Minorities'!L14</f>
        <v>1</v>
      </c>
    </row>
    <row r="15" spans="2:18" ht="15" customHeight="1">
      <c r="B15" s="71" t="s">
        <v>25</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20</v>
      </c>
      <c r="M15" s="1">
        <f>Hispanic!L15</f>
        <v>40</v>
      </c>
      <c r="N15" s="1">
        <f>Asian!L15</f>
        <v>40</v>
      </c>
      <c r="O15" s="1">
        <f>Hawaiian!L15</f>
        <v>139</v>
      </c>
      <c r="P15" s="1">
        <f>'Am Indian'!L15</f>
        <v>139</v>
      </c>
      <c r="Q15" s="1">
        <f>'Other - Mixed'!L15</f>
        <v>119</v>
      </c>
      <c r="R15" s="1">
        <f>'All Minorities'!L15</f>
        <v>20</v>
      </c>
    </row>
    <row r="16" spans="2:18" ht="15" customHeight="1">
      <c r="B16" s="74" t="s">
        <v>54</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t="str">
        <f>'Black or African-American'!B16</f>
        <v>release 10/17/05</v>
      </c>
      <c r="C18" s="77"/>
      <c r="D18" s="77"/>
      <c r="E18" s="77"/>
      <c r="F18" s="77"/>
      <c r="G18" s="77"/>
      <c r="H18" s="77"/>
      <c r="I18" s="78"/>
    </row>
    <row r="20" spans="2:9" ht="15" customHeight="1">
      <c r="B20" s="1" t="s">
        <v>56</v>
      </c>
    </row>
    <row r="21" spans="2:9" ht="15" customHeight="1">
      <c r="B21" s="1" t="s">
        <v>98</v>
      </c>
      <c r="D21" s="45" t="s">
        <v>58</v>
      </c>
    </row>
    <row r="22" spans="2:9" ht="15" customHeight="1">
      <c r="B22" s="1" t="s">
        <v>99</v>
      </c>
      <c r="D22" s="1" t="s">
        <v>62</v>
      </c>
    </row>
    <row r="23" spans="2:9" ht="15" customHeight="1">
      <c r="B23" s="1" t="s">
        <v>59</v>
      </c>
      <c r="D23" s="1" t="s">
        <v>60</v>
      </c>
    </row>
    <row r="24" spans="2:9" ht="15" customHeight="1">
      <c r="B24" s="1" t="s">
        <v>63</v>
      </c>
      <c r="D24" s="1" t="s">
        <v>64</v>
      </c>
    </row>
    <row r="25" spans="2:9" ht="15" customHeight="1">
      <c r="B25" s="1" t="s">
        <v>65</v>
      </c>
      <c r="D25" s="1" t="s">
        <v>66</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oddHeader>&amp;C&amp;"Calibri"&amp;10&amp;K000000 MPHI Internal Use Only&amp;1#_x000D_</oddHeader>
    <oddFooter>&amp;C_x000D_&amp;1#&amp;"Calibri"&amp;10&amp;K000000 MPHI 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135</v>
      </c>
    </row>
    <row r="2" spans="2:11" ht="75" customHeight="1">
      <c r="C2" s="8" t="s">
        <v>6</v>
      </c>
      <c r="D2" s="8" t="s">
        <v>7</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14</v>
      </c>
    </row>
    <row r="3" spans="2:11" ht="15" customHeight="1">
      <c r="B3" s="16" t="str">
        <f>'Data Entry'!A6</f>
        <v xml:space="preserve">1. Population at Risk (age 10-17) </v>
      </c>
      <c r="C3" s="57">
        <f>'Data Entry'!B6</f>
        <v>991532</v>
      </c>
      <c r="D3" s="57">
        <f>'Data Entry'!C6</f>
        <v>679737</v>
      </c>
      <c r="E3" s="57">
        <f>'Data Entry'!D6</f>
        <v>175028</v>
      </c>
      <c r="F3" s="57">
        <f>'Data Entry'!E6</f>
        <v>89856</v>
      </c>
      <c r="G3" s="57">
        <f>'Data Entry'!F6</f>
        <v>39232</v>
      </c>
      <c r="H3" s="57">
        <f>'Data Entry'!G6</f>
        <v>0</v>
      </c>
      <c r="I3" s="57">
        <f>'Data Entry'!H6</f>
        <v>7679</v>
      </c>
      <c r="J3" s="57">
        <f>'Data Entry'!I6</f>
        <v>0</v>
      </c>
      <c r="K3" s="57">
        <f>'Data Entry'!J6</f>
        <v>311795</v>
      </c>
    </row>
    <row r="4" spans="2:11" ht="15" customHeight="1">
      <c r="B4" s="16" t="s">
        <v>71</v>
      </c>
      <c r="C4" s="1">
        <f>IF((C$3&gt;0),(1000*('Data Entry'!B7/'Data Entry'!B$6)), 0)</f>
        <v>9.7606532113940858</v>
      </c>
      <c r="D4" s="1">
        <f>IF((D$3&gt;0),(1000*('Data Entry'!C7/'Data Entry'!C$6)), 0)</f>
        <v>6.6525729804321383</v>
      </c>
      <c r="E4" s="1">
        <f>IF((E$3&gt;0),(1000*('Data Entry'!D7/'Data Entry'!D$6)), 0)</f>
        <v>25.270242475489635</v>
      </c>
      <c r="F4" s="1">
        <f>IF((F$3&gt;0),(1000*('Data Entry'!E7/'Data Entry'!E$6)), 0)</f>
        <v>2.5485220797720798</v>
      </c>
      <c r="G4" s="1">
        <f>IF((G$3&gt;0),(1000*('Data Entry'!F7/'Data Entry'!F$6)), 0)</f>
        <v>1.2489804241435563</v>
      </c>
      <c r="H4" s="1">
        <f>IF((H$3&gt;0),(1000*('Data Entry'!G7/'Data Entry'!G$6)), 0)</f>
        <v>0</v>
      </c>
      <c r="I4" s="1">
        <f>IF((I$3&gt;0),(1000*('Data Entry'!H7/'Data Entry'!H$6)), 0)</f>
        <v>6.2508139080609446</v>
      </c>
      <c r="J4" s="1">
        <f>IF((J$3&gt;0),(1000*('Data Entry'!I7/'Data Entry'!I$6)), 0)</f>
        <v>0</v>
      </c>
      <c r="K4" s="1">
        <f>IF((K$3&gt;0),(1000*('Data Entry'!J7/'Data Entry'!J$6)), 0)</f>
        <v>15.247197677961481</v>
      </c>
    </row>
    <row r="5" spans="2:11" ht="15" customHeight="1">
      <c r="B5" s="16" t="s">
        <v>18</v>
      </c>
      <c r="C5" s="1">
        <f>IF((C$3&gt;0),(1000*('Data Entry'!B8/'Data Entry'!B$6)), 0)</f>
        <v>19.096710948310292</v>
      </c>
      <c r="D5" s="1">
        <f>IF((D$3&gt;0),(1000*('Data Entry'!C8/'Data Entry'!C$6)), 0)</f>
        <v>10.71738039859534</v>
      </c>
      <c r="E5" s="1">
        <f>IF((E$3&gt;0),(1000*('Data Entry'!D8/'Data Entry'!D$6)), 0)</f>
        <v>27.172795209909271</v>
      </c>
      <c r="F5" s="1">
        <f>IF((F$3&gt;0),(1000*('Data Entry'!E8/'Data Entry'!E$6)), 0)</f>
        <v>6.3100961538461542</v>
      </c>
      <c r="G5" s="1">
        <f>IF((G$3&gt;0),(1000*('Data Entry'!F8/'Data Entry'!F$6)), 0)</f>
        <v>1.5548531810766719</v>
      </c>
      <c r="H5" s="1">
        <f>IF((H$3&gt;0),(1000*('Data Entry'!G8/'Data Entry'!G$6)), 0)</f>
        <v>0</v>
      </c>
      <c r="I5" s="1">
        <f>IF((I$3&gt;0),(1000*('Data Entry'!H8/'Data Entry'!H$6)), 0)</f>
        <v>18.361765854929025</v>
      </c>
      <c r="J5" s="1">
        <f>IF((J$3&gt;0),(1000*('Data Entry'!I8/'Data Entry'!I$6)), 0)</f>
        <v>0</v>
      </c>
      <c r="K5" s="1">
        <f>IF((K$3&gt;0),(1000*('Data Entry'!J8/'Data Entry'!J$6)), 0)</f>
        <v>19.39094597411761</v>
      </c>
    </row>
    <row r="6" spans="2:11" ht="15" customHeight="1">
      <c r="B6" s="16" t="s">
        <v>19</v>
      </c>
      <c r="C6" s="1">
        <f>IF((C$3&gt;0),(1000*('Data Entry'!B9/'Data Entry'!B$6)), 0)</f>
        <v>4.0240758745053116</v>
      </c>
      <c r="D6" s="1">
        <f>IF((D$3&gt;0),(1000*('Data Entry'!C9/'Data Entry'!C$6)), 0)</f>
        <v>2.7790160017771579</v>
      </c>
      <c r="E6" s="1">
        <f>IF((E$3&gt;0),(1000*('Data Entry'!D9/'Data Entry'!D$6)), 0)</f>
        <v>8.3358091276824293</v>
      </c>
      <c r="F6" s="1">
        <f>IF((F$3&gt;0),(1000*('Data Entry'!E9/'Data Entry'!E$6)), 0)</f>
        <v>1.9920762108262109</v>
      </c>
      <c r="G6" s="1">
        <f>IF((G$3&gt;0),(1000*('Data Entry'!F9/'Data Entry'!F$6)), 0)</f>
        <v>0.79017128874388254</v>
      </c>
      <c r="H6" s="1">
        <f>IF((H$3&gt;0),(1000*('Data Entry'!G9/'Data Entry'!G$6)), 0)</f>
        <v>0</v>
      </c>
      <c r="I6" s="1">
        <f>IF((I$3&gt;0),(1000*('Data Entry'!H9/'Data Entry'!H$6)), 0)</f>
        <v>2.604505795025394</v>
      </c>
      <c r="J6" s="1">
        <f>IF((J$3&gt;0),(1000*('Data Entry'!I9/'Data Entry'!I$6)), 0)</f>
        <v>0</v>
      </c>
      <c r="K6" s="1">
        <f>IF((K$3&gt;0),(1000*('Data Entry'!J9/'Data Entry'!J$6)), 0)</f>
        <v>5.9622508378902799</v>
      </c>
    </row>
    <row r="7" spans="2:11" ht="15" customHeight="1">
      <c r="B7" s="16" t="s">
        <v>20</v>
      </c>
      <c r="C7" s="1">
        <f>IF((C$3&gt;0),(1000*('Data Entry'!B10/'Data Entry'!B$6)), 0)</f>
        <v>2.7684431768213229</v>
      </c>
      <c r="D7" s="1">
        <f>IF((D$3&gt;0),(1000*('Data Entry'!C10/'Data Entry'!C$6)), 0)</f>
        <v>1.2725510013431665</v>
      </c>
      <c r="E7" s="1">
        <f>IF((E$3&gt;0),(1000*('Data Entry'!D10/'Data Entry'!D$6)), 0)</f>
        <v>7.8444591722467267</v>
      </c>
      <c r="F7" s="1">
        <f>IF((F$3&gt;0),(1000*('Data Entry'!E10/'Data Entry'!E$6)), 0)</f>
        <v>1.9586894586894588</v>
      </c>
      <c r="G7" s="1">
        <f>IF((G$3&gt;0),(1000*('Data Entry'!F10/'Data Entry'!F$6)), 0)</f>
        <v>0.2039151712887439</v>
      </c>
      <c r="H7" s="1">
        <f>IF((H$3&gt;0),(1000*('Data Entry'!G10/'Data Entry'!G$6)), 0)</f>
        <v>0</v>
      </c>
      <c r="I7" s="1">
        <f>IF((I$3&gt;0),(1000*('Data Entry'!H10/'Data Entry'!H$6)), 0)</f>
        <v>1.4324781872639667</v>
      </c>
      <c r="J7" s="1">
        <f>IF((J$3&gt;0),(1000*('Data Entry'!I10/'Data Entry'!I$6)), 0)</f>
        <v>0</v>
      </c>
      <c r="K7" s="1">
        <f>IF((K$3&gt;0),(1000*('Data Entry'!J10/'Data Entry'!J$6)), 0)</f>
        <v>5.6800141118363028</v>
      </c>
    </row>
    <row r="8" spans="2:11" ht="15" customHeight="1">
      <c r="B8" s="16" t="s">
        <v>53</v>
      </c>
      <c r="C8" s="1">
        <f>IF((C$3&gt;0),(1000*('Data Entry'!B11/'Data Entry'!B$6)), 0)</f>
        <v>10.955773489912579</v>
      </c>
      <c r="D8" s="1">
        <f>IF((D$3&gt;0),(1000*('Data Entry'!C11/'Data Entry'!C$6)), 0)</f>
        <v>5.37266619295404</v>
      </c>
      <c r="E8" s="1">
        <f>IF((E$3&gt;0),(1000*('Data Entry'!D11/'Data Entry'!D$6)), 0)</f>
        <v>17.111547866627053</v>
      </c>
      <c r="F8" s="1">
        <f>IF((F$3&gt;0),(1000*('Data Entry'!E11/'Data Entry'!E$6)), 0)</f>
        <v>3.8060897435897436</v>
      </c>
      <c r="G8" s="1">
        <f>IF((G$3&gt;0),(1000*('Data Entry'!F11/'Data Entry'!F$6)), 0)</f>
        <v>0.96859706362153342</v>
      </c>
      <c r="H8" s="1">
        <f>IF((H$3&gt;0),(1000*('Data Entry'!G11/'Data Entry'!G$6)), 0)</f>
        <v>0</v>
      </c>
      <c r="I8" s="1">
        <f>IF((I$3&gt;0),(1000*('Data Entry'!H11/'Data Entry'!H$6)), 0)</f>
        <v>9.3762208620914187</v>
      </c>
      <c r="J8" s="1">
        <f>IF((J$3&gt;0),(1000*('Data Entry'!I11/'Data Entry'!I$6)), 0)</f>
        <v>0</v>
      </c>
      <c r="K8" s="1">
        <f>IF((K$3&gt;0),(1000*('Data Entry'!J11/'Data Entry'!J$6)), 0)</f>
        <v>11.937330617873924</v>
      </c>
    </row>
    <row r="9" spans="2:11" ht="15" customHeight="1">
      <c r="B9" s="16" t="s">
        <v>22</v>
      </c>
      <c r="C9" s="1">
        <f>IF((C$3&gt;0),(1000*('Data Entry'!B12/'Data Entry'!B$6)), 0)</f>
        <v>4.7905665172682266</v>
      </c>
      <c r="D9" s="1">
        <f>IF((D$3&gt;0),(1000*('Data Entry'!C12/'Data Entry'!C$6)), 0)</f>
        <v>3.4513348545099061</v>
      </c>
      <c r="E9" s="1">
        <f>IF((E$3&gt;0),(1000*('Data Entry'!D12/'Data Entry'!D$6)), 0)</f>
        <v>8.8728660557167984</v>
      </c>
      <c r="F9" s="1">
        <f>IF((F$3&gt;0),(1000*('Data Entry'!E12/'Data Entry'!E$6)), 0)</f>
        <v>2.3148148148148149</v>
      </c>
      <c r="G9" s="1">
        <f>IF((G$3&gt;0),(1000*('Data Entry'!F12/'Data Entry'!F$6)), 0)</f>
        <v>0.40783034257748779</v>
      </c>
      <c r="H9" s="1">
        <f>IF((H$3&gt;0),(1000*('Data Entry'!G12/'Data Entry'!G$6)), 0)</f>
        <v>0</v>
      </c>
      <c r="I9" s="1">
        <f>IF((I$3&gt;0),(1000*('Data Entry'!H12/'Data Entry'!H$6)), 0)</f>
        <v>5.9903633285584066</v>
      </c>
      <c r="J9" s="1">
        <f>IF((J$3&gt;0),(1000*('Data Entry'!I12/'Data Entry'!I$6)), 0)</f>
        <v>0</v>
      </c>
      <c r="K9" s="1">
        <f>IF((K$3&gt;0),(1000*('Data Entry'!J12/'Data Entry'!J$6)), 0)</f>
        <v>6.3246684520277752</v>
      </c>
    </row>
    <row r="10" spans="2:11" ht="15" customHeight="1">
      <c r="B10" s="16" t="s">
        <v>72</v>
      </c>
      <c r="C10" s="1">
        <f>IF((C$3&gt;0),(1000*('Data Entry'!B13/'Data Entry'!B$6)), 0)</f>
        <v>3.7658895527325393</v>
      </c>
      <c r="D10" s="1">
        <f>IF((D$3&gt;0),(1000*('Data Entry'!C13/'Data Entry'!C$6)), 0)</f>
        <v>2.8908239510281182</v>
      </c>
      <c r="E10" s="1">
        <f>IF((E$3&gt;0),(1000*('Data Entry'!D13/'Data Entry'!D$6)), 0)</f>
        <v>6.2447151312932787</v>
      </c>
      <c r="F10" s="1">
        <f>IF((F$3&gt;0),(1000*('Data Entry'!E13/'Data Entry'!E$6)), 0)</f>
        <v>2.3593304843304845</v>
      </c>
      <c r="G10" s="1">
        <f>IF((G$3&gt;0),(1000*('Data Entry'!F13/'Data Entry'!F$6)), 0)</f>
        <v>0.3823409461663948</v>
      </c>
      <c r="H10" s="1">
        <f>IF((H$3&gt;0),(1000*('Data Entry'!G13/'Data Entry'!G$6)), 0)</f>
        <v>0</v>
      </c>
      <c r="I10" s="1">
        <f>IF((I$3&gt;0),(1000*('Data Entry'!H13/'Data Entry'!H$6)), 0)</f>
        <v>8.8553197030863391</v>
      </c>
      <c r="J10" s="1">
        <f>IF((J$3&gt;0),(1000*('Data Entry'!I13/'Data Entry'!I$6)), 0)</f>
        <v>0</v>
      </c>
      <c r="K10" s="1">
        <f>IF((K$3&gt;0),(1000*('Data Entry'!J13/'Data Entry'!J$6)), 0)</f>
        <v>4.8236822271043476</v>
      </c>
    </row>
    <row r="11" spans="2:11" ht="25.5" customHeight="1">
      <c r="B11" s="16" t="s">
        <v>134</v>
      </c>
      <c r="C11" s="1">
        <f>IF((C$3&gt;0),(1000*('Data Entry'!B14/'Data Entry'!B$6)), 0)</f>
        <v>0.98736097271696732</v>
      </c>
      <c r="D11" s="1">
        <f>IF((D$3&gt;0),(1000*('Data Entry'!C14/'Data Entry'!C$6)), 0)</f>
        <v>0.81060763206946218</v>
      </c>
      <c r="E11" s="1">
        <f>IF((E$3&gt;0),(1000*('Data Entry'!D14/'Data Entry'!D$6)), 0)</f>
        <v>1.3997760358342666</v>
      </c>
      <c r="F11" s="1">
        <f>IF((F$3&gt;0),(1000*('Data Entry'!E14/'Data Entry'!E$6)), 0)</f>
        <v>0.30048076923076927</v>
      </c>
      <c r="G11" s="1">
        <f>IF((G$3&gt;0),(1000*('Data Entry'!F14/'Data Entry'!F$6)), 0)</f>
        <v>0.10195758564437195</v>
      </c>
      <c r="H11" s="1">
        <f>IF((H$3&gt;0),(1000*('Data Entry'!G14/'Data Entry'!G$6)), 0)</f>
        <v>0</v>
      </c>
      <c r="I11" s="1">
        <f>IF((I$3&gt;0),(1000*('Data Entry'!H14/'Data Entry'!H$6)), 0)</f>
        <v>1.4324781872639667</v>
      </c>
      <c r="J11" s="1">
        <f>IF((J$3&gt;0),(1000*('Data Entry'!I14/'Data Entry'!I$6)), 0)</f>
        <v>0</v>
      </c>
      <c r="K11" s="1">
        <f>IF((K$3&gt;0),(1000*('Data Entry'!J14/'Data Entry'!J$6)), 0)</f>
        <v>0.98462130566558159</v>
      </c>
    </row>
    <row r="12" spans="2:11" ht="15" customHeight="1">
      <c r="B12" s="16" t="s">
        <v>25</v>
      </c>
      <c r="C12" s="1">
        <f>IF((C$3&gt;0),(1000*('Data Entry'!B15/'Data Entry'!B$6)), 0)</f>
        <v>5.3452636929519168E-2</v>
      </c>
      <c r="D12" s="1">
        <f>IF((D$3&gt;0),(1000*('Data Entry'!C15/'Data Entry'!C$6)), 0)</f>
        <v>4.4134716809589589E-3</v>
      </c>
      <c r="E12" s="1">
        <f>IF((E$3&gt;0),(1000*('Data Entry'!D15/'Data Entry'!D$6)), 0)</f>
        <v>0.26852846401718583</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0.15715454064369216</v>
      </c>
    </row>
    <row r="13" spans="2:11" ht="15.75" customHeight="1">
      <c r="B13" s="16"/>
    </row>
    <row r="14" spans="2:11" ht="15" customHeight="1">
      <c r="B14" s="190" t="s">
        <v>136</v>
      </c>
      <c r="C14" s="191"/>
      <c r="D14" s="191"/>
      <c r="E14" s="191"/>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10/1/22 through 9/30/23</v>
      </c>
      <c r="G16" s="1"/>
      <c r="H16" s="1"/>
      <c r="I16" s="1"/>
      <c r="J16" s="67"/>
    </row>
    <row r="17" spans="2:10" ht="15" customHeight="1">
      <c r="B17" s="81" t="str">
        <f>'Data Entry'!A3</f>
        <v>All Reporting Counties</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71</v>
      </c>
      <c r="C19" s="72">
        <f>IF(AND(($D4&gt;0),(D4&gt;0)), (D4/$D4),"--")</f>
        <v>1</v>
      </c>
      <c r="D19" s="72">
        <f t="shared" ref="D19:J19" si="1">IF(AND(($D4&gt;0),(E4&gt;0)), (E4/$D4),"--")</f>
        <v>3.798566742494891</v>
      </c>
      <c r="E19" s="72">
        <f t="shared" si="1"/>
        <v>0.3830881806585657</v>
      </c>
      <c r="F19" s="72">
        <f t="shared" si="1"/>
        <v>0.18774396430032472</v>
      </c>
      <c r="G19" s="72" t="str">
        <f t="shared" si="1"/>
        <v>--</v>
      </c>
      <c r="H19" s="72">
        <f t="shared" si="1"/>
        <v>0.9396084682493635</v>
      </c>
      <c r="I19" s="72" t="str">
        <f t="shared" si="1"/>
        <v>--</v>
      </c>
      <c r="J19" s="73">
        <f t="shared" si="1"/>
        <v>2.2919249022610577</v>
      </c>
    </row>
    <row r="20" spans="2:10" ht="15" customHeight="1">
      <c r="B20" s="71" t="s">
        <v>18</v>
      </c>
      <c r="C20" s="72">
        <f t="shared" ref="C20:J27" si="2">IF(AND(($D5&gt;0),(D5&gt;0)), (D5/$D5),"--")</f>
        <v>1</v>
      </c>
      <c r="D20" s="72">
        <f t="shared" si="2"/>
        <v>2.5353952364582151</v>
      </c>
      <c r="E20" s="72">
        <f t="shared" si="2"/>
        <v>0.58877224836333875</v>
      </c>
      <c r="F20" s="72">
        <f t="shared" si="2"/>
        <v>0.14507772638922631</v>
      </c>
      <c r="G20" s="72" t="str">
        <f t="shared" si="2"/>
        <v>--</v>
      </c>
      <c r="H20" s="72">
        <f t="shared" si="2"/>
        <v>1.713269957025654</v>
      </c>
      <c r="I20" s="72" t="str">
        <f t="shared" si="2"/>
        <v>--</v>
      </c>
      <c r="J20" s="73">
        <f t="shared" si="2"/>
        <v>1.8092990313807522</v>
      </c>
    </row>
    <row r="21" spans="2:10" ht="15" customHeight="1">
      <c r="B21" s="71" t="s">
        <v>19</v>
      </c>
      <c r="C21" s="72">
        <f t="shared" si="2"/>
        <v>1</v>
      </c>
      <c r="D21" s="72">
        <f t="shared" si="2"/>
        <v>2.9995542027652045</v>
      </c>
      <c r="E21" s="72">
        <f t="shared" si="2"/>
        <v>0.71682790223312653</v>
      </c>
      <c r="F21" s="72">
        <f t="shared" si="2"/>
        <v>0.28433491863255717</v>
      </c>
      <c r="G21" s="72" t="str">
        <f t="shared" si="2"/>
        <v>--</v>
      </c>
      <c r="H21" s="72">
        <f t="shared" si="2"/>
        <v>0.93720431741301025</v>
      </c>
      <c r="I21" s="72" t="str">
        <f t="shared" si="2"/>
        <v>--</v>
      </c>
      <c r="J21" s="73">
        <f t="shared" si="2"/>
        <v>2.1454539427183827</v>
      </c>
    </row>
    <row r="22" spans="2:10" ht="15" customHeight="1">
      <c r="B22" s="71" t="s">
        <v>20</v>
      </c>
      <c r="C22" s="72">
        <f t="shared" si="2"/>
        <v>1</v>
      </c>
      <c r="D22" s="72">
        <f t="shared" si="2"/>
        <v>6.164357392330027</v>
      </c>
      <c r="E22" s="72">
        <f t="shared" si="2"/>
        <v>1.5391834642557187</v>
      </c>
      <c r="F22" s="72">
        <f t="shared" si="2"/>
        <v>0.16024125640034326</v>
      </c>
      <c r="G22" s="72" t="str">
        <f t="shared" si="2"/>
        <v>--</v>
      </c>
      <c r="H22" s="72">
        <f t="shared" si="2"/>
        <v>1.1256744804349677</v>
      </c>
      <c r="I22" s="72" t="str">
        <f t="shared" si="2"/>
        <v>--</v>
      </c>
      <c r="J22" s="73">
        <f t="shared" si="2"/>
        <v>4.4634864188870207</v>
      </c>
    </row>
    <row r="23" spans="2:10" ht="15" customHeight="1">
      <c r="B23" s="71" t="s">
        <v>53</v>
      </c>
      <c r="C23" s="72">
        <f t="shared" si="2"/>
        <v>1</v>
      </c>
      <c r="D23" s="72">
        <f t="shared" si="2"/>
        <v>3.1849266736630537</v>
      </c>
      <c r="E23" s="72">
        <f t="shared" si="2"/>
        <v>0.70841731216825343</v>
      </c>
      <c r="F23" s="72">
        <f t="shared" si="2"/>
        <v>0.18028238286826676</v>
      </c>
      <c r="G23" s="72" t="str">
        <f t="shared" si="2"/>
        <v>--</v>
      </c>
      <c r="H23" s="72">
        <f t="shared" si="2"/>
        <v>1.7451709310337991</v>
      </c>
      <c r="I23" s="72" t="str">
        <f t="shared" si="2"/>
        <v>--</v>
      </c>
      <c r="J23" s="73">
        <f t="shared" si="2"/>
        <v>2.2218634452907358</v>
      </c>
    </row>
    <row r="24" spans="2:10" ht="15" customHeight="1">
      <c r="B24" s="71" t="s">
        <v>22</v>
      </c>
      <c r="C24" s="72">
        <f t="shared" si="2"/>
        <v>1</v>
      </c>
      <c r="D24" s="72">
        <f t="shared" si="2"/>
        <v>2.5708505345757757</v>
      </c>
      <c r="E24" s="72">
        <f t="shared" si="2"/>
        <v>0.67070131192573645</v>
      </c>
      <c r="F24" s="72">
        <f t="shared" si="2"/>
        <v>0.11816597338985244</v>
      </c>
      <c r="G24" s="72" t="str">
        <f t="shared" si="2"/>
        <v>--</v>
      </c>
      <c r="H24" s="72">
        <f t="shared" si="2"/>
        <v>1.7356656427384081</v>
      </c>
      <c r="I24" s="72" t="str">
        <f t="shared" si="2"/>
        <v>--</v>
      </c>
      <c r="J24" s="73">
        <f t="shared" si="2"/>
        <v>1.8325282010127892</v>
      </c>
    </row>
    <row r="25" spans="2:10" ht="15" customHeight="1">
      <c r="B25" s="71" t="s">
        <v>72</v>
      </c>
      <c r="C25" s="72">
        <f t="shared" si="2"/>
        <v>1</v>
      </c>
      <c r="D25" s="72">
        <f t="shared" si="2"/>
        <v>2.1601852056996944</v>
      </c>
      <c r="E25" s="72">
        <f t="shared" si="2"/>
        <v>0.81614464398338449</v>
      </c>
      <c r="F25" s="72">
        <f t="shared" si="2"/>
        <v>0.1322601973151688</v>
      </c>
      <c r="G25" s="72" t="str">
        <f t="shared" si="2"/>
        <v>--</v>
      </c>
      <c r="H25" s="72">
        <f t="shared" si="2"/>
        <v>3.0632511190925187</v>
      </c>
      <c r="I25" s="72" t="str">
        <f t="shared" si="2"/>
        <v>--</v>
      </c>
      <c r="J25" s="73">
        <f t="shared" si="2"/>
        <v>1.6686184661604213</v>
      </c>
    </row>
    <row r="26" spans="2:10" ht="25.5" customHeight="1">
      <c r="B26" s="71" t="s">
        <v>134</v>
      </c>
      <c r="C26" s="72">
        <f t="shared" si="2"/>
        <v>1</v>
      </c>
      <c r="D26" s="72">
        <f t="shared" si="2"/>
        <v>1.7268231638291776</v>
      </c>
      <c r="E26" s="72">
        <f t="shared" si="2"/>
        <v>0.37068583781236913</v>
      </c>
      <c r="F26" s="72">
        <f t="shared" si="2"/>
        <v>0.12577920761006978</v>
      </c>
      <c r="G26" s="72" t="str">
        <f t="shared" si="2"/>
        <v>--</v>
      </c>
      <c r="H26" s="72">
        <f t="shared" si="2"/>
        <v>1.7671659266356567</v>
      </c>
      <c r="I26" s="72" t="str">
        <f t="shared" si="2"/>
        <v>--</v>
      </c>
      <c r="J26" s="73">
        <f t="shared" si="2"/>
        <v>1.2146706578025506</v>
      </c>
    </row>
    <row r="27" spans="2:10" ht="15" customHeight="1">
      <c r="B27" s="71" t="s">
        <v>25</v>
      </c>
      <c r="C27" s="72">
        <f t="shared" si="2"/>
        <v>1</v>
      </c>
      <c r="D27" s="72">
        <f t="shared" si="2"/>
        <v>60.842910848549948</v>
      </c>
      <c r="E27" s="72" t="str">
        <f t="shared" si="2"/>
        <v>--</v>
      </c>
      <c r="F27" s="72" t="str">
        <f t="shared" si="2"/>
        <v>--</v>
      </c>
      <c r="G27" s="72" t="str">
        <f t="shared" si="2"/>
        <v>--</v>
      </c>
      <c r="H27" s="72" t="str">
        <f t="shared" si="2"/>
        <v>--</v>
      </c>
      <c r="I27" s="72" t="str">
        <f t="shared" si="2"/>
        <v>--</v>
      </c>
      <c r="J27" s="73">
        <f t="shared" si="2"/>
        <v>35.607918664507132</v>
      </c>
    </row>
    <row r="28" spans="2:10" ht="15" customHeight="1">
      <c r="B28" s="85" t="s">
        <v>54</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t="str">
        <f>'Black or African-American'!B16</f>
        <v>release 10/17/05</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oddHeader>&amp;C&amp;"Calibri"&amp;10&amp;K000000 MPHI Internal Use Only&amp;1#_x000D_</oddHeader>
    <oddFooter>&amp;C_x000D_&amp;1#&amp;"Calibri"&amp;10&amp;K000000 MPHI 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137</v>
      </c>
    </row>
    <row r="4" spans="1:10" ht="103.5" customHeight="1">
      <c r="A4" s="172" t="s">
        <v>138</v>
      </c>
      <c r="B4" s="172"/>
      <c r="C4" s="172"/>
      <c r="D4" s="172"/>
      <c r="E4" s="172"/>
      <c r="F4" s="172"/>
      <c r="G4" s="172"/>
      <c r="H4" s="172"/>
      <c r="I4" s="172"/>
      <c r="J4" s="172"/>
    </row>
    <row r="6" spans="1:10" ht="15" customHeight="1">
      <c r="A6" s="1" t="s">
        <v>139</v>
      </c>
      <c r="B6" s="1">
        <v>0.05</v>
      </c>
    </row>
    <row r="7" spans="1:10" ht="15" hidden="1" customHeight="1">
      <c r="D7" s="21">
        <f>IF(B6=0.01,6.636,IF(B6=0.1,2.706,3.841))</f>
        <v>3.8410000000000002</v>
      </c>
      <c r="E7" s="21" t="s">
        <v>140</v>
      </c>
      <c r="F7" s="21"/>
    </row>
    <row r="8" spans="1:10" ht="15" customHeight="1">
      <c r="D8" s="21"/>
      <c r="E8" s="21"/>
      <c r="F8" s="21"/>
    </row>
    <row r="9" spans="1:10" ht="15.75" customHeight="1">
      <c r="A9" s="89" t="s">
        <v>141</v>
      </c>
    </row>
    <row r="10" spans="1:10" ht="85.5" customHeight="1">
      <c r="A10" s="192" t="s">
        <v>142</v>
      </c>
      <c r="B10" s="192"/>
      <c r="C10" s="192"/>
      <c r="D10" s="192"/>
      <c r="E10" s="192"/>
      <c r="F10" s="192"/>
      <c r="G10" s="192"/>
      <c r="H10" s="192"/>
      <c r="I10" s="192"/>
      <c r="J10" s="192"/>
    </row>
    <row r="11" spans="1:10" ht="15.75" customHeight="1">
      <c r="A11" s="90"/>
    </row>
    <row r="12" spans="1:10" ht="15.75" customHeight="1">
      <c r="A12" s="90" t="s">
        <v>143</v>
      </c>
      <c r="B12" s="57">
        <v>5</v>
      </c>
    </row>
    <row r="13" spans="1:10" ht="15.75" customHeight="1">
      <c r="A13" s="90" t="s">
        <v>144</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oddHeader>&amp;C&amp;"Calibri"&amp;10&amp;K000000 MPHI Internal Use Only&amp;1#_x000D_</oddHeader>
    <oddFooter>&amp;C_x000D_&amp;1#&amp;"Calibri"&amp;10&amp;K000000 MPHI 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1"/>
  <sheetViews>
    <sheetView showGridLines="0" tabSelected="1" zoomScaleNormal="100" workbookViewId="0">
      <selection activeCell="C10" sqref="C10"/>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3" t="s">
        <v>48</v>
      </c>
      <c r="C2" s="174"/>
      <c r="D2" s="174"/>
      <c r="E2" s="174"/>
      <c r="F2" s="174"/>
      <c r="G2" s="174"/>
      <c r="H2" s="174"/>
      <c r="I2" s="174"/>
      <c r="J2" s="174"/>
      <c r="K2" s="174"/>
      <c r="L2" s="174"/>
      <c r="M2" s="174"/>
      <c r="N2" s="174"/>
      <c r="O2" s="174"/>
      <c r="P2" s="174"/>
      <c r="Q2" s="175"/>
    </row>
    <row r="3" spans="2:26" s="1" customFormat="1" ht="19.5" thickTop="1">
      <c r="B3" s="95" t="str">
        <f>'Data Entry'!A2</f>
        <v>State: Michigan</v>
      </c>
      <c r="C3" s="93"/>
      <c r="D3" s="93"/>
      <c r="E3" s="93"/>
      <c r="F3" s="93"/>
      <c r="G3" s="93"/>
      <c r="H3" s="93"/>
      <c r="I3" s="93"/>
      <c r="J3" s="93"/>
      <c r="K3" s="93"/>
      <c r="L3" s="93"/>
      <c r="M3" s="93"/>
      <c r="N3" s="179" t="str">
        <f>'Data Entry'!C3</f>
        <v xml:space="preserve">Reporting Period:  </v>
      </c>
      <c r="O3" s="193"/>
      <c r="P3" s="193"/>
      <c r="Q3" s="194"/>
      <c r="R3"/>
    </row>
    <row r="4" spans="2:26" s="1" customFormat="1" ht="19.5" thickBot="1">
      <c r="B4" s="99" t="str">
        <f>'Data Entry'!A3</f>
        <v>All Reporting Counties</v>
      </c>
      <c r="C4" s="100"/>
      <c r="D4" s="100"/>
      <c r="E4" s="100"/>
      <c r="F4" s="100"/>
      <c r="G4" s="100"/>
      <c r="H4" s="100"/>
      <c r="I4" s="100"/>
      <c r="J4" s="100"/>
      <c r="K4" s="100"/>
      <c r="L4" s="100"/>
      <c r="M4" s="100"/>
      <c r="N4" s="178" t="str">
        <f>'Data Entry'!C4</f>
        <v>10/1/22 through 9/30/23</v>
      </c>
      <c r="O4" s="195"/>
      <c r="P4" s="195"/>
      <c r="Q4" s="196"/>
      <c r="R4"/>
    </row>
    <row r="5" spans="2:26" s="8" customFormat="1" ht="71.25" customHeight="1">
      <c r="B5" s="97"/>
      <c r="C5" s="166" t="s">
        <v>7</v>
      </c>
      <c r="D5" s="176" t="str">
        <f>'Black or African-American'!$F$1</f>
        <v>Black or African American</v>
      </c>
      <c r="E5" s="177"/>
      <c r="F5" s="176" t="str">
        <f>Hispanic!F1</f>
        <v>Hispanic or Latino</v>
      </c>
      <c r="G5" s="177"/>
      <c r="H5" s="176" t="str">
        <f>Asian!F1</f>
        <v>Asian</v>
      </c>
      <c r="I5" s="177"/>
      <c r="J5" s="176" t="str">
        <f>Hawaiian!F1</f>
        <v>Native Hawaiian or Other Pacific Islanders</v>
      </c>
      <c r="K5" s="177"/>
      <c r="L5" s="176" t="str">
        <f>'Data Entry'!H5</f>
        <v>American Indian or Alaska Native</v>
      </c>
      <c r="M5" s="177"/>
      <c r="N5" s="176" t="str">
        <f>'Data Entry'!I5</f>
        <v>Biracial or Other</v>
      </c>
      <c r="O5" s="177"/>
      <c r="P5" s="176" t="str">
        <f>'Data Entry'!J5</f>
        <v>All Minorities</v>
      </c>
      <c r="Q5" s="180"/>
      <c r="T5" s="69"/>
      <c r="U5" s="69"/>
      <c r="V5" s="69"/>
      <c r="W5" s="69"/>
    </row>
    <row r="6" spans="2:26" s="8" customFormat="1" ht="18" customHeight="1">
      <c r="B6" s="156" t="s">
        <v>49</v>
      </c>
      <c r="C6" s="144" t="s">
        <v>50</v>
      </c>
      <c r="D6" s="145" t="s">
        <v>50</v>
      </c>
      <c r="E6" s="146" t="s">
        <v>51</v>
      </c>
      <c r="F6" s="145" t="s">
        <v>50</v>
      </c>
      <c r="G6" s="146" t="s">
        <v>51</v>
      </c>
      <c r="H6" s="145" t="s">
        <v>50</v>
      </c>
      <c r="I6" s="146" t="s">
        <v>51</v>
      </c>
      <c r="J6" s="145" t="s">
        <v>50</v>
      </c>
      <c r="K6" s="146" t="s">
        <v>51</v>
      </c>
      <c r="L6" s="145" t="s">
        <v>50</v>
      </c>
      <c r="M6" s="146" t="s">
        <v>51</v>
      </c>
      <c r="N6" s="145" t="s">
        <v>50</v>
      </c>
      <c r="O6" s="146" t="s">
        <v>51</v>
      </c>
      <c r="P6" s="145" t="s">
        <v>50</v>
      </c>
      <c r="Q6" s="147" t="s">
        <v>51</v>
      </c>
    </row>
    <row r="7" spans="2:26" s="8" customFormat="1" ht="18" customHeight="1">
      <c r="B7" s="141" t="str">
        <f>'Data Entry'!A6</f>
        <v xml:space="preserve">1. Population at Risk (age 10-17) </v>
      </c>
      <c r="C7" s="101">
        <f>'Data Entry'!C6</f>
        <v>679737</v>
      </c>
      <c r="D7" s="102">
        <f>'Data Entry'!D6</f>
        <v>175028</v>
      </c>
      <c r="E7" s="103"/>
      <c r="F7" s="104">
        <f>'Data Entry'!E6</f>
        <v>89856</v>
      </c>
      <c r="G7" s="103"/>
      <c r="H7" s="104">
        <f>'Data Entry'!F6</f>
        <v>39232</v>
      </c>
      <c r="I7" s="103"/>
      <c r="J7" s="104">
        <f>'Data Entry'!G6</f>
        <v>0</v>
      </c>
      <c r="K7" s="103"/>
      <c r="L7" s="104">
        <f>'Data Entry'!H6</f>
        <v>7679</v>
      </c>
      <c r="M7" s="103"/>
      <c r="N7" s="104">
        <f>'Data Entry'!I6</f>
        <v>0</v>
      </c>
      <c r="O7" s="103"/>
      <c r="P7" s="104">
        <f>'Data Entry'!J6</f>
        <v>311795</v>
      </c>
      <c r="Q7" s="105"/>
    </row>
    <row r="8" spans="2:26" s="1" customFormat="1" ht="15" customHeight="1">
      <c r="B8" s="141" t="str">
        <f>'Data Entry'!A7</f>
        <v>2. Juvenile Arrests</v>
      </c>
      <c r="C8" s="101">
        <f>'Data Entry'!C7</f>
        <v>4522</v>
      </c>
      <c r="D8" s="102">
        <f>'Data Entry'!D7</f>
        <v>4423</v>
      </c>
      <c r="E8" s="103">
        <f>'Black or African-American'!$G7</f>
        <v>3.7985667424948915</v>
      </c>
      <c r="F8" s="104">
        <f>'Data Entry'!E7</f>
        <v>229</v>
      </c>
      <c r="G8" s="103">
        <f>Hispanic!G7</f>
        <v>0.3830881806585657</v>
      </c>
      <c r="H8" s="104">
        <f>'Data Entry'!F7</f>
        <v>49</v>
      </c>
      <c r="I8" s="103">
        <f>Asian!G7</f>
        <v>0.18774396430032472</v>
      </c>
      <c r="J8" s="104">
        <f>'Data Entry'!G7</f>
        <v>5</v>
      </c>
      <c r="K8" s="103" t="str">
        <f>Hawaiian!G7</f>
        <v>*</v>
      </c>
      <c r="L8" s="104">
        <f>'Data Entry'!H7</f>
        <v>48</v>
      </c>
      <c r="M8" s="103" t="str">
        <f>'Am Indian'!G7</f>
        <v>*</v>
      </c>
      <c r="N8" s="104">
        <f>'Data Entry'!I7</f>
        <v>0</v>
      </c>
      <c r="O8" s="103" t="str">
        <f>'Other - Mixed'!G7</f>
        <v>*</v>
      </c>
      <c r="P8" s="104">
        <f>'Data Entry'!J7</f>
        <v>4754</v>
      </c>
      <c r="Q8" s="105">
        <f>'All Minorities'!G7</f>
        <v>2.2919249022610577</v>
      </c>
      <c r="R8"/>
      <c r="T8" s="1">
        <f>'Black or African-American'!L7</f>
        <v>1</v>
      </c>
      <c r="U8" s="1">
        <f>Hispanic!L7</f>
        <v>1</v>
      </c>
      <c r="V8" s="1">
        <f>Asian!L7</f>
        <v>1</v>
      </c>
      <c r="W8" s="1" t="e">
        <f>Hawaiian!L7</f>
        <v>#DIV/0!</v>
      </c>
      <c r="X8" s="1">
        <f>'Am Indian'!L7</f>
        <v>101</v>
      </c>
      <c r="Y8" s="1" t="e">
        <f>'Other - Mixed'!L7</f>
        <v>#VALUE!</v>
      </c>
      <c r="Z8" s="1">
        <f>'All Minorities'!L7</f>
        <v>1</v>
      </c>
    </row>
    <row r="9" spans="2:26" s="1" customFormat="1" ht="15" customHeight="1">
      <c r="B9" s="140" t="s">
        <v>52</v>
      </c>
      <c r="C9" s="101">
        <f>'Data Entry'!C8</f>
        <v>7285</v>
      </c>
      <c r="D9" s="106">
        <f>'Data Entry'!D8</f>
        <v>4756</v>
      </c>
      <c r="E9" s="107">
        <f>'Black or African-American'!$G8</f>
        <v>0.66746102104631511</v>
      </c>
      <c r="F9" s="108">
        <f>'Data Entry'!E8</f>
        <v>567</v>
      </c>
      <c r="G9" s="107">
        <f>Hispanic!G8</f>
        <v>1.5369105028277881</v>
      </c>
      <c r="H9" s="108">
        <f>'Data Entry'!F8</f>
        <v>61</v>
      </c>
      <c r="I9" s="107">
        <f>Asian!G8</f>
        <v>0.77274242572801255</v>
      </c>
      <c r="J9" s="108">
        <f>'Data Entry'!G8</f>
        <v>8</v>
      </c>
      <c r="K9" s="107" t="str">
        <f>Hawaiian!G8</f>
        <v>*</v>
      </c>
      <c r="L9" s="108">
        <f>'Data Entry'!H8</f>
        <v>141</v>
      </c>
      <c r="M9" s="107" t="str">
        <f>'Am Indian'!G8</f>
        <v>*</v>
      </c>
      <c r="N9" s="108">
        <f>'Data Entry'!I8</f>
        <v>513</v>
      </c>
      <c r="O9" s="107" t="str">
        <f>'Other - Mixed'!G8</f>
        <v>*</v>
      </c>
      <c r="P9" s="108">
        <f>'Data Entry'!J8</f>
        <v>6046</v>
      </c>
      <c r="Q9" s="109">
        <f>'All Minorities'!G8</f>
        <v>0.78942334873006559</v>
      </c>
      <c r="R9"/>
      <c r="T9" s="1">
        <f>'Black or African-American'!L8</f>
        <v>1</v>
      </c>
      <c r="U9" s="1">
        <f>Hispanic!L8</f>
        <v>1</v>
      </c>
      <c r="V9" s="1">
        <f>Asian!L8</f>
        <v>1</v>
      </c>
      <c r="W9" s="1">
        <f>Hawaiian!L8</f>
        <v>139</v>
      </c>
      <c r="X9" s="1">
        <f>'Am Indian'!L8</f>
        <v>100</v>
      </c>
      <c r="Y9" s="1">
        <f>'Other - Mixed'!L8</f>
        <v>119</v>
      </c>
      <c r="Z9" s="1">
        <f>'All Minorities'!L8</f>
        <v>1</v>
      </c>
    </row>
    <row r="10" spans="2:26" s="1" customFormat="1" ht="15" customHeight="1">
      <c r="B10" s="140" t="s">
        <v>19</v>
      </c>
      <c r="C10" s="101">
        <f>'Data Entry'!C9</f>
        <v>1889</v>
      </c>
      <c r="D10" s="110">
        <f>'Data Entry'!D9</f>
        <v>1459</v>
      </c>
      <c r="E10" s="111">
        <f>'Black or African-American'!$G9</f>
        <v>1.1830716409152005</v>
      </c>
      <c r="F10" s="112">
        <f>'Data Entry'!E9</f>
        <v>179</v>
      </c>
      <c r="G10" s="111">
        <f>Hispanic!G9</f>
        <v>1.2174960763279097</v>
      </c>
      <c r="H10" s="112">
        <f>'Data Entry'!F9</f>
        <v>31</v>
      </c>
      <c r="I10" s="111">
        <f>Asian!G9</f>
        <v>1.9598798913467963</v>
      </c>
      <c r="J10" s="112">
        <f>'Data Entry'!G9</f>
        <v>2</v>
      </c>
      <c r="K10" s="111" t="str">
        <f>Hawaiian!G9</f>
        <v>*</v>
      </c>
      <c r="L10" s="112">
        <f>'Data Entry'!H9</f>
        <v>20</v>
      </c>
      <c r="M10" s="111" t="str">
        <f>'Am Indian'!G9</f>
        <v>*</v>
      </c>
      <c r="N10" s="112">
        <f>'Data Entry'!I9</f>
        <v>168</v>
      </c>
      <c r="O10" s="111" t="str">
        <f>'Other - Mixed'!G9</f>
        <v>*</v>
      </c>
      <c r="P10" s="112">
        <f>'Data Entry'!J9</f>
        <v>1859</v>
      </c>
      <c r="Q10" s="113">
        <f>'All Minorities'!G9</f>
        <v>1.1857928985244062</v>
      </c>
      <c r="R10"/>
      <c r="T10" s="1">
        <f>'Black or African-American'!L9</f>
        <v>1</v>
      </c>
      <c r="U10" s="1">
        <f>Hispanic!L9</f>
        <v>1</v>
      </c>
      <c r="V10" s="1">
        <f>Asian!L9</f>
        <v>1</v>
      </c>
      <c r="W10" s="1">
        <f>Hawaiian!L9</f>
        <v>139</v>
      </c>
      <c r="X10" s="1">
        <f>'Am Indian'!L9</f>
        <v>100</v>
      </c>
      <c r="Y10" s="1">
        <f>'Other - Mixed'!L9</f>
        <v>100</v>
      </c>
      <c r="Z10" s="1">
        <f>'All Minorities'!L9</f>
        <v>1</v>
      </c>
    </row>
    <row r="11" spans="2:26" s="1" customFormat="1" ht="15" customHeight="1">
      <c r="B11" s="140" t="s">
        <v>20</v>
      </c>
      <c r="C11" s="101">
        <f>'Data Entry'!C10</f>
        <v>865</v>
      </c>
      <c r="D11" s="106">
        <f>'Data Entry'!D10</f>
        <v>1373</v>
      </c>
      <c r="E11" s="107">
        <f>'Black or African-American'!$G10</f>
        <v>2.4313200970359308</v>
      </c>
      <c r="F11" s="108">
        <f>'Data Entry'!E10</f>
        <v>176</v>
      </c>
      <c r="G11" s="107">
        <f>Hispanic!G10</f>
        <v>2.614225566056009</v>
      </c>
      <c r="H11" s="108">
        <f>'Data Entry'!F10</f>
        <v>8</v>
      </c>
      <c r="I11" s="107">
        <f>Asian!G10</f>
        <v>1.1045200416943048</v>
      </c>
      <c r="J11" s="108">
        <f>'Data Entry'!G10</f>
        <v>0</v>
      </c>
      <c r="K11" s="107" t="str">
        <f>Hawaiian!G10</f>
        <v>*</v>
      </c>
      <c r="L11" s="108">
        <f>'Data Entry'!H10</f>
        <v>11</v>
      </c>
      <c r="M11" s="107" t="str">
        <f>'Am Indian'!G10</f>
        <v>*</v>
      </c>
      <c r="N11" s="108">
        <f>'Data Entry'!I10</f>
        <v>203</v>
      </c>
      <c r="O11" s="107" t="str">
        <f>'Other - Mixed'!G10</f>
        <v>*</v>
      </c>
      <c r="P11" s="108">
        <f>'Data Entry'!J10</f>
        <v>1771</v>
      </c>
      <c r="Q11" s="109">
        <f>'All Minorities'!G10</f>
        <v>2.4669699930589943</v>
      </c>
      <c r="R11"/>
      <c r="T11" s="1">
        <f>'Black or African-American'!L10</f>
        <v>1</v>
      </c>
      <c r="U11" s="1">
        <f>Hispanic!L10</f>
        <v>1</v>
      </c>
      <c r="V11" s="1">
        <f>Asian!L10</f>
        <v>2</v>
      </c>
      <c r="W11" s="1">
        <f>Hawaiian!L10</f>
        <v>139</v>
      </c>
      <c r="X11" s="1">
        <f>'Am Indian'!L10</f>
        <v>101</v>
      </c>
      <c r="Y11" s="1">
        <f>'Other - Mixed'!L10</f>
        <v>100</v>
      </c>
      <c r="Z11" s="1">
        <f>'All Minorities'!L10</f>
        <v>1</v>
      </c>
    </row>
    <row r="12" spans="2:26" s="1" customFormat="1" ht="15" customHeight="1">
      <c r="B12" s="140" t="s">
        <v>53</v>
      </c>
      <c r="C12" s="101">
        <f>'Data Entry'!C11</f>
        <v>3652</v>
      </c>
      <c r="D12" s="110">
        <f>'Data Entry'!D11</f>
        <v>2995</v>
      </c>
      <c r="E12" s="111">
        <f>'Black or African-American'!$G11</f>
        <v>1.2561854766723441</v>
      </c>
      <c r="F12" s="112">
        <f>'Data Entry'!E11</f>
        <v>342</v>
      </c>
      <c r="G12" s="111">
        <f>Hispanic!G11</f>
        <v>1.203211112849667</v>
      </c>
      <c r="H12" s="112">
        <f>'Data Entry'!F11</f>
        <v>38</v>
      </c>
      <c r="I12" s="111">
        <f>Asian!G11</f>
        <v>1.2426606575332626</v>
      </c>
      <c r="J12" s="112">
        <f>'Data Entry'!G11</f>
        <v>1</v>
      </c>
      <c r="K12" s="111" t="str">
        <f>Hawaiian!G11</f>
        <v>*</v>
      </c>
      <c r="L12" s="112">
        <f>'Data Entry'!H11</f>
        <v>72</v>
      </c>
      <c r="M12" s="111" t="str">
        <f>'Am Indian'!G11</f>
        <v>*</v>
      </c>
      <c r="N12" s="112">
        <f>'Data Entry'!I11</f>
        <v>274</v>
      </c>
      <c r="O12" s="111" t="str">
        <f>'Other - Mixed'!G11</f>
        <v>*</v>
      </c>
      <c r="P12" s="112">
        <f>'Data Entry'!J11</f>
        <v>3722</v>
      </c>
      <c r="Q12" s="113">
        <f>'All Minorities'!G11</f>
        <v>1.2280244485595828</v>
      </c>
      <c r="R12"/>
      <c r="T12" s="1">
        <f>'Black or African-American'!L11</f>
        <v>1</v>
      </c>
      <c r="U12" s="1">
        <f>Hispanic!L11</f>
        <v>1</v>
      </c>
      <c r="V12" s="1">
        <f>Asian!L11</f>
        <v>2</v>
      </c>
      <c r="W12" s="1">
        <f>Hawaiian!L11</f>
        <v>119</v>
      </c>
      <c r="X12" s="1">
        <f>'Am Indian'!L11</f>
        <v>101</v>
      </c>
      <c r="Y12" s="1">
        <f>'Other - Mixed'!L11</f>
        <v>101</v>
      </c>
      <c r="Z12" s="1">
        <f>'All Minorities'!L11</f>
        <v>1</v>
      </c>
    </row>
    <row r="13" spans="2:26" s="1" customFormat="1" ht="15" customHeight="1">
      <c r="B13" s="140" t="s">
        <v>22</v>
      </c>
      <c r="C13" s="101">
        <f>'Data Entry'!C12</f>
        <v>2346</v>
      </c>
      <c r="D13" s="106">
        <f>'Data Entry'!D12</f>
        <v>1553</v>
      </c>
      <c r="E13" s="107">
        <f>'Black or African-American'!$G12</f>
        <v>0.8071930056772656</v>
      </c>
      <c r="F13" s="108">
        <f>'Data Entry'!E12</f>
        <v>208</v>
      </c>
      <c r="G13" s="107">
        <f>Hispanic!G12</f>
        <v>0.94676019403438982</v>
      </c>
      <c r="H13" s="108">
        <f>'Data Entry'!F12</f>
        <v>16</v>
      </c>
      <c r="I13" s="107">
        <f>Asian!G12</f>
        <v>0.65544936510073148</v>
      </c>
      <c r="J13" s="108">
        <f>'Data Entry'!G12</f>
        <v>1</v>
      </c>
      <c r="K13" s="107" t="str">
        <f>Hawaiian!G12</f>
        <v>*</v>
      </c>
      <c r="L13" s="108">
        <f>'Data Entry'!H12</f>
        <v>46</v>
      </c>
      <c r="M13" s="107" t="str">
        <f>'Am Indian'!G12</f>
        <v>*</v>
      </c>
      <c r="N13" s="108">
        <f>'Data Entry'!I12</f>
        <v>148</v>
      </c>
      <c r="O13" s="107" t="str">
        <f>'Other - Mixed'!G12</f>
        <v>*</v>
      </c>
      <c r="P13" s="108">
        <f>'Data Entry'!J12</f>
        <v>1972</v>
      </c>
      <c r="Q13" s="109">
        <f>'All Minorities'!G12</f>
        <v>0.82477084939529166</v>
      </c>
      <c r="R13"/>
      <c r="T13" s="1">
        <f>'Black or African-American'!L12</f>
        <v>1</v>
      </c>
      <c r="U13" s="1">
        <f>Hispanic!L12</f>
        <v>2</v>
      </c>
      <c r="V13" s="1">
        <f>Asian!L12</f>
        <v>1</v>
      </c>
      <c r="W13" s="1">
        <f>Hawaiian!L12</f>
        <v>139</v>
      </c>
      <c r="X13" s="1">
        <f>'Am Indian'!L12</f>
        <v>101</v>
      </c>
      <c r="Y13" s="1">
        <f>'Other - Mixed'!L12</f>
        <v>100</v>
      </c>
      <c r="Z13" s="1">
        <f>'All Minorities'!L12</f>
        <v>1</v>
      </c>
    </row>
    <row r="14" spans="2:26" s="1" customFormat="1" ht="15" customHeight="1">
      <c r="B14" s="140" t="s">
        <v>23</v>
      </c>
      <c r="C14" s="101">
        <f>'Data Entry'!C13</f>
        <v>1965</v>
      </c>
      <c r="D14" s="110">
        <f>'Data Entry'!D13</f>
        <v>1093</v>
      </c>
      <c r="E14" s="111">
        <f>'Black or African-American'!$G13</f>
        <v>0.84026090846084656</v>
      </c>
      <c r="F14" s="112">
        <f>'Data Entry'!E13</f>
        <v>212</v>
      </c>
      <c r="G14" s="111">
        <f>Hispanic!G13</f>
        <v>1.216852613035819</v>
      </c>
      <c r="H14" s="112">
        <f>'Data Entry'!F13</f>
        <v>15</v>
      </c>
      <c r="I14" s="111" t="str">
        <f>Asian!G13</f>
        <v>**</v>
      </c>
      <c r="J14" s="112">
        <f>'Data Entry'!G13</f>
        <v>2</v>
      </c>
      <c r="K14" s="111" t="str">
        <f>Hawaiian!G13</f>
        <v>*</v>
      </c>
      <c r="L14" s="112">
        <f>'Data Entry'!H13</f>
        <v>68</v>
      </c>
      <c r="M14" s="111" t="str">
        <f>'Am Indian'!G13</f>
        <v>*</v>
      </c>
      <c r="N14" s="112">
        <f>'Data Entry'!I13</f>
        <v>114</v>
      </c>
      <c r="O14" s="111" t="str">
        <f>'Other - Mixed'!G13</f>
        <v>*</v>
      </c>
      <c r="P14" s="112">
        <f>'Data Entry'!J13</f>
        <v>1504</v>
      </c>
      <c r="Q14" s="113">
        <f>'All Minorities'!G13</f>
        <v>0.91055540931824164</v>
      </c>
      <c r="R14"/>
      <c r="T14" s="1">
        <f>'Black or African-American'!L13</f>
        <v>1</v>
      </c>
      <c r="U14" s="1">
        <f>Hispanic!L13</f>
        <v>1</v>
      </c>
      <c r="V14" s="1">
        <f>Asian!L13</f>
        <v>40</v>
      </c>
      <c r="W14" s="1">
        <f>Hawaiian!L13</f>
        <v>119</v>
      </c>
      <c r="X14" s="1">
        <f>'Am Indian'!L13</f>
        <v>100</v>
      </c>
      <c r="Y14" s="1">
        <f>'Other - Mixed'!L13</f>
        <v>100</v>
      </c>
      <c r="Z14" s="1">
        <f>'All Minorities'!L13</f>
        <v>1</v>
      </c>
    </row>
    <row r="15" spans="2:26" s="1" customFormat="1" ht="33">
      <c r="B15" s="142" t="s">
        <v>24</v>
      </c>
      <c r="C15" s="101">
        <f>'Data Entry'!C14</f>
        <v>551</v>
      </c>
      <c r="D15" s="106">
        <f>'Data Entry'!D14</f>
        <v>245</v>
      </c>
      <c r="E15" s="107">
        <f>'Black or African-American'!$G14</f>
        <v>0.67169333285029975</v>
      </c>
      <c r="F15" s="108">
        <f>'Data Entry'!E14</f>
        <v>27</v>
      </c>
      <c r="G15" s="107">
        <f>Hispanic!G14</f>
        <v>0.55268393131369531</v>
      </c>
      <c r="H15" s="108">
        <f>'Data Entry'!F14</f>
        <v>4</v>
      </c>
      <c r="I15" s="107" t="str">
        <f>Asian!G14</f>
        <v>**</v>
      </c>
      <c r="J15" s="108">
        <f>'Data Entry'!G14</f>
        <v>0</v>
      </c>
      <c r="K15" s="107" t="str">
        <f>Hawaiian!G14</f>
        <v>*</v>
      </c>
      <c r="L15" s="108">
        <f>'Data Entry'!H14</f>
        <v>11</v>
      </c>
      <c r="M15" s="107" t="str">
        <f>'Am Indian'!G14</f>
        <v>*</v>
      </c>
      <c r="N15" s="108">
        <f>'Data Entry'!I14</f>
        <v>20</v>
      </c>
      <c r="O15" s="107" t="str">
        <f>'Other - Mixed'!G14</f>
        <v>*</v>
      </c>
      <c r="P15" s="108">
        <f>'Data Entry'!J14</f>
        <v>307</v>
      </c>
      <c r="Q15" s="109">
        <f>'All Minorities'!G14</f>
        <v>0.66283872582764891</v>
      </c>
      <c r="R15"/>
      <c r="T15" s="1">
        <f>'Black or African-American'!L14</f>
        <v>1</v>
      </c>
      <c r="U15" s="1">
        <f>Hispanic!L14</f>
        <v>1</v>
      </c>
      <c r="V15" s="1">
        <f>Asian!L14</f>
        <v>40</v>
      </c>
      <c r="W15" s="1">
        <f>Hawaiian!L14</f>
        <v>139</v>
      </c>
      <c r="X15" s="1">
        <f>'Am Indian'!L14</f>
        <v>101</v>
      </c>
      <c r="Y15" s="1">
        <f>'Other - Mixed'!L14</f>
        <v>100</v>
      </c>
      <c r="Z15" s="1">
        <f>'All Minorities'!L14</f>
        <v>1</v>
      </c>
    </row>
    <row r="16" spans="2:26" s="1" customFormat="1" ht="15" customHeight="1">
      <c r="B16" s="140" t="s">
        <v>25</v>
      </c>
      <c r="C16" s="101">
        <f>'Data Entry'!C15</f>
        <v>3</v>
      </c>
      <c r="D16" s="114">
        <f>'Data Entry'!D15</f>
        <v>47</v>
      </c>
      <c r="E16" s="115" t="str">
        <f>'Black or African-American'!$G15</f>
        <v>**</v>
      </c>
      <c r="F16" s="116">
        <f>'Data Entry'!E15</f>
        <v>0</v>
      </c>
      <c r="G16" s="115" t="str">
        <f>Hispanic!G15</f>
        <v>**</v>
      </c>
      <c r="H16" s="116">
        <f>'Data Entry'!F15</f>
        <v>0</v>
      </c>
      <c r="I16" s="115" t="str">
        <f>Asian!G15</f>
        <v>**</v>
      </c>
      <c r="J16" s="116">
        <f>'Data Entry'!G15</f>
        <v>0</v>
      </c>
      <c r="K16" s="115" t="str">
        <f>Hawaiian!G15</f>
        <v>*</v>
      </c>
      <c r="L16" s="116">
        <f>'Data Entry'!H15</f>
        <v>0</v>
      </c>
      <c r="M16" s="115" t="str">
        <f>'Am Indian'!G15</f>
        <v>*</v>
      </c>
      <c r="N16" s="116">
        <f>'Data Entry'!I15</f>
        <v>2</v>
      </c>
      <c r="O16" s="115" t="str">
        <f>'Other - Mixed'!G15</f>
        <v>*</v>
      </c>
      <c r="P16" s="116">
        <f>'Data Entry'!J15</f>
        <v>49</v>
      </c>
      <c r="Q16" s="117" t="str">
        <f>'All Minorities'!G15</f>
        <v>**</v>
      </c>
      <c r="R16"/>
      <c r="T16" s="1">
        <f>'Black or African-American'!L15</f>
        <v>20</v>
      </c>
      <c r="U16" s="1">
        <f>Hispanic!L15</f>
        <v>40</v>
      </c>
      <c r="V16" s="1">
        <f>Asian!L15</f>
        <v>40</v>
      </c>
      <c r="W16" s="1">
        <f>Hawaiian!L15</f>
        <v>139</v>
      </c>
      <c r="X16" s="1">
        <f>'Am Indian'!L15</f>
        <v>139</v>
      </c>
      <c r="Y16" s="1">
        <f>'Other - Mixed'!L15</f>
        <v>119</v>
      </c>
      <c r="Z16" s="1">
        <f>'All Minorities'!L15</f>
        <v>20</v>
      </c>
    </row>
    <row r="17" spans="2:18" s="1" customFormat="1" ht="15" customHeight="1" thickBot="1">
      <c r="B17" s="143" t="s">
        <v>54</v>
      </c>
      <c r="C17" s="96" t="str">
        <f>'Data Entry'!C16</f>
        <v>Yes</v>
      </c>
      <c r="D17" s="127"/>
      <c r="E17" s="137" t="str">
        <f>'Data Entry'!$D$16</f>
        <v>Yes</v>
      </c>
      <c r="F17" s="127"/>
      <c r="G17" s="137" t="str">
        <f>'Data Entry'!$E$16</f>
        <v>Yes</v>
      </c>
      <c r="H17" s="127"/>
      <c r="I17" s="137" t="str">
        <f>'Data Entry'!F16</f>
        <v>Yes</v>
      </c>
      <c r="J17" s="127"/>
      <c r="K17" s="137" t="str">
        <f>'Data Entry'!G16</f>
        <v>No</v>
      </c>
      <c r="L17" s="127"/>
      <c r="M17" s="137" t="str">
        <f>'Data Entry'!H16</f>
        <v>No</v>
      </c>
      <c r="N17" s="127"/>
      <c r="O17" s="137" t="str">
        <f>'Data Entry'!I16</f>
        <v>No</v>
      </c>
      <c r="P17" s="127"/>
      <c r="Q17" s="138" t="str">
        <f>'Data Entry'!J16</f>
        <v>Yes</v>
      </c>
      <c r="R17"/>
    </row>
    <row r="18" spans="2:18" ht="15" customHeight="1" thickTop="1" thickBot="1">
      <c r="B18" s="91"/>
      <c r="C18" s="91"/>
      <c r="D18" s="91"/>
      <c r="E18" s="91"/>
      <c r="F18" s="91"/>
      <c r="G18" s="91"/>
      <c r="H18" s="91"/>
      <c r="I18" s="91"/>
      <c r="J18" s="91"/>
      <c r="K18" s="91"/>
      <c r="L18" s="91"/>
      <c r="M18" s="91"/>
      <c r="N18" s="91"/>
      <c r="O18" s="91"/>
      <c r="P18" s="91"/>
      <c r="Q18" s="91"/>
    </row>
    <row r="19" spans="2:18" ht="18" customHeight="1" thickBot="1">
      <c r="B19" s="92"/>
      <c r="C19" s="128"/>
      <c r="D19" s="129"/>
      <c r="E19" s="129"/>
      <c r="F19" s="129"/>
      <c r="G19" s="129"/>
      <c r="H19" s="131" t="s">
        <v>55</v>
      </c>
      <c r="I19" s="132" t="s">
        <v>56</v>
      </c>
      <c r="J19" s="129"/>
      <c r="K19" s="129"/>
      <c r="L19" s="129"/>
      <c r="M19" s="129"/>
      <c r="N19" s="129"/>
      <c r="O19" s="130"/>
      <c r="P19" s="91"/>
      <c r="Q19" s="91"/>
    </row>
    <row r="20" spans="2:18" ht="16.5">
      <c r="B20" s="91"/>
      <c r="C20" s="151" t="s">
        <v>57</v>
      </c>
      <c r="D20" s="157"/>
      <c r="E20" s="158"/>
      <c r="F20" s="159"/>
      <c r="G20" s="160" t="s">
        <v>58</v>
      </c>
      <c r="H20" s="157"/>
      <c r="I20" s="151" t="s">
        <v>59</v>
      </c>
      <c r="J20" s="157"/>
      <c r="K20" s="157"/>
      <c r="L20" s="157"/>
      <c r="M20" s="157"/>
      <c r="N20" s="157"/>
      <c r="O20" s="152" t="s">
        <v>60</v>
      </c>
      <c r="Q20" s="91"/>
    </row>
    <row r="21" spans="2:18" ht="15" customHeight="1">
      <c r="B21" s="91"/>
      <c r="C21" s="153" t="s">
        <v>61</v>
      </c>
      <c r="D21" s="157"/>
      <c r="E21" s="161"/>
      <c r="F21" s="157"/>
      <c r="G21" s="162" t="s">
        <v>62</v>
      </c>
      <c r="H21" s="157"/>
      <c r="I21" s="153" t="s">
        <v>63</v>
      </c>
      <c r="J21" s="157"/>
      <c r="K21" s="157"/>
      <c r="L21" s="157"/>
      <c r="M21" s="157"/>
      <c r="N21" s="157"/>
      <c r="O21" s="154" t="s">
        <v>64</v>
      </c>
      <c r="Q21" s="91"/>
    </row>
    <row r="22" spans="2:18" ht="15" customHeight="1" thickBot="1">
      <c r="B22" s="91"/>
      <c r="C22" s="163"/>
      <c r="D22" s="164"/>
      <c r="E22" s="164"/>
      <c r="F22" s="164"/>
      <c r="G22" s="164"/>
      <c r="H22" s="164"/>
      <c r="I22" s="165" t="s">
        <v>65</v>
      </c>
      <c r="J22" s="164"/>
      <c r="K22" s="164"/>
      <c r="L22" s="164"/>
      <c r="M22" s="164"/>
      <c r="N22" s="164"/>
      <c r="O22" s="155" t="s">
        <v>66</v>
      </c>
      <c r="Q22" s="91"/>
    </row>
    <row r="23" spans="2:18" ht="15" customHeight="1">
      <c r="B23" s="91"/>
      <c r="C23" s="91"/>
      <c r="D23" s="91"/>
      <c r="E23"/>
      <c r="F23"/>
      <c r="G23"/>
      <c r="H23"/>
      <c r="K23"/>
      <c r="L23"/>
      <c r="M23" s="91"/>
      <c r="N23" s="91"/>
      <c r="O23" s="91"/>
      <c r="P23" s="91"/>
      <c r="Q23" s="91"/>
    </row>
    <row r="24" spans="2:18" ht="15" customHeight="1">
      <c r="B24" s="91"/>
      <c r="C24" s="91"/>
      <c r="D24" s="91"/>
      <c r="E24"/>
      <c r="F24"/>
      <c r="G24"/>
      <c r="H24"/>
      <c r="K24"/>
      <c r="L24"/>
      <c r="M24" s="91"/>
      <c r="N24" s="91"/>
      <c r="O24" s="91"/>
      <c r="P24" s="91"/>
      <c r="Q24" s="91"/>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2.Arrest: Michigan State Police</v>
      </c>
      <c r="I26" s="94"/>
      <c r="J26" s="94"/>
    </row>
    <row r="27" spans="2:18" ht="12.75" customHeight="1">
      <c r="B27" s="1" t="str">
        <f>'Data Entry'!A20</f>
        <v>Item 3.Referral: State Court Administrative Office</v>
      </c>
      <c r="E27" s="1" t="str">
        <f>'Data Entry'!D20</f>
        <v>Item 4.Diversion: State Court Administrative Office</v>
      </c>
      <c r="I27" s="94"/>
      <c r="J27" s="94"/>
    </row>
    <row r="28" spans="2:18" ht="12.75" customHeight="1">
      <c r="B28" s="1" t="str">
        <f>'Data Entry'!A21</f>
        <v>Item 5.Detention: State Court Administrative Office</v>
      </c>
      <c r="E28" s="1" t="str">
        <f>'Data Entry'!D21</f>
        <v>Item 6.Petitioned: State Court Administrative Office</v>
      </c>
      <c r="I28" s="94"/>
      <c r="J28" s="94"/>
    </row>
    <row r="29" spans="2:18" ht="12.75" customHeight="1">
      <c r="B29" s="1" t="str">
        <f>'Data Entry'!A22</f>
        <v>Item 7.Delinquent: State Court Administrative Office</v>
      </c>
      <c r="E29" s="1" t="str">
        <f>'Data Entry'!D22</f>
        <v>Item 8.Probation: State Court Administrative Office</v>
      </c>
      <c r="I29" s="94"/>
      <c r="J29" s="94"/>
    </row>
    <row r="30" spans="2:18" ht="12.75" customHeight="1">
      <c r="B30" s="1" t="str">
        <f>'Data Entry'!A23</f>
        <v>Item 9.Confinement: State Court Administrative Office</v>
      </c>
      <c r="E30" s="1" t="str">
        <f>'Data Entry'!D23</f>
        <v>Item 10.Transferred: State Court Administrative Office</v>
      </c>
      <c r="I30" s="94"/>
      <c r="J30" s="94"/>
    </row>
    <row r="31" spans="2:18" ht="29.25" customHeight="1">
      <c r="B31" s="172" t="s">
        <v>67</v>
      </c>
      <c r="C31" s="197"/>
      <c r="D31" s="197"/>
      <c r="E31" s="197"/>
      <c r="F31" s="197"/>
      <c r="G31" s="197"/>
      <c r="H31" s="197"/>
      <c r="I31" s="197"/>
      <c r="J31" s="197"/>
      <c r="K31" s="197"/>
      <c r="L31" s="197"/>
    </row>
  </sheetData>
  <sheetProtection password="C722" objects="1"/>
  <mergeCells count="11">
    <mergeCell ref="B31:L31"/>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oddHeader>&amp;C&amp;"Calibri"&amp;10&amp;K000000 MPHI Internal Use Only&amp;1#_x000D_</oddHeader>
    <oddFooter>&amp;C_x000D_&amp;1#&amp;"Calibri"&amp;10&amp;K000000 MPHI 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4" t="str">
        <f>'Data Entry'!A3</f>
        <v>All Reporting Counties</v>
      </c>
    </row>
    <row r="6" spans="1:12">
      <c r="A6" s="133" t="str">
        <f>CONCATENATE("Percentage of Minorities at Stages of the Juvenile Justice System, ", A5, " 2023")</f>
        <v>Percentage of Minorities at Stages of the Juvenile Justice System, All Reporting Counties 2023</v>
      </c>
      <c r="B6" s="94" t="str">
        <f>'Data Entry'!D5</f>
        <v>Black or African American</v>
      </c>
      <c r="C6" s="94" t="str">
        <f>'Data Entry'!E5</f>
        <v>Hispanic or Latino</v>
      </c>
      <c r="D6" s="94" t="str">
        <f>'Data Entry'!F5</f>
        <v>Asian</v>
      </c>
      <c r="E6" s="94" t="str">
        <f>'Data Entry'!G5</f>
        <v>Native Hawaiian or Other Pacific Islanders</v>
      </c>
      <c r="F6" s="94" t="str">
        <f>'Data Entry'!H5</f>
        <v>American Indian or Alaska Native</v>
      </c>
      <c r="G6" s="94" t="str">
        <f>'Data Entry'!I5</f>
        <v>Biracial or Other</v>
      </c>
      <c r="H6" s="126" t="s">
        <v>68</v>
      </c>
      <c r="I6" s="94" t="str">
        <f>'Data Entry'!C5</f>
        <v>White</v>
      </c>
      <c r="K6" s="133" t="s">
        <v>69</v>
      </c>
      <c r="L6" s="133" t="s">
        <v>70</v>
      </c>
    </row>
    <row r="7" spans="1:12">
      <c r="A7" s="126" t="str">
        <f>CONCATENATE("Waivers, total N=", 'Data Entry'!B15)</f>
        <v>Waivers, total N=53</v>
      </c>
      <c r="B7" s="148">
        <f>'Data Entry'!D15/'Data Entry'!B15</f>
        <v>0.8867924528301887</v>
      </c>
      <c r="C7" s="148">
        <f>'Data Entry'!E15/'Data Entry'!B15</f>
        <v>0</v>
      </c>
      <c r="D7" s="148">
        <f>'Data Entry'!F15/'Data Entry'!B15</f>
        <v>0</v>
      </c>
      <c r="E7" s="148">
        <f>'Data Entry'!G15/'Data Entry'!B15</f>
        <v>0</v>
      </c>
      <c r="F7" s="148">
        <f>'Data Entry'!H15/'Data Entry'!B15</f>
        <v>0</v>
      </c>
      <c r="G7" s="148">
        <f>'Data Entry'!I15/'Data Entry'!B15</f>
        <v>3.7735849056603772E-2</v>
      </c>
      <c r="H7" s="148">
        <f>SUM(D7:G7)/'Data Entry'!B15</f>
        <v>7.1199715201139188E-4</v>
      </c>
      <c r="I7" s="148">
        <f>'Data Entry'!C15/'Data Entry'!B15</f>
        <v>5.6603773584905662E-2</v>
      </c>
      <c r="K7" s="94" t="str">
        <f t="shared" ref="K7:K14" si="0">A7</f>
        <v>Waivers, total N=53</v>
      </c>
      <c r="L7">
        <f>I14/(SUM(B14:G14))</f>
        <v>2.1800766529290074</v>
      </c>
    </row>
    <row r="8" spans="1:12" ht="25.5" customHeight="1">
      <c r="A8" s="149" t="str">
        <f>CONCATENATE("Confinement, total N=", 'Data Entry'!B14)</f>
        <v>Confinement, total N=979</v>
      </c>
      <c r="B8" s="148">
        <f>'Data Entry'!D14/'Data Entry'!B14</f>
        <v>0.25025536261491316</v>
      </c>
      <c r="C8" s="148">
        <f>'Data Entry'!E14/'Data Entry'!B14</f>
        <v>2.7579162410623085E-2</v>
      </c>
      <c r="D8" s="148">
        <f>'Data Entry'!F14/'Data Entry'!B14</f>
        <v>4.0858018386108275E-3</v>
      </c>
      <c r="E8" s="148">
        <f>'Data Entry'!G14/'Data Entry'!B14</f>
        <v>0</v>
      </c>
      <c r="F8" s="148">
        <f>'Data Entry'!H14/'Data Entry'!B14</f>
        <v>1.1235955056179775E-2</v>
      </c>
      <c r="G8" s="148">
        <f>'Data Entry'!I14/'Data Entry'!B14</f>
        <v>2.0429009193054137E-2</v>
      </c>
      <c r="H8" s="148">
        <f>SUM(D8:G8)/'Data Entry'!B14</f>
        <v>3.6517636453365409E-5</v>
      </c>
      <c r="I8" s="148">
        <f>'Data Entry'!C14/'Data Entry'!B14</f>
        <v>0.56281920326864143</v>
      </c>
      <c r="K8" s="94" t="str">
        <f>A8</f>
        <v>Confinement, total N=979</v>
      </c>
      <c r="L8">
        <f>I14/(SUM(B14:G14))</f>
        <v>2.1800766529290074</v>
      </c>
    </row>
    <row r="9" spans="1:12">
      <c r="A9" s="126" t="str">
        <f>CONCATENATE("Delinquent Findings, total N=", 'Data Entry'!B12)</f>
        <v>Delinquent Findings, total N=4750</v>
      </c>
      <c r="B9" s="148">
        <f>'Data Entry'!D12/'Data Entry'!B12</f>
        <v>0.32694736842105265</v>
      </c>
      <c r="C9" s="148">
        <f>'Data Entry'!E12/'Data Entry'!B12</f>
        <v>4.3789473684210524E-2</v>
      </c>
      <c r="D9" s="148">
        <f>'Data Entry'!F12/'Data Entry'!B12</f>
        <v>3.3684210526315791E-3</v>
      </c>
      <c r="E9" s="148">
        <f>'Data Entry'!G12/'Data Entry'!B12</f>
        <v>2.105263157894737E-4</v>
      </c>
      <c r="F9" s="148">
        <f>'Data Entry'!H12/'Data Entry'!B12</f>
        <v>9.6842105263157899E-3</v>
      </c>
      <c r="G9" s="148">
        <f>'Data Entry'!I12/'Data Entry'!B12</f>
        <v>3.1157894736842107E-2</v>
      </c>
      <c r="H9" s="148">
        <f>SUM(D9:G9)/'Data Entry'!B12</f>
        <v>9.3518005540166214E-6</v>
      </c>
      <c r="I9" s="148">
        <f>'Data Entry'!C12/'Data Entry'!B12</f>
        <v>0.49389473684210528</v>
      </c>
      <c r="K9" s="94" t="str">
        <f t="shared" si="0"/>
        <v>Delinquent Findings, total N=4750</v>
      </c>
      <c r="L9">
        <f>I14/(SUM(B14:G14))</f>
        <v>2.1800766529290074</v>
      </c>
    </row>
    <row r="10" spans="1:12">
      <c r="A10" s="126" t="str">
        <f>CONCATENATE("Petitions, total N=", 'Data Entry'!B11)</f>
        <v>Petitions, total N=10863</v>
      </c>
      <c r="B10" s="148">
        <f>'Data Entry'!D11/'Data Entry'!B11</f>
        <v>0.27570652674215224</v>
      </c>
      <c r="C10" s="148">
        <f>'Data Entry'!E11/'Data Entry'!B11</f>
        <v>3.1483015741507872E-2</v>
      </c>
      <c r="D10" s="148">
        <f>'Data Entry'!F11/'Data Entry'!B11</f>
        <v>3.4981128601675412E-3</v>
      </c>
      <c r="E10" s="148">
        <f>'Data Entry'!G11/'Data Entry'!B11</f>
        <v>9.2055601583356344E-5</v>
      </c>
      <c r="F10" s="148">
        <f>'Data Entry'!H11/'Data Entry'!B11</f>
        <v>6.6280033140016566E-3</v>
      </c>
      <c r="G10" s="148">
        <f>'Data Entry'!I11/'Data Entry'!B11</f>
        <v>2.522323483383964E-2</v>
      </c>
      <c r="H10" s="148">
        <f>SUM(D10:G10)/'Data Entry'!B11</f>
        <v>3.2625800064063509E-6</v>
      </c>
      <c r="I10" s="148">
        <f>'Data Entry'!C11/'Data Entry'!B11</f>
        <v>0.33618705698241735</v>
      </c>
      <c r="K10" s="94" t="str">
        <f t="shared" si="0"/>
        <v>Petitions, total N=10863</v>
      </c>
      <c r="L10">
        <f>I14/(SUM(B14:G14))</f>
        <v>2.1800766529290074</v>
      </c>
    </row>
    <row r="11" spans="1:12">
      <c r="A11" s="126" t="str">
        <f>CONCATENATE("Detentions, total N=", 'Data Entry'!B10)</f>
        <v>Detentions, total N=2745</v>
      </c>
      <c r="B11" s="148">
        <f>'Data Entry'!D10/'Data Entry'!B10</f>
        <v>0.50018214936247718</v>
      </c>
      <c r="C11" s="148">
        <f>'Data Entry'!E10/'Data Entry'!B10</f>
        <v>6.4116575591985428E-2</v>
      </c>
      <c r="D11" s="148">
        <f>'Data Entry'!F10/'Data Entry'!B10</f>
        <v>2.9143897996357013E-3</v>
      </c>
      <c r="E11" s="148">
        <f>'Data Entry'!G10/'Data Entry'!B10</f>
        <v>0</v>
      </c>
      <c r="F11" s="148">
        <f>'Data Entry'!H10/'Data Entry'!B10</f>
        <v>4.0072859744990892E-3</v>
      </c>
      <c r="G11" s="148">
        <f>'Data Entry'!I10/'Data Entry'!B10</f>
        <v>7.3952641165755922E-2</v>
      </c>
      <c r="H11" s="148">
        <f>SUM(D11:G11)/'Data Entry'!B10</f>
        <v>2.9462410542765284E-5</v>
      </c>
      <c r="I11" s="148">
        <f>'Data Entry'!C10/'Data Entry'!B10</f>
        <v>0.31511839708561018</v>
      </c>
      <c r="K11" s="94" t="str">
        <f t="shared" si="0"/>
        <v>Detentions, total N=2745</v>
      </c>
      <c r="L11">
        <f>I14/(SUM(B14:G14))</f>
        <v>2.1800766529290074</v>
      </c>
    </row>
    <row r="12" spans="1:12">
      <c r="A12" s="126" t="str">
        <f>CONCATENATE("Referrals, total N=", 'Data Entry'!B8)</f>
        <v>Referrals, total N=18935</v>
      </c>
      <c r="B12" s="148">
        <f>'Data Entry'!D8/'Data Entry'!B8</f>
        <v>0.25117507261684713</v>
      </c>
      <c r="C12" s="148">
        <f>'Data Entry'!E8/'Data Entry'!B8</f>
        <v>2.9944547134935304E-2</v>
      </c>
      <c r="D12" s="148">
        <f>'Data Entry'!F8/'Data Entry'!B8</f>
        <v>3.2215473989965671E-3</v>
      </c>
      <c r="E12" s="148">
        <f>'Data Entry'!G8/'Data Entry'!B8</f>
        <v>4.2249801954053341E-4</v>
      </c>
      <c r="F12" s="148">
        <f>'Data Entry'!H8/'Data Entry'!B8</f>
        <v>7.4465275944019015E-3</v>
      </c>
      <c r="G12" s="148">
        <f>'Data Entry'!I8/'Data Entry'!B8</f>
        <v>2.7092685503036704E-2</v>
      </c>
      <c r="H12" s="148">
        <f>SUM(D12:G12)/'Data Entry'!B8</f>
        <v>2.0165438878254926E-6</v>
      </c>
      <c r="I12" s="148">
        <f>'Data Entry'!C8/'Data Entry'!B8</f>
        <v>0.38473725904409822</v>
      </c>
      <c r="K12" s="94" t="str">
        <f t="shared" si="0"/>
        <v>Referrals, total N=18935</v>
      </c>
      <c r="L12">
        <f>I14/(SUM(B14:G14))</f>
        <v>2.1800766529290074</v>
      </c>
    </row>
    <row r="13" spans="1:12">
      <c r="A13" s="126" t="str">
        <f>CONCATENATE("Arrests, total N=", 'Data Entry'!B7)</f>
        <v>Arrests, total N=9678</v>
      </c>
      <c r="B13" s="148">
        <f>'Data Entry'!D7/'Data Entry'!B7</f>
        <v>0.45701591237859063</v>
      </c>
      <c r="C13" s="148">
        <f>'Data Entry'!E7/'Data Entry'!B7</f>
        <v>2.3661913618516224E-2</v>
      </c>
      <c r="D13" s="148">
        <f>'Data Entry'!F7/'Data Entry'!B7</f>
        <v>5.0630295515602395E-3</v>
      </c>
      <c r="E13" s="148">
        <f>'Data Entry'!G7/'Data Entry'!B7</f>
        <v>5.1663566852655507E-4</v>
      </c>
      <c r="F13" s="148">
        <f>'Data Entry'!H7/'Data Entry'!B7</f>
        <v>4.9597024178549285E-3</v>
      </c>
      <c r="G13" s="148">
        <f>'Data Entry'!I7/'Data Entry'!B7</f>
        <v>0</v>
      </c>
      <c r="H13" s="148">
        <f>SUM(D13:G13)/'Data Entry'!B7</f>
        <v>1.0890026490950323E-6</v>
      </c>
      <c r="I13" s="148">
        <f>'Data Entry'!C7/'Data Entry'!B7</f>
        <v>0.46724529861541642</v>
      </c>
      <c r="K13" s="94" t="str">
        <f t="shared" si="0"/>
        <v>Arrests, total N=9678</v>
      </c>
      <c r="L13">
        <f>I14/(SUM(B14:G14))</f>
        <v>2.1800766529290074</v>
      </c>
    </row>
    <row r="14" spans="1:12">
      <c r="A14" s="126" t="str">
        <f>CONCATENATE("Population, total N=", 'Data Entry'!B6)</f>
        <v>Population, total N=991532</v>
      </c>
      <c r="B14" s="148">
        <f>'Data Entry'!D6/'Data Entry'!B6</f>
        <v>0.17652279502829965</v>
      </c>
      <c r="C14" s="148">
        <f>'Data Entry'!E6/'Data Entry'!B6</f>
        <v>9.0623398942242916E-2</v>
      </c>
      <c r="D14" s="148">
        <f>'Data Entry'!F6/'Data Entry'!B6</f>
        <v>3.9567053811677286E-2</v>
      </c>
      <c r="E14" s="148">
        <f>'Data Entry'!G6/'Data Entry'!B6</f>
        <v>0</v>
      </c>
      <c r="F14" s="148">
        <f>'Data Entry'!H6/'Data Entry'!B6</f>
        <v>7.74458111286373E-3</v>
      </c>
      <c r="G14" s="148">
        <f>'Data Entry'!I6/'Data Entry'!B6</f>
        <v>0</v>
      </c>
      <c r="H14" s="148">
        <f>SUM(D14:G14)/'Data Entry'!B6</f>
        <v>4.7715691399310376E-8</v>
      </c>
      <c r="I14" s="148">
        <f>'Data Entry'!C6/'Data Entry'!B6</f>
        <v>0.68554217110491644</v>
      </c>
      <c r="K14" s="94" t="str">
        <f t="shared" si="0"/>
        <v>Population, total N=991532</v>
      </c>
      <c r="L14">
        <f>I14/(SUM(B14:G14))</f>
        <v>2.1800766529290074</v>
      </c>
    </row>
    <row r="15" spans="1:12">
      <c r="A15" s="94"/>
    </row>
    <row r="17" spans="2:9">
      <c r="B17" s="94"/>
      <c r="C17" s="94"/>
      <c r="D17" s="94"/>
      <c r="E17" s="94"/>
      <c r="F17" s="94"/>
      <c r="G17" s="94"/>
      <c r="H17" s="94"/>
      <c r="I17" s="94"/>
    </row>
  </sheetData>
  <pageMargins left="0.7" right="0.7" top="0.75" bottom="0.75" header="0.3" footer="0.3"/>
  <pageSetup orientation="portrait" r:id="rId1"/>
  <headerFooter>
    <oddHeader>&amp;C&amp;"Calibri"&amp;10&amp;K000000 MPHI Internal Use Only&amp;1#_x000D_</oddHeader>
    <oddFooter>&amp;C_x000D_&amp;1#&amp;"Calibri"&amp;10&amp;K000000 MPHI Internal Use Only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X15" sqref="X15"/>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3" t="s">
        <v>48</v>
      </c>
      <c r="C2" s="174"/>
      <c r="D2" s="174"/>
      <c r="E2" s="174"/>
      <c r="F2" s="174"/>
      <c r="G2" s="174"/>
      <c r="H2" s="174"/>
      <c r="I2" s="174"/>
      <c r="J2" s="174"/>
      <c r="K2" s="175"/>
    </row>
    <row r="3" spans="2:30" s="1" customFormat="1" ht="19.5" thickTop="1">
      <c r="B3" s="95" t="str">
        <f>'Data Entry'!A2</f>
        <v>State: Michigan</v>
      </c>
      <c r="C3" s="93"/>
      <c r="D3" s="93"/>
      <c r="H3" s="186" t="str">
        <f>'Data Entry'!C3</f>
        <v xml:space="preserve">Reporting Period:  </v>
      </c>
      <c r="I3" s="198"/>
      <c r="J3" s="198"/>
      <c r="K3" s="199"/>
    </row>
    <row r="4" spans="2:30" s="1" customFormat="1" ht="19.5" thickBot="1">
      <c r="B4" s="99" t="str">
        <f>'Data Entry'!A3</f>
        <v>All Reporting Counties</v>
      </c>
      <c r="C4" s="100"/>
      <c r="D4" s="100"/>
      <c r="E4" s="118"/>
      <c r="F4" s="118"/>
      <c r="G4" s="118"/>
      <c r="H4" s="178" t="str">
        <f>'Data Entry'!C4</f>
        <v>10/1/22 through 9/30/23</v>
      </c>
      <c r="I4" s="200"/>
      <c r="J4" s="200"/>
      <c r="K4" s="201"/>
    </row>
    <row r="5" spans="2:30" s="8" customFormat="1" ht="69" customHeight="1">
      <c r="B5" s="97"/>
      <c r="C5" s="98" t="s">
        <v>7</v>
      </c>
      <c r="D5" s="183" t="str">
        <f>'Black or African-American'!$F$1</f>
        <v>Black or African American</v>
      </c>
      <c r="E5" s="184"/>
      <c r="F5" s="183" t="str">
        <f>Hispanic!F1</f>
        <v>Hispanic or Latino</v>
      </c>
      <c r="G5" s="184"/>
      <c r="H5" s="183" t="str">
        <f>Asian!F1</f>
        <v>Asian</v>
      </c>
      <c r="I5" s="184"/>
      <c r="J5" s="183" t="str">
        <f>'Data Entry'!J5</f>
        <v>All Minorities</v>
      </c>
      <c r="K5" s="185"/>
      <c r="N5" s="69"/>
      <c r="O5" s="69"/>
      <c r="P5" s="69"/>
      <c r="Q5" s="69"/>
    </row>
    <row r="6" spans="2:30" s="8" customFormat="1" ht="18" customHeight="1">
      <c r="B6" s="150" t="s">
        <v>49</v>
      </c>
      <c r="C6" s="120" t="s">
        <v>50</v>
      </c>
      <c r="D6" s="121" t="s">
        <v>50</v>
      </c>
      <c r="E6" s="122" t="s">
        <v>51</v>
      </c>
      <c r="F6" s="121" t="s">
        <v>50</v>
      </c>
      <c r="G6" s="122" t="s">
        <v>51</v>
      </c>
      <c r="H6" s="121" t="s">
        <v>50</v>
      </c>
      <c r="I6" s="122" t="s">
        <v>51</v>
      </c>
      <c r="J6" s="121" t="s">
        <v>50</v>
      </c>
      <c r="K6" s="123" t="s">
        <v>51</v>
      </c>
    </row>
    <row r="7" spans="2:30" s="8" customFormat="1" ht="18" customHeight="1">
      <c r="B7" s="139" t="str">
        <f>'Data Entry'!A6</f>
        <v xml:space="preserve">1. Population at Risk (age 10-17) </v>
      </c>
      <c r="C7" s="101">
        <f>'Data Entry'!C6</f>
        <v>679737</v>
      </c>
      <c r="D7" s="102">
        <f>'Data Entry'!D6</f>
        <v>175028</v>
      </c>
      <c r="E7" s="103"/>
      <c r="F7" s="104">
        <f>'Data Entry'!E6</f>
        <v>89856</v>
      </c>
      <c r="G7" s="103"/>
      <c r="H7" s="104">
        <f>'Data Entry'!F6</f>
        <v>39232</v>
      </c>
      <c r="I7" s="103"/>
      <c r="J7" s="104">
        <f>'Data Entry'!J6</f>
        <v>311795</v>
      </c>
      <c r="K7" s="105"/>
    </row>
    <row r="8" spans="2:30" s="1" customFormat="1" ht="15" customHeight="1">
      <c r="B8" s="119" t="s">
        <v>71</v>
      </c>
      <c r="C8" s="101">
        <f>'Data Entry'!C7</f>
        <v>4522</v>
      </c>
      <c r="D8" s="102">
        <f>'Data Entry'!D7</f>
        <v>4423</v>
      </c>
      <c r="E8" s="103">
        <f>'Black or African-American'!$G7</f>
        <v>3.7985667424948915</v>
      </c>
      <c r="F8" s="104">
        <f>'Data Entry'!E7</f>
        <v>229</v>
      </c>
      <c r="G8" s="103">
        <f>Hispanic!G7</f>
        <v>0.3830881806585657</v>
      </c>
      <c r="H8" s="104">
        <f>'Data Entry'!F7</f>
        <v>49</v>
      </c>
      <c r="I8" s="103">
        <f>Asian!G7</f>
        <v>0.18774396430032472</v>
      </c>
      <c r="J8" s="104">
        <f>'Data Entry'!J7</f>
        <v>4754</v>
      </c>
      <c r="K8" s="105">
        <f>'All Minorities'!G7</f>
        <v>2.2919249022610577</v>
      </c>
      <c r="L8"/>
      <c r="N8" s="1">
        <f>'Black or African-American'!L7</f>
        <v>1</v>
      </c>
      <c r="O8" s="1">
        <f>Hispanic!L7</f>
        <v>1</v>
      </c>
      <c r="P8" s="1">
        <f>Asian!L7</f>
        <v>1</v>
      </c>
      <c r="Q8" s="1" t="e">
        <f>Hawaiian!L7</f>
        <v>#DIV/0!</v>
      </c>
      <c r="R8" s="1">
        <f>'Am Indian'!L7</f>
        <v>101</v>
      </c>
      <c r="S8" s="1" t="e">
        <f>'Other - Mixed'!L7</f>
        <v>#VALUE!</v>
      </c>
      <c r="T8" s="1">
        <f>'All Minorities'!L7</f>
        <v>1</v>
      </c>
    </row>
    <row r="9" spans="2:30" s="1" customFormat="1" ht="15" customHeight="1">
      <c r="B9" s="119" t="s">
        <v>52</v>
      </c>
      <c r="C9" s="101">
        <f>'Data Entry'!C8</f>
        <v>7285</v>
      </c>
      <c r="D9" s="106">
        <f>'Data Entry'!D8</f>
        <v>4756</v>
      </c>
      <c r="E9" s="107">
        <f>'Black or African-American'!$G8</f>
        <v>0.66746102104631511</v>
      </c>
      <c r="F9" s="108">
        <f>'Data Entry'!E8</f>
        <v>567</v>
      </c>
      <c r="G9" s="107">
        <f>Hispanic!G8</f>
        <v>1.5369105028277881</v>
      </c>
      <c r="H9" s="108">
        <f>'Data Entry'!F8</f>
        <v>61</v>
      </c>
      <c r="I9" s="107">
        <f>Asian!G8</f>
        <v>0.77274242572801255</v>
      </c>
      <c r="J9" s="108">
        <f>'Data Entry'!J8</f>
        <v>6046</v>
      </c>
      <c r="K9" s="109">
        <f>'All Minorities'!G8</f>
        <v>0.78942334873006559</v>
      </c>
      <c r="L9"/>
      <c r="N9" s="1">
        <f>'Black or African-American'!L8</f>
        <v>1</v>
      </c>
      <c r="O9" s="1">
        <f>Hispanic!L8</f>
        <v>1</v>
      </c>
      <c r="P9" s="1">
        <f>Asian!L8</f>
        <v>1</v>
      </c>
      <c r="Q9" s="1">
        <f>Hawaiian!L8</f>
        <v>139</v>
      </c>
      <c r="R9" s="1">
        <f>'Am Indian'!L8</f>
        <v>100</v>
      </c>
      <c r="S9" s="1">
        <f>'Other - Mixed'!L8</f>
        <v>119</v>
      </c>
      <c r="T9" s="1">
        <f>'All Minorities'!L8</f>
        <v>1</v>
      </c>
    </row>
    <row r="10" spans="2:30" s="1" customFormat="1" ht="15" customHeight="1">
      <c r="B10" s="119" t="s">
        <v>19</v>
      </c>
      <c r="C10" s="101">
        <f>'Data Entry'!C9</f>
        <v>1889</v>
      </c>
      <c r="D10" s="110">
        <f>'Data Entry'!D9</f>
        <v>1459</v>
      </c>
      <c r="E10" s="111">
        <f>'Black or African-American'!$G9</f>
        <v>1.1830716409152005</v>
      </c>
      <c r="F10" s="112">
        <f>'Data Entry'!E9</f>
        <v>179</v>
      </c>
      <c r="G10" s="111">
        <f>Hispanic!G9</f>
        <v>1.2174960763279097</v>
      </c>
      <c r="H10" s="112">
        <f>'Data Entry'!F9</f>
        <v>31</v>
      </c>
      <c r="I10" s="111">
        <f>Asian!G9</f>
        <v>1.9598798913467963</v>
      </c>
      <c r="J10" s="112">
        <f>'Data Entry'!J9</f>
        <v>1859</v>
      </c>
      <c r="K10" s="113">
        <f>'All Minorities'!G9</f>
        <v>1.1857928985244062</v>
      </c>
      <c r="L10"/>
      <c r="N10" s="1">
        <f>'Black or African-American'!L9</f>
        <v>1</v>
      </c>
      <c r="O10" s="1">
        <f>Hispanic!L9</f>
        <v>1</v>
      </c>
      <c r="P10" s="1">
        <f>Asian!L9</f>
        <v>1</v>
      </c>
      <c r="Q10" s="1">
        <f>Hawaiian!L9</f>
        <v>139</v>
      </c>
      <c r="R10" s="1">
        <f>'Am Indian'!L9</f>
        <v>100</v>
      </c>
      <c r="S10" s="1">
        <f>'Other - Mixed'!L9</f>
        <v>100</v>
      </c>
      <c r="T10" s="1">
        <f>'All Minorities'!L9</f>
        <v>1</v>
      </c>
    </row>
    <row r="11" spans="2:30" s="1" customFormat="1" ht="15" customHeight="1">
      <c r="B11" s="119" t="s">
        <v>20</v>
      </c>
      <c r="C11" s="101">
        <f>'Data Entry'!C10</f>
        <v>865</v>
      </c>
      <c r="D11" s="106">
        <f>'Data Entry'!D10</f>
        <v>1373</v>
      </c>
      <c r="E11" s="107">
        <f>'Black or African-American'!$G10</f>
        <v>2.4313200970359308</v>
      </c>
      <c r="F11" s="108">
        <f>'Data Entry'!E10</f>
        <v>176</v>
      </c>
      <c r="G11" s="107">
        <f>Hispanic!G10</f>
        <v>2.614225566056009</v>
      </c>
      <c r="H11" s="108">
        <f>'Data Entry'!F10</f>
        <v>8</v>
      </c>
      <c r="I11" s="107">
        <f>Asian!G10</f>
        <v>1.1045200416943048</v>
      </c>
      <c r="J11" s="108">
        <f>'Data Entry'!J10</f>
        <v>1771</v>
      </c>
      <c r="K11" s="109">
        <f>'All Minorities'!G10</f>
        <v>2.4669699930589943</v>
      </c>
      <c r="L11"/>
      <c r="N11" s="1">
        <f>'Black or African-American'!L10</f>
        <v>1</v>
      </c>
      <c r="O11" s="1">
        <f>Hispanic!L10</f>
        <v>1</v>
      </c>
      <c r="P11" s="1">
        <f>Asian!L10</f>
        <v>2</v>
      </c>
      <c r="Q11" s="1">
        <f>Hawaiian!L10</f>
        <v>139</v>
      </c>
      <c r="R11" s="1">
        <f>'Am Indian'!L10</f>
        <v>101</v>
      </c>
      <c r="S11" s="1">
        <f>'Other - Mixed'!L10</f>
        <v>100</v>
      </c>
      <c r="T11" s="1">
        <f>'All Minorities'!L10</f>
        <v>1</v>
      </c>
    </row>
    <row r="12" spans="2:30" s="1" customFormat="1" ht="15" customHeight="1">
      <c r="B12" s="119" t="s">
        <v>53</v>
      </c>
      <c r="C12" s="101">
        <f>'Data Entry'!C11</f>
        <v>3652</v>
      </c>
      <c r="D12" s="110">
        <f>'Data Entry'!D11</f>
        <v>2995</v>
      </c>
      <c r="E12" s="111">
        <f>'Black or African-American'!$G11</f>
        <v>1.2561854766723441</v>
      </c>
      <c r="F12" s="112">
        <f>'Data Entry'!E11</f>
        <v>342</v>
      </c>
      <c r="G12" s="111">
        <f>Hispanic!G11</f>
        <v>1.203211112849667</v>
      </c>
      <c r="H12" s="112">
        <f>'Data Entry'!F11</f>
        <v>38</v>
      </c>
      <c r="I12" s="111">
        <f>Asian!G11</f>
        <v>1.2426606575332626</v>
      </c>
      <c r="J12" s="112">
        <f>'Data Entry'!J11</f>
        <v>3722</v>
      </c>
      <c r="K12" s="113">
        <f>'All Minorities'!G11</f>
        <v>1.2280244485595828</v>
      </c>
      <c r="L12"/>
      <c r="N12" s="1">
        <f>'Black or African-American'!L11</f>
        <v>1</v>
      </c>
      <c r="O12" s="1">
        <f>Hispanic!L11</f>
        <v>1</v>
      </c>
      <c r="P12" s="1">
        <f>Asian!L11</f>
        <v>2</v>
      </c>
      <c r="Q12" s="1">
        <f>Hawaiian!L11</f>
        <v>119</v>
      </c>
      <c r="R12" s="1">
        <f>'Am Indian'!L11</f>
        <v>101</v>
      </c>
      <c r="S12" s="1">
        <f>'Other - Mixed'!L11</f>
        <v>101</v>
      </c>
      <c r="T12" s="1">
        <f>'All Minorities'!L11</f>
        <v>1</v>
      </c>
    </row>
    <row r="13" spans="2:30" s="1" customFormat="1" ht="15" customHeight="1">
      <c r="B13" s="119" t="s">
        <v>22</v>
      </c>
      <c r="C13" s="101">
        <f>'Data Entry'!C12</f>
        <v>2346</v>
      </c>
      <c r="D13" s="106">
        <f>'Data Entry'!D12</f>
        <v>1553</v>
      </c>
      <c r="E13" s="107">
        <f>'Black or African-American'!$G12</f>
        <v>0.8071930056772656</v>
      </c>
      <c r="F13" s="108">
        <f>'Data Entry'!E12</f>
        <v>208</v>
      </c>
      <c r="G13" s="107">
        <f>Hispanic!G12</f>
        <v>0.94676019403438982</v>
      </c>
      <c r="H13" s="108">
        <f>'Data Entry'!F12</f>
        <v>16</v>
      </c>
      <c r="I13" s="107">
        <f>Asian!G12</f>
        <v>0.65544936510073148</v>
      </c>
      <c r="J13" s="108">
        <f>'Data Entry'!J12</f>
        <v>1972</v>
      </c>
      <c r="K13" s="109">
        <f>'All Minorities'!G12</f>
        <v>0.82477084939529166</v>
      </c>
      <c r="L13"/>
      <c r="N13" s="1">
        <f>'Black or African-American'!L12</f>
        <v>1</v>
      </c>
      <c r="O13" s="1">
        <f>Hispanic!L12</f>
        <v>2</v>
      </c>
      <c r="P13" s="1">
        <f>Asian!L12</f>
        <v>1</v>
      </c>
      <c r="Q13" s="1">
        <f>Hawaiian!L12</f>
        <v>139</v>
      </c>
      <c r="R13" s="1">
        <f>'Am Indian'!L12</f>
        <v>101</v>
      </c>
      <c r="S13" s="1">
        <f>'Other - Mixed'!L12</f>
        <v>100</v>
      </c>
      <c r="T13" s="1">
        <f>'All Minorities'!L12</f>
        <v>1</v>
      </c>
      <c r="W13" s="8"/>
      <c r="X13" s="8"/>
      <c r="Y13" s="8"/>
      <c r="Z13" s="8"/>
      <c r="AA13" s="8"/>
      <c r="AB13" s="8"/>
      <c r="AC13" s="8"/>
      <c r="AD13" s="8"/>
    </row>
    <row r="14" spans="2:30" s="1" customFormat="1" ht="15" customHeight="1">
      <c r="B14" s="119" t="s">
        <v>72</v>
      </c>
      <c r="C14" s="101">
        <f>'Data Entry'!C13</f>
        <v>1965</v>
      </c>
      <c r="D14" s="110">
        <f>'Data Entry'!D13</f>
        <v>1093</v>
      </c>
      <c r="E14" s="111">
        <f>'Black or African-American'!$G13</f>
        <v>0.84026090846084656</v>
      </c>
      <c r="F14" s="112">
        <f>'Data Entry'!E13</f>
        <v>212</v>
      </c>
      <c r="G14" s="111">
        <f>Hispanic!G13</f>
        <v>1.216852613035819</v>
      </c>
      <c r="H14" s="112">
        <f>'Data Entry'!F13</f>
        <v>15</v>
      </c>
      <c r="I14" s="111" t="str">
        <f>Asian!G13</f>
        <v>**</v>
      </c>
      <c r="J14" s="112">
        <f>'Data Entry'!J13</f>
        <v>1504</v>
      </c>
      <c r="K14" s="113">
        <f>'All Minorities'!G13</f>
        <v>0.91055540931824164</v>
      </c>
      <c r="L14"/>
      <c r="N14" s="1">
        <f>'Black or African-American'!L13</f>
        <v>1</v>
      </c>
      <c r="O14" s="1">
        <f>Hispanic!L13</f>
        <v>1</v>
      </c>
      <c r="P14" s="1">
        <f>Asian!L13</f>
        <v>40</v>
      </c>
      <c r="Q14" s="1">
        <f>Hawaiian!L13</f>
        <v>119</v>
      </c>
      <c r="R14" s="1">
        <f>'Am Indian'!L13</f>
        <v>100</v>
      </c>
      <c r="S14" s="1">
        <f>'Other - Mixed'!L13</f>
        <v>100</v>
      </c>
      <c r="T14" s="1">
        <f>'All Minorities'!L13</f>
        <v>1</v>
      </c>
      <c r="W14" s="8"/>
      <c r="X14" s="8"/>
      <c r="Y14" s="8"/>
      <c r="Z14" s="8"/>
      <c r="AA14" s="8"/>
      <c r="AB14" s="8"/>
      <c r="AC14" s="8"/>
      <c r="AD14" s="8"/>
    </row>
    <row r="15" spans="2:30" s="1" customFormat="1" ht="33">
      <c r="B15" s="124" t="s">
        <v>24</v>
      </c>
      <c r="C15" s="101">
        <f>'Data Entry'!C14</f>
        <v>551</v>
      </c>
      <c r="D15" s="106">
        <f>'Data Entry'!D14</f>
        <v>245</v>
      </c>
      <c r="E15" s="107">
        <f>'Black or African-American'!$G14</f>
        <v>0.67169333285029975</v>
      </c>
      <c r="F15" s="108">
        <f>'Data Entry'!E14</f>
        <v>27</v>
      </c>
      <c r="G15" s="107">
        <f>Hispanic!G14</f>
        <v>0.55268393131369531</v>
      </c>
      <c r="H15" s="108">
        <f>'Data Entry'!F14</f>
        <v>4</v>
      </c>
      <c r="I15" s="107" t="str">
        <f>Asian!G14</f>
        <v>**</v>
      </c>
      <c r="J15" s="108">
        <f>'Data Entry'!J14</f>
        <v>307</v>
      </c>
      <c r="K15" s="109">
        <f>'All Minorities'!G14</f>
        <v>0.66283872582764891</v>
      </c>
      <c r="L15"/>
      <c r="N15" s="1">
        <f>'Black or African-American'!L14</f>
        <v>1</v>
      </c>
      <c r="O15" s="1">
        <f>Hispanic!L14</f>
        <v>1</v>
      </c>
      <c r="P15" s="1">
        <f>Asian!L14</f>
        <v>40</v>
      </c>
      <c r="Q15" s="1">
        <f>Hawaiian!L14</f>
        <v>139</v>
      </c>
      <c r="R15" s="1">
        <f>'Am Indian'!L14</f>
        <v>101</v>
      </c>
      <c r="S15" s="1">
        <f>'Other - Mixed'!L14</f>
        <v>100</v>
      </c>
      <c r="T15" s="1">
        <f>'All Minorities'!L14</f>
        <v>1</v>
      </c>
      <c r="W15" s="8"/>
      <c r="X15" s="8"/>
      <c r="Y15" s="8"/>
      <c r="Z15" s="8"/>
      <c r="AA15" s="8"/>
      <c r="AB15" s="8"/>
      <c r="AC15" s="8"/>
      <c r="AD15" s="8"/>
    </row>
    <row r="16" spans="2:30" s="1" customFormat="1" ht="15" customHeight="1">
      <c r="B16" s="119" t="s">
        <v>25</v>
      </c>
      <c r="C16" s="101">
        <f>'Data Entry'!C15</f>
        <v>3</v>
      </c>
      <c r="D16" s="114">
        <f>'Data Entry'!D15</f>
        <v>47</v>
      </c>
      <c r="E16" s="115" t="str">
        <f>'Black or African-American'!$G15</f>
        <v>**</v>
      </c>
      <c r="F16" s="116">
        <f>'Data Entry'!E15</f>
        <v>0</v>
      </c>
      <c r="G16" s="115" t="str">
        <f>Hispanic!G15</f>
        <v>**</v>
      </c>
      <c r="H16" s="116">
        <f>'Data Entry'!F15</f>
        <v>0</v>
      </c>
      <c r="I16" s="115" t="str">
        <f>Asian!G15</f>
        <v>**</v>
      </c>
      <c r="J16" s="116">
        <f>'Data Entry'!J15</f>
        <v>49</v>
      </c>
      <c r="K16" s="117" t="str">
        <f>'All Minorities'!G15</f>
        <v>**</v>
      </c>
      <c r="L16"/>
      <c r="N16" s="1">
        <f>'Black or African-American'!L15</f>
        <v>20</v>
      </c>
      <c r="O16" s="1">
        <f>Hispanic!L15</f>
        <v>40</v>
      </c>
      <c r="P16" s="1">
        <f>Asian!L15</f>
        <v>40</v>
      </c>
      <c r="Q16" s="1">
        <f>Hawaiian!L15</f>
        <v>139</v>
      </c>
      <c r="R16" s="1">
        <f>'Am Indian'!L15</f>
        <v>139</v>
      </c>
      <c r="S16" s="1">
        <f>'Other - Mixed'!L15</f>
        <v>119</v>
      </c>
      <c r="T16" s="1">
        <f>'All Minorities'!L15</f>
        <v>20</v>
      </c>
      <c r="W16" s="8"/>
      <c r="X16" s="8"/>
      <c r="Y16" s="8"/>
      <c r="Z16" s="8"/>
      <c r="AA16" s="8"/>
      <c r="AB16" s="8"/>
      <c r="AC16" s="8"/>
      <c r="AD16" s="8"/>
    </row>
    <row r="17" spans="2:30" s="1" customFormat="1" ht="15" customHeight="1" thickBot="1">
      <c r="B17" s="125" t="s">
        <v>54</v>
      </c>
      <c r="C17" s="96" t="str">
        <f>'Data Entry'!C16</f>
        <v>Yes</v>
      </c>
      <c r="D17" s="127"/>
      <c r="E17" s="136" t="str">
        <f>'Data Entry'!$D$16</f>
        <v>Yes</v>
      </c>
      <c r="F17" s="127"/>
      <c r="G17" s="136" t="str">
        <f>'Data Entry'!$E$16</f>
        <v>Yes</v>
      </c>
      <c r="H17" s="127"/>
      <c r="I17" s="136" t="str">
        <f>'Data Entry'!F16</f>
        <v>Yes</v>
      </c>
      <c r="J17" s="127"/>
      <c r="K17" s="135" t="str">
        <f>'Data Entry'!J16</f>
        <v>Yes</v>
      </c>
      <c r="L17"/>
      <c r="W17" s="8"/>
      <c r="X17" s="8"/>
      <c r="Y17" s="8"/>
      <c r="Z17" s="8"/>
      <c r="AA17" s="8"/>
      <c r="AB17" s="8"/>
      <c r="AC17" s="8"/>
      <c r="AD17" s="8"/>
    </row>
    <row r="18" spans="2:30" ht="15" customHeight="1" thickTop="1" thickBot="1">
      <c r="B18" s="91"/>
      <c r="C18" s="91"/>
      <c r="D18" s="91"/>
      <c r="E18" s="91"/>
      <c r="F18" s="91"/>
      <c r="G18" s="91"/>
      <c r="H18" s="91"/>
      <c r="I18" s="91"/>
      <c r="J18" s="91"/>
      <c r="K18" s="91"/>
      <c r="W18" s="8"/>
      <c r="X18" s="8"/>
      <c r="Y18" s="8"/>
      <c r="Z18" s="8"/>
      <c r="AA18" s="8"/>
      <c r="AB18" s="8"/>
      <c r="AC18" s="8"/>
      <c r="AD18" s="8"/>
    </row>
    <row r="19" spans="2:30" ht="18" customHeight="1" thickBot="1">
      <c r="B19" s="181" t="s">
        <v>73</v>
      </c>
      <c r="C19" s="182"/>
      <c r="D19" s="182"/>
      <c r="E19" s="182"/>
      <c r="F19" s="182"/>
      <c r="G19" s="182"/>
      <c r="H19" s="182"/>
      <c r="I19" s="202"/>
      <c r="J19" s="203"/>
      <c r="K19" s="204"/>
    </row>
    <row r="20" spans="2:30" ht="15.75">
      <c r="B20" s="151" t="s">
        <v>57</v>
      </c>
      <c r="C20" s="205" t="s">
        <v>58</v>
      </c>
      <c r="D20" s="206"/>
      <c r="E20" s="207" t="s">
        <v>59</v>
      </c>
      <c r="F20" s="208"/>
      <c r="G20" s="208"/>
      <c r="H20" s="208"/>
      <c r="I20" s="208"/>
      <c r="J20" s="208"/>
      <c r="K20" s="152" t="s">
        <v>60</v>
      </c>
    </row>
    <row r="21" spans="2:30" ht="15" customHeight="1">
      <c r="B21" s="153" t="s">
        <v>74</v>
      </c>
      <c r="C21" s="209" t="s">
        <v>62</v>
      </c>
      <c r="D21" s="210"/>
      <c r="E21" s="211" t="s">
        <v>63</v>
      </c>
      <c r="F21" s="212"/>
      <c r="G21" s="212"/>
      <c r="H21" s="212"/>
      <c r="I21" s="212"/>
      <c r="J21" s="212"/>
      <c r="K21" s="154" t="s">
        <v>64</v>
      </c>
    </row>
    <row r="22" spans="2:30" ht="15" customHeight="1" thickBot="1">
      <c r="B22" s="213"/>
      <c r="C22" s="214"/>
      <c r="D22" s="215"/>
      <c r="E22" s="216" t="s">
        <v>65</v>
      </c>
      <c r="F22" s="217"/>
      <c r="G22" s="217"/>
      <c r="H22" s="217"/>
      <c r="I22" s="217"/>
      <c r="J22" s="217"/>
      <c r="K22" s="155" t="s">
        <v>66</v>
      </c>
    </row>
    <row r="23" spans="2:30" ht="15" customHeight="1">
      <c r="B23" s="91"/>
      <c r="C23" s="91"/>
      <c r="D23" s="91"/>
      <c r="E23"/>
      <c r="F23"/>
      <c r="G23"/>
      <c r="H23"/>
      <c r="J23"/>
      <c r="K23"/>
    </row>
    <row r="24" spans="2:30" ht="15" customHeight="1">
      <c r="B24" s="91"/>
      <c r="C24" s="91"/>
      <c r="D24" s="91"/>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2.Arrest: Michigan State Police</v>
      </c>
      <c r="I26" s="94"/>
    </row>
    <row r="27" spans="2:30" ht="12.75" customHeight="1">
      <c r="B27" s="1" t="str">
        <f>'Data Entry'!A20</f>
        <v>Item 3.Referral: State Court Administrative Office</v>
      </c>
      <c r="E27" s="1" t="str">
        <f>'Data Entry'!D20</f>
        <v>Item 4.Diversion: State Court Administrative Office</v>
      </c>
      <c r="I27" s="94"/>
    </row>
    <row r="28" spans="2:30" ht="12.75" customHeight="1">
      <c r="B28" s="1" t="str">
        <f>'Data Entry'!A21</f>
        <v>Item 5.Detention: State Court Administrative Office</v>
      </c>
      <c r="E28" s="1" t="str">
        <f>'Data Entry'!D21</f>
        <v>Item 6.Petitioned: State Court Administrative Office</v>
      </c>
      <c r="I28" s="94"/>
    </row>
    <row r="29" spans="2:30" ht="12.75" customHeight="1">
      <c r="B29" s="1" t="str">
        <f>'Data Entry'!A22</f>
        <v>Item 7.Delinquent: State Court Administrative Office</v>
      </c>
      <c r="E29" s="1" t="str">
        <f>'Data Entry'!D22</f>
        <v>Item 8.Probation: State Court Administrative Office</v>
      </c>
      <c r="I29" s="94"/>
    </row>
    <row r="30" spans="2:30" ht="12.75" customHeight="1">
      <c r="B30" s="1" t="str">
        <f>'Data Entry'!A23</f>
        <v>Item 9.Confinement: State Court Administrative Office</v>
      </c>
      <c r="E30" s="1" t="str">
        <f>'Data Entry'!D23</f>
        <v>Item 10.Transferred: State Court Administrative Office</v>
      </c>
      <c r="I30" s="94"/>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oddHeader>&amp;C&amp;"Calibri"&amp;10&amp;K000000 MPHI Internal Use Only&amp;1#_x000D_</oddHeader>
    <oddFooter>&amp;C_x000D_&amp;1#&amp;"Calibri"&amp;10&amp;K000000 MPHI 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W3" sqref="W3"/>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75</v>
      </c>
      <c r="D1" s="20" t="s">
        <v>76</v>
      </c>
      <c r="E1" s="14"/>
      <c r="F1" s="189" t="str">
        <f>'Data Entry'!D5</f>
        <v>Black or African American</v>
      </c>
      <c r="G1" s="189"/>
      <c r="H1" s="189"/>
      <c r="I1" s="189"/>
      <c r="J1" s="189"/>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All Reporting Counties</v>
      </c>
      <c r="C3" s="22"/>
      <c r="D3" s="22"/>
      <c r="E3" s="22"/>
      <c r="F3" s="22"/>
      <c r="G3" s="7"/>
      <c r="H3" s="7"/>
      <c r="I3" s="7"/>
      <c r="J3" s="7"/>
      <c r="K3" s="7"/>
      <c r="N3" s="188" t="s">
        <v>77</v>
      </c>
      <c r="O3" s="188"/>
      <c r="P3" s="188"/>
      <c r="Q3" s="188"/>
      <c r="R3" s="188"/>
      <c r="S3" s="188"/>
      <c r="T3" s="188"/>
      <c r="U3" s="188"/>
    </row>
    <row r="4" spans="2:21" ht="8.25" customHeight="1">
      <c r="B4" s="4"/>
      <c r="C4" s="23"/>
      <c r="D4" s="23"/>
      <c r="E4" s="23"/>
      <c r="F4" s="23"/>
      <c r="G4" s="8"/>
      <c r="H4" s="8"/>
      <c r="I4" s="8"/>
      <c r="N4" s="188"/>
      <c r="O4" s="188"/>
      <c r="P4" s="188"/>
      <c r="Q4" s="188"/>
      <c r="R4" s="188"/>
      <c r="S4" s="188"/>
      <c r="T4" s="188"/>
      <c r="U4" s="188"/>
    </row>
    <row r="5" spans="2:21" ht="66.75" customHeight="1">
      <c r="B5" s="24" t="s">
        <v>78</v>
      </c>
      <c r="C5" s="25" t="s">
        <v>79</v>
      </c>
      <c r="D5" s="26" t="s">
        <v>80</v>
      </c>
      <c r="E5" s="25" t="s">
        <v>81</v>
      </c>
      <c r="F5" s="25" t="s">
        <v>82</v>
      </c>
      <c r="G5" s="27" t="s">
        <v>83</v>
      </c>
      <c r="H5" s="25"/>
      <c r="I5" s="25"/>
      <c r="J5" s="25" t="s">
        <v>84</v>
      </c>
      <c r="K5" s="28" t="s">
        <v>85</v>
      </c>
      <c r="L5" s="8" t="s">
        <v>86</v>
      </c>
      <c r="M5" s="8" t="s">
        <v>87</v>
      </c>
      <c r="N5" s="29" t="s">
        <v>88</v>
      </c>
      <c r="O5" s="21" t="s">
        <v>89</v>
      </c>
      <c r="P5" s="21" t="s">
        <v>90</v>
      </c>
      <c r="Q5" s="21" t="s">
        <v>91</v>
      </c>
      <c r="R5" s="21" t="s">
        <v>92</v>
      </c>
      <c r="S5" s="30" t="s">
        <v>93</v>
      </c>
      <c r="T5" s="30" t="s">
        <v>94</v>
      </c>
      <c r="U5" s="31" t="s">
        <v>95</v>
      </c>
    </row>
    <row r="6" spans="2:21" ht="20.25" customHeight="1">
      <c r="B6" s="32" t="str">
        <f>'Data Entry'!A6</f>
        <v xml:space="preserve">1. Population at Risk (age 10-17) </v>
      </c>
      <c r="C6" s="33">
        <f>'Data Entry'!C6</f>
        <v>679737</v>
      </c>
      <c r="D6" s="34"/>
      <c r="E6" s="33">
        <f>'Data Entry'!D6</f>
        <v>175028</v>
      </c>
      <c r="F6" s="34"/>
      <c r="G6" s="35"/>
      <c r="H6" s="36"/>
      <c r="I6" s="37"/>
      <c r="J6" s="38"/>
      <c r="K6" s="37"/>
      <c r="L6" s="1">
        <f>IF( ('Data Entry'!D6&gt;('Data Entry'!B6/100)),1,100)</f>
        <v>1</v>
      </c>
      <c r="M6" s="1" t="s">
        <v>96</v>
      </c>
      <c r="N6" s="21"/>
      <c r="O6" s="21"/>
      <c r="P6" s="21"/>
      <c r="Q6" s="21"/>
      <c r="R6" s="21"/>
      <c r="S6" s="30"/>
      <c r="T6" s="30"/>
      <c r="U6" s="31"/>
    </row>
    <row r="7" spans="2:21" ht="18" customHeight="1">
      <c r="B7" s="32" t="str">
        <f>'Data Entry'!A7</f>
        <v>2. Juvenile Arrests</v>
      </c>
      <c r="C7" s="33">
        <f>'Data Entry'!C7</f>
        <v>4522</v>
      </c>
      <c r="D7" s="34">
        <f>IF((AND(C66&gt;0,C7&gt;0)),(C7/C66),0)</f>
        <v>6.6525729804321383</v>
      </c>
      <c r="E7" s="33">
        <f>'Data Entry'!D7</f>
        <v>4423</v>
      </c>
      <c r="F7" s="34">
        <f>IF((AND($E$7&gt;0,$D$66&gt;0)),($E$7/$D$66),0)</f>
        <v>25.270242475489638</v>
      </c>
      <c r="G7" s="39">
        <f>IF(L$6=100,"*",IF(M7=FALSE,"--",IF(K7=20,"**",($F7/$D7))))</f>
        <v>3.7985667424948915</v>
      </c>
      <c r="H7" s="40"/>
      <c r="I7" s="41"/>
      <c r="J7" s="40">
        <f>IF((ABS($U7)&gt;Defaults!D$7),1,2)</f>
        <v>1</v>
      </c>
      <c r="K7" s="39">
        <f>IF((AND(N7&gt;Defaults!B$12,(N7+O7)&gt;Defaults!B$13, P7 &gt; Defaults!B$12, (P7+Q7) &gt; Defaults!B$13)),1,20)</f>
        <v>1</v>
      </c>
      <c r="L7" s="1">
        <f>(J7*K7+L$6)-1</f>
        <v>1</v>
      </c>
      <c r="M7" s="1" t="b">
        <f t="shared" ref="M7:M15" si="0">(ISNUMBER(J7))</f>
        <v>1</v>
      </c>
      <c r="N7" s="42">
        <f t="shared" ref="N7:N15" si="1">E7</f>
        <v>4423</v>
      </c>
      <c r="O7" s="42">
        <f>E6-E7</f>
        <v>170605</v>
      </c>
      <c r="P7" s="42">
        <f t="shared" ref="P7:P15" si="2">C7</f>
        <v>4522</v>
      </c>
      <c r="Q7" s="42">
        <f>C6-C7</f>
        <v>675215</v>
      </c>
      <c r="R7" s="42">
        <f t="shared" ref="R7:R15" si="3">SUM(N7:Q7)</f>
        <v>854765</v>
      </c>
      <c r="S7" s="30">
        <f t="shared" ref="S7:S15" si="4">R7*((((N7*Q7)-(O7*P7))^2))</f>
        <v>4.1936699233172241E+24</v>
      </c>
      <c r="T7" s="30">
        <f t="shared" ref="T7:T15" si="5">(N7+O7)*(P7+Q7)*(N7+P7)*(O7+Q7)</f>
        <v>9.0013310765560614E+20</v>
      </c>
      <c r="U7" s="31">
        <f t="shared" ref="U7:U15" si="6">IF((S7&gt;0),S7/T7,"- -")</f>
        <v>4658.944202418711</v>
      </c>
    </row>
    <row r="8" spans="2:21" ht="18" customHeight="1">
      <c r="B8" s="32" t="str">
        <f>'Data Entry'!A8</f>
        <v>3. Refer to Juvenile Court</v>
      </c>
      <c r="C8" s="33">
        <f>'Data Entry'!C8</f>
        <v>7285</v>
      </c>
      <c r="D8" s="34">
        <f>IF((AND(C67&gt;0,C8&gt;0)),(C8/C67),0)</f>
        <v>161.10128261831048</v>
      </c>
      <c r="E8" s="33">
        <f>'Data Entry'!D8</f>
        <v>4756</v>
      </c>
      <c r="F8" s="34">
        <f>IF((AND($E$8&gt;0,$D$67&gt;0)),($E8/$D67),0)</f>
        <v>107.5288265882885</v>
      </c>
      <c r="G8" s="39">
        <f t="shared" ref="G8:G15" si="7">IF(L$6=100,"*",IF(M8=FALSE,"--",IF(K8=20,"**",($F8/$D8))))</f>
        <v>0.66746102104631511</v>
      </c>
      <c r="H8" s="40"/>
      <c r="I8" s="41"/>
      <c r="J8" s="40">
        <f>IF((ABS($U8)&gt;Defaults!D$7),1,2)</f>
        <v>1</v>
      </c>
      <c r="K8" s="39">
        <f>IF((AND(N8&gt;Defaults!B$12,(N8+O8)&gt;Defaults!B$13, P8 &gt; Defaults!B$12, (P8+Q8) &gt; Defaults!B$13)),1,20)</f>
        <v>1</v>
      </c>
      <c r="L8" s="1">
        <f t="shared" ref="L8:L15" si="8">(J8*K8+L$6)-1</f>
        <v>1</v>
      </c>
      <c r="M8" s="1" t="b">
        <f t="shared" si="0"/>
        <v>1</v>
      </c>
      <c r="N8" s="42">
        <f t="shared" si="1"/>
        <v>4756</v>
      </c>
      <c r="O8" s="42">
        <f>((D67*L67)-E8)+0.05</f>
        <v>-332.95</v>
      </c>
      <c r="P8" s="42">
        <f t="shared" si="2"/>
        <v>7285</v>
      </c>
      <c r="Q8" s="42">
        <f>(C$67*L67)-C8</f>
        <v>-2763</v>
      </c>
      <c r="R8" s="42">
        <f t="shared" si="3"/>
        <v>8945.0499999999993</v>
      </c>
      <c r="S8" s="30">
        <f t="shared" si="4"/>
        <v>1.0270472125724047E+18</v>
      </c>
      <c r="T8" s="30">
        <f t="shared" si="5"/>
        <v>-745605153968469.75</v>
      </c>
      <c r="U8" s="31">
        <f t="shared" si="6"/>
        <v>-1377.4679629103484</v>
      </c>
    </row>
    <row r="9" spans="2:21" ht="18" customHeight="1">
      <c r="B9" s="32" t="str">
        <f>'Data Entry'!A9</f>
        <v xml:space="preserve">4. Cases Diverted </v>
      </c>
      <c r="C9" s="33">
        <f>'Data Entry'!C9</f>
        <v>1889</v>
      </c>
      <c r="D9" s="34">
        <f>IF((AND(C68&gt;0,C9&gt;0)),((C9/C68)),0)</f>
        <v>25.92999313658202</v>
      </c>
      <c r="E9" s="33">
        <f>'Data Entry'!D9</f>
        <v>1459</v>
      </c>
      <c r="F9" s="34">
        <f>IF((AND($E$9&gt;0,$D$68&gt;0)),(($E$9/$D$68)),0)</f>
        <v>30.677039529015978</v>
      </c>
      <c r="G9" s="39">
        <f t="shared" si="7"/>
        <v>1.1830716409152005</v>
      </c>
      <c r="H9" s="40"/>
      <c r="I9" s="41"/>
      <c r="J9" s="40">
        <f>IF((ABS($U9)&gt;Defaults!D$7),1,2)</f>
        <v>1</v>
      </c>
      <c r="K9" s="39">
        <f>IF((AND(N9&gt;Defaults!B$12,(N9+O9)&gt;Defaults!B$13, P9 &gt; Defaults!B$12, (P9+Q9) &gt; Defaults!B$13)),1,20)</f>
        <v>1</v>
      </c>
      <c r="L9" s="1">
        <f t="shared" si="8"/>
        <v>1</v>
      </c>
      <c r="M9" s="1" t="b">
        <f t="shared" si="0"/>
        <v>1</v>
      </c>
      <c r="N9" s="42">
        <f t="shared" si="1"/>
        <v>1459</v>
      </c>
      <c r="O9" s="42">
        <f>(D$68*L68)-E9</f>
        <v>3297</v>
      </c>
      <c r="P9" s="42">
        <f t="shared" si="2"/>
        <v>1889</v>
      </c>
      <c r="Q9" s="42">
        <f>(C$68*L68)-C9</f>
        <v>5395.9999999999991</v>
      </c>
      <c r="R9" s="42">
        <f t="shared" si="3"/>
        <v>12041</v>
      </c>
      <c r="S9" s="30">
        <f t="shared" si="4"/>
        <v>3.2572591490888764E+16</v>
      </c>
      <c r="T9" s="30">
        <f t="shared" si="5"/>
        <v>1008385358023439.8</v>
      </c>
      <c r="U9" s="31">
        <f t="shared" si="6"/>
        <v>32.301729920727013</v>
      </c>
    </row>
    <row r="10" spans="2:21" ht="18" customHeight="1">
      <c r="B10" s="32" t="str">
        <f>'Data Entry'!A10</f>
        <v>5. Cases Involving Secure Detention</v>
      </c>
      <c r="C10" s="33">
        <f>'Data Entry'!C10</f>
        <v>865</v>
      </c>
      <c r="D10" s="34">
        <f>IF(((AND(C68&gt;0,C10&gt;0))),(C10/(C68)),0)</f>
        <v>11.873713109128348</v>
      </c>
      <c r="E10" s="33">
        <f>'Data Entry'!D10</f>
        <v>1373</v>
      </c>
      <c r="F10" s="34">
        <f>IF(((AND($E$10&gt;0,$D$68&gt;0))),($E$10/($D$68)),0)</f>
        <v>28.868797308662739</v>
      </c>
      <c r="G10" s="39">
        <f t="shared" si="7"/>
        <v>2.4313200970359308</v>
      </c>
      <c r="H10" s="40"/>
      <c r="I10" s="41"/>
      <c r="J10" s="40">
        <f>IF((ABS($U10)&gt;Defaults!D$7),1,2)</f>
        <v>1</v>
      </c>
      <c r="K10" s="39">
        <f>IF((AND(N10&gt;Defaults!B$12,(N10+O10)&gt;Defaults!B$13, P10 &gt; Defaults!B$12, (P10+Q10) &gt; Defaults!B$13)),1,20)</f>
        <v>1</v>
      </c>
      <c r="L10" s="1">
        <f t="shared" si="8"/>
        <v>1</v>
      </c>
      <c r="M10" s="1" t="b">
        <f t="shared" si="0"/>
        <v>1</v>
      </c>
      <c r="N10" s="42">
        <f t="shared" si="1"/>
        <v>1373</v>
      </c>
      <c r="O10" s="42">
        <f>(D$68*L68)-E10</f>
        <v>3383</v>
      </c>
      <c r="P10" s="42">
        <f t="shared" si="2"/>
        <v>865</v>
      </c>
      <c r="Q10" s="42">
        <f>(C$68*L68)-C10</f>
        <v>6419.9999999999991</v>
      </c>
      <c r="R10" s="42">
        <f t="shared" si="3"/>
        <v>12041</v>
      </c>
      <c r="S10" s="30">
        <f t="shared" si="4"/>
        <v>4.1749569501600192E+17</v>
      </c>
      <c r="T10" s="30">
        <f t="shared" si="5"/>
        <v>760134574750439.88</v>
      </c>
      <c r="U10" s="31">
        <f t="shared" si="6"/>
        <v>549.23918590740345</v>
      </c>
    </row>
    <row r="11" spans="2:21" ht="18" customHeight="1">
      <c r="B11" s="32" t="str">
        <f>'Data Entry'!A11</f>
        <v>6. Cases Petitioned (Charge Filed)</v>
      </c>
      <c r="C11" s="33">
        <f>'Data Entry'!C11</f>
        <v>3652</v>
      </c>
      <c r="D11" s="34">
        <f>IF(((AND(C68&gt;0,C11&gt;0))),(C11/(C68)),0)</f>
        <v>50.130404941660949</v>
      </c>
      <c r="E11" s="33">
        <f>'Data Entry'!D11</f>
        <v>2995</v>
      </c>
      <c r="F11" s="34">
        <f>IF(((AND($E$11&gt;0,$D$68&gt;0))),($E$11/($D$68)),0)</f>
        <v>62.973086627417999</v>
      </c>
      <c r="G11" s="39">
        <f t="shared" si="7"/>
        <v>1.2561854766723441</v>
      </c>
      <c r="H11" s="40"/>
      <c r="I11" s="41"/>
      <c r="J11" s="40">
        <f>IF((ABS($U11)&gt;Defaults!D$7),1,2)</f>
        <v>1</v>
      </c>
      <c r="K11" s="39">
        <f>IF((AND(N11&gt;Defaults!B$12,(N11+O11)&gt;Defaults!B$13, P11 &gt; Defaults!B$12, (P11+Q11) &gt; Defaults!B$13)),1,20)</f>
        <v>1</v>
      </c>
      <c r="L11" s="1">
        <f t="shared" si="8"/>
        <v>1</v>
      </c>
      <c r="M11" s="1" t="b">
        <f t="shared" si="0"/>
        <v>1</v>
      </c>
      <c r="N11" s="42">
        <f t="shared" si="1"/>
        <v>2995</v>
      </c>
      <c r="O11" s="42">
        <f>(D$68*L68)-E11</f>
        <v>1761</v>
      </c>
      <c r="P11" s="42">
        <f t="shared" si="2"/>
        <v>3652</v>
      </c>
      <c r="Q11" s="42">
        <f>(C$68*L68)-C11</f>
        <v>3632.9999999999991</v>
      </c>
      <c r="R11" s="42">
        <f t="shared" si="3"/>
        <v>12041</v>
      </c>
      <c r="S11" s="30">
        <f t="shared" si="4"/>
        <v>2.3840578929618413E+17</v>
      </c>
      <c r="T11" s="30">
        <f t="shared" si="5"/>
        <v>1242247189748279.5</v>
      </c>
      <c r="U11" s="31">
        <f t="shared" si="6"/>
        <v>191.91493550047238</v>
      </c>
    </row>
    <row r="12" spans="2:21" ht="18" customHeight="1">
      <c r="B12" s="32" t="str">
        <f>'Data Entry'!A12</f>
        <v>7. Cases Resulting in Delinquent Findings</v>
      </c>
      <c r="C12" s="33">
        <f>'Data Entry'!C12</f>
        <v>2346</v>
      </c>
      <c r="D12" s="34">
        <f>IF(((AND(C69&gt;0,C12&gt;0))),(C12/(C69)),0)</f>
        <v>64.238773274917847</v>
      </c>
      <c r="E12" s="33">
        <f>'Data Entry'!D12</f>
        <v>1553</v>
      </c>
      <c r="F12" s="34">
        <f>IF(((AND($D$69&gt;0,$E$12&gt;0))),(E12/(D69)),0)</f>
        <v>51.85308848080134</v>
      </c>
      <c r="G12" s="39">
        <f t="shared" si="7"/>
        <v>0.8071930056772656</v>
      </c>
      <c r="H12" s="40"/>
      <c r="I12" s="41"/>
      <c r="J12" s="40">
        <f>IF((ABS($U12)&gt;Defaults!D$7),1,2)</f>
        <v>1</v>
      </c>
      <c r="K12" s="39">
        <f>IF((AND(N12&gt;Defaults!B$12,(N12+O12)&gt;Defaults!B$13, P12 &gt; Defaults!B$12, (P12+Q12) &gt; Defaults!B$13)),1,20)</f>
        <v>1</v>
      </c>
      <c r="L12" s="1">
        <f t="shared" si="8"/>
        <v>1</v>
      </c>
      <c r="M12" s="1" t="b">
        <f t="shared" si="0"/>
        <v>1</v>
      </c>
      <c r="N12" s="42">
        <f t="shared" si="1"/>
        <v>1553</v>
      </c>
      <c r="O12" s="42">
        <f>(D69*L69)-E12</f>
        <v>1442</v>
      </c>
      <c r="P12" s="42">
        <f t="shared" si="2"/>
        <v>2346</v>
      </c>
      <c r="Q12" s="42">
        <f>(C69*L69)-C12</f>
        <v>1306.0000000000005</v>
      </c>
      <c r="R12" s="42">
        <f t="shared" si="3"/>
        <v>6647</v>
      </c>
      <c r="S12" s="30">
        <f t="shared" si="4"/>
        <v>1.2198906894878E+16</v>
      </c>
      <c r="T12" s="30">
        <f t="shared" si="5"/>
        <v>117191890218480.05</v>
      </c>
      <c r="U12" s="31">
        <f t="shared" si="6"/>
        <v>104.09343916320199</v>
      </c>
    </row>
    <row r="13" spans="2:21" ht="18" customHeight="1">
      <c r="B13" s="32" t="str">
        <f>'Data Entry'!A13</f>
        <v>8. Cases Resulting in Probation Placement</v>
      </c>
      <c r="C13" s="33">
        <f>'Data Entry'!C13</f>
        <v>1965</v>
      </c>
      <c r="D13" s="34">
        <f>IF(((AND(C70&gt;0,C13&gt;0))),(C13/(C70)),0)</f>
        <v>83.759590792838878</v>
      </c>
      <c r="E13" s="33">
        <f>'Data Entry'!D13</f>
        <v>1093</v>
      </c>
      <c r="F13" s="34">
        <f>IF(((AND($D$70&gt;0,$E$13&gt;0))),($E$13/($D$70)),0)</f>
        <v>70.379909851899555</v>
      </c>
      <c r="G13" s="39">
        <f t="shared" si="7"/>
        <v>0.84026090846084656</v>
      </c>
      <c r="H13" s="40"/>
      <c r="I13" s="41"/>
      <c r="J13" s="40">
        <f>IF((ABS($U13)&gt;Defaults!D$7),1,2)</f>
        <v>1</v>
      </c>
      <c r="K13" s="39">
        <f>IF((AND(N13&gt;Defaults!B$12,(N13+O13)&gt;Defaults!B$13, P13 &gt; Defaults!B$12, (P13+Q13) &gt; Defaults!B$13)),1,20)</f>
        <v>1</v>
      </c>
      <c r="L13" s="1">
        <f t="shared" si="8"/>
        <v>1</v>
      </c>
      <c r="M13" s="1" t="b">
        <f t="shared" si="0"/>
        <v>1</v>
      </c>
      <c r="N13" s="42">
        <f t="shared" si="1"/>
        <v>1093</v>
      </c>
      <c r="O13" s="42">
        <f>(D70*L70)-E13</f>
        <v>460</v>
      </c>
      <c r="P13" s="42">
        <f t="shared" si="2"/>
        <v>1965</v>
      </c>
      <c r="Q13" s="42">
        <f>(C70*L70)-C13</f>
        <v>381</v>
      </c>
      <c r="R13" s="42">
        <f t="shared" si="3"/>
        <v>3899</v>
      </c>
      <c r="S13" s="30">
        <f t="shared" si="4"/>
        <v>926496272671011</v>
      </c>
      <c r="T13" s="30">
        <f t="shared" si="5"/>
        <v>9369856514964</v>
      </c>
      <c r="U13" s="31">
        <f t="shared" si="6"/>
        <v>98.880518734877413</v>
      </c>
    </row>
    <row r="14" spans="2:21" ht="30.75" customHeight="1">
      <c r="B14" s="32" t="str">
        <f>'Data Entry'!A14</f>
        <v xml:space="preserve">9. Cases Resulting in Confinement in Secure Juvenile Correctional Facilities </v>
      </c>
      <c r="C14" s="33">
        <f>'Data Entry'!C14</f>
        <v>551</v>
      </c>
      <c r="D14" s="34">
        <f>IF(((AND(C70&gt;0,C14&gt;0))), ((C14/(C70))),0)</f>
        <v>23.486786018755328</v>
      </c>
      <c r="E14" s="33">
        <f>'Data Entry'!D14</f>
        <v>245</v>
      </c>
      <c r="F14" s="34">
        <f>IF(((AND($D$70&gt;0,$E$14&gt;0))), (($E$14/($D$70))),0)</f>
        <v>15.775917578879589</v>
      </c>
      <c r="G14" s="39">
        <f t="shared" si="7"/>
        <v>0.67169333285029975</v>
      </c>
      <c r="H14" s="40"/>
      <c r="I14" s="41"/>
      <c r="J14" s="40">
        <f>IF((ABS($U14)&gt;Defaults!D$7),1,2)</f>
        <v>1</v>
      </c>
      <c r="K14" s="39">
        <f>IF((AND(N14&gt;Defaults!B$12,(N14+O14)&gt;Defaults!B$13, P14 &gt; Defaults!B$12, (P14+Q14) &gt; Defaults!B$13)),1,20)</f>
        <v>1</v>
      </c>
      <c r="L14" s="1">
        <f t="shared" si="8"/>
        <v>1</v>
      </c>
      <c r="M14" s="1" t="b">
        <f t="shared" si="0"/>
        <v>1</v>
      </c>
      <c r="N14" s="42">
        <f t="shared" si="1"/>
        <v>245</v>
      </c>
      <c r="O14" s="42">
        <f>(D70*L70)-E14</f>
        <v>1308</v>
      </c>
      <c r="P14" s="42">
        <f t="shared" si="2"/>
        <v>551</v>
      </c>
      <c r="Q14" s="42">
        <f>(C70*L70)-C14</f>
        <v>1795</v>
      </c>
      <c r="R14" s="42">
        <f t="shared" si="3"/>
        <v>3899</v>
      </c>
      <c r="S14" s="30">
        <f t="shared" si="4"/>
        <v>307722143556611</v>
      </c>
      <c r="T14" s="30">
        <f t="shared" si="5"/>
        <v>8999001139944</v>
      </c>
      <c r="U14" s="31">
        <f t="shared" si="6"/>
        <v>34.195144413386075</v>
      </c>
    </row>
    <row r="15" spans="2:21" ht="15.75" customHeight="1">
      <c r="B15" s="32" t="str">
        <f>'Data Entry'!A15</f>
        <v xml:space="preserve">10. Cases Transferred to Adult Court </v>
      </c>
      <c r="C15" s="33">
        <f>'Data Entry'!C15</f>
        <v>3</v>
      </c>
      <c r="D15" s="34">
        <f>IF(((AND(C69&gt;0,C15&gt;0))),((C15/(C69))),0)</f>
        <v>8.2146768893756841E-2</v>
      </c>
      <c r="E15" s="33">
        <f>'Data Entry'!D15</f>
        <v>47</v>
      </c>
      <c r="F15" s="34">
        <f>IF(((AND($D$69&gt;0,$E$15&gt;0))),(($E$15/($D$69))),0)</f>
        <v>1.5692821368948247</v>
      </c>
      <c r="G15" s="39" t="str">
        <f t="shared" si="7"/>
        <v>**</v>
      </c>
      <c r="H15" s="40"/>
      <c r="I15" s="41"/>
      <c r="J15" s="40">
        <f>IF((ABS($U15)&gt;Defaults!D$7),1,2)</f>
        <v>1</v>
      </c>
      <c r="K15" s="39">
        <f>IF((AND(N15&gt;Defaults!B$12,(N15+O15)&gt;Defaults!B$13, P15 &gt; Defaults!B$12, (P15+Q15) &gt; Defaults!B$13)),1,20)</f>
        <v>20</v>
      </c>
      <c r="L15" s="1">
        <f t="shared" si="8"/>
        <v>20</v>
      </c>
      <c r="M15" s="1" t="b">
        <f t="shared" si="0"/>
        <v>1</v>
      </c>
      <c r="N15" s="42">
        <f t="shared" si="1"/>
        <v>47</v>
      </c>
      <c r="O15" s="42">
        <f>(D69*L69)-E15</f>
        <v>2948</v>
      </c>
      <c r="P15" s="42">
        <f t="shared" si="2"/>
        <v>3</v>
      </c>
      <c r="Q15" s="42">
        <f>(C69*L69)-C15</f>
        <v>3649.0000000000005</v>
      </c>
      <c r="R15" s="42">
        <f t="shared" si="3"/>
        <v>6647</v>
      </c>
      <c r="S15" s="30">
        <f t="shared" si="4"/>
        <v>175865995517807.06</v>
      </c>
      <c r="T15" s="30">
        <f t="shared" si="5"/>
        <v>3607813539000.001</v>
      </c>
      <c r="U15" s="31">
        <f t="shared" si="6"/>
        <v>48.745866053419405</v>
      </c>
    </row>
    <row r="16" spans="2:21" ht="12" customHeight="1">
      <c r="B16" s="43" t="s">
        <v>97</v>
      </c>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56</v>
      </c>
    </row>
    <row r="19" spans="2:21" ht="15" customHeight="1">
      <c r="B19" s="1" t="s">
        <v>98</v>
      </c>
      <c r="D19" s="45" t="s">
        <v>58</v>
      </c>
    </row>
    <row r="20" spans="2:21" ht="15" customHeight="1">
      <c r="B20" s="1" t="s">
        <v>99</v>
      </c>
      <c r="D20" s="1" t="s">
        <v>62</v>
      </c>
    </row>
    <row r="21" spans="2:21" ht="15" customHeight="1">
      <c r="B21" s="1" t="s">
        <v>59</v>
      </c>
      <c r="D21" s="1" t="s">
        <v>60</v>
      </c>
    </row>
    <row r="22" spans="2:21" ht="15" customHeight="1">
      <c r="B22" s="1" t="s">
        <v>63</v>
      </c>
      <c r="D22" s="1" t="s">
        <v>64</v>
      </c>
    </row>
    <row r="23" spans="2:21" ht="15" customHeight="1">
      <c r="B23" s="1" t="s">
        <v>65</v>
      </c>
      <c r="D23" s="1" t="s">
        <v>66</v>
      </c>
    </row>
    <row r="24" spans="2:21" ht="12" customHeight="1">
      <c r="B24" s="43"/>
      <c r="C24" s="44"/>
      <c r="D24" s="44"/>
      <c r="E24" s="44"/>
      <c r="F24" s="44"/>
      <c r="G24" s="44"/>
      <c r="H24" s="44"/>
      <c r="I24" s="44"/>
      <c r="N24" s="21"/>
      <c r="O24" s="21"/>
      <c r="P24" s="21"/>
      <c r="Q24" s="21"/>
      <c r="R24" s="21"/>
      <c r="S24" s="30"/>
      <c r="T24" s="30"/>
      <c r="U24" s="31"/>
    </row>
    <row r="25" spans="2:21" ht="15" customHeight="1">
      <c r="B25" s="46" t="s">
        <v>100</v>
      </c>
      <c r="K25" s="1" t="s">
        <v>101</v>
      </c>
      <c r="L25" s="1" t="s">
        <v>102</v>
      </c>
      <c r="N25" s="21"/>
      <c r="O25" s="21" t="b">
        <f>ISBLANK(N12)</f>
        <v>0</v>
      </c>
      <c r="P25" s="21"/>
      <c r="Q25" s="21"/>
      <c r="R25" s="21"/>
    </row>
    <row r="26" spans="2:21" ht="15" customHeight="1">
      <c r="B26" s="47" t="s">
        <v>103</v>
      </c>
      <c r="F26" s="47" t="s">
        <v>104</v>
      </c>
      <c r="G26" s="47"/>
      <c r="H26" s="47"/>
      <c r="I26" s="47"/>
      <c r="J26" s="47"/>
      <c r="K26" s="48" t="s">
        <v>66</v>
      </c>
      <c r="L26" s="48" t="s">
        <v>105</v>
      </c>
      <c r="M26" s="48"/>
      <c r="R26" s="49"/>
    </row>
    <row r="27" spans="2:21" ht="15" customHeight="1">
      <c r="B27" s="50" t="s">
        <v>106</v>
      </c>
      <c r="C27" s="50"/>
      <c r="D27" s="50"/>
      <c r="E27" s="50"/>
      <c r="F27" s="50" t="str">
        <f>B66</f>
        <v>per 1000 youth</v>
      </c>
      <c r="G27" s="50"/>
      <c r="H27" s="50"/>
      <c r="I27" s="50"/>
      <c r="J27" s="50">
        <f>F66</f>
        <v>0</v>
      </c>
      <c r="K27" s="50" t="s">
        <v>64</v>
      </c>
      <c r="L27" s="51" t="s">
        <v>107</v>
      </c>
      <c r="R27" s="49"/>
    </row>
    <row r="28" spans="2:21" ht="15" customHeight="1">
      <c r="B28" s="50" t="s">
        <v>108</v>
      </c>
      <c r="C28" s="50"/>
      <c r="D28" s="50"/>
      <c r="E28" s="50"/>
      <c r="F28" s="52" t="str">
        <f>B67</f>
        <v>per 100 arrests</v>
      </c>
      <c r="G28" s="52"/>
      <c r="H28" s="52"/>
      <c r="I28" s="52"/>
      <c r="J28" s="52"/>
      <c r="K28" s="52" t="s">
        <v>60</v>
      </c>
      <c r="L28" s="53" t="s">
        <v>109</v>
      </c>
      <c r="R28" s="49"/>
    </row>
    <row r="29" spans="2:21" ht="15" customHeight="1">
      <c r="B29" s="52" t="s">
        <v>110</v>
      </c>
      <c r="C29" s="52"/>
      <c r="D29" s="52"/>
      <c r="E29" s="52"/>
      <c r="F29" s="52" t="str">
        <f>B68</f>
        <v>per 100 referrals</v>
      </c>
      <c r="G29" s="52"/>
      <c r="H29" s="52"/>
      <c r="I29" s="52"/>
      <c r="J29" s="52"/>
      <c r="K29" s="52"/>
      <c r="L29" s="53"/>
      <c r="R29" s="49"/>
    </row>
    <row r="30" spans="2:21" ht="15" customHeight="1">
      <c r="B30" s="52" t="s">
        <v>111</v>
      </c>
      <c r="C30" s="52"/>
      <c r="D30" s="52"/>
      <c r="E30" s="52"/>
      <c r="F30" s="52" t="str">
        <f>B68</f>
        <v>per 100 referrals</v>
      </c>
      <c r="G30" s="52"/>
      <c r="H30" s="52"/>
      <c r="I30" s="52"/>
      <c r="J30" s="52"/>
      <c r="K30" s="52"/>
      <c r="L30" s="53"/>
      <c r="N30" s="1" t="b">
        <f>ISNUMBER(J14)</f>
        <v>1</v>
      </c>
      <c r="R30" s="49"/>
    </row>
    <row r="31" spans="2:21" ht="15" customHeight="1">
      <c r="B31" s="52" t="s">
        <v>112</v>
      </c>
      <c r="C31" s="52"/>
      <c r="D31" s="52"/>
      <c r="E31" s="52"/>
      <c r="F31" s="52" t="str">
        <f>B68</f>
        <v>per 100 referrals</v>
      </c>
      <c r="G31" s="52"/>
      <c r="H31" s="52"/>
      <c r="I31" s="52"/>
      <c r="J31" s="52"/>
      <c r="K31" s="52"/>
      <c r="L31" s="53"/>
      <c r="R31" s="49"/>
    </row>
    <row r="32" spans="2:21" ht="15" customHeight="1">
      <c r="B32" s="52" t="s">
        <v>113</v>
      </c>
      <c r="C32" s="52"/>
      <c r="D32" s="52"/>
      <c r="E32" s="52"/>
      <c r="F32" s="52" t="str">
        <f>B69</f>
        <v>per 100 youth petitioned</v>
      </c>
      <c r="G32" s="52"/>
      <c r="H32" s="52"/>
      <c r="I32" s="52"/>
      <c r="J32" s="52"/>
      <c r="K32" s="52"/>
      <c r="L32" s="53"/>
      <c r="R32" s="49"/>
    </row>
    <row r="33" spans="2:18" ht="15" customHeight="1">
      <c r="B33" s="52" t="s">
        <v>114</v>
      </c>
      <c r="C33" s="52"/>
      <c r="D33" s="52"/>
      <c r="E33" s="52"/>
      <c r="F33" s="52" t="str">
        <f>B70</f>
        <v>per 100 youth found delinquent</v>
      </c>
      <c r="G33" s="52"/>
      <c r="H33" s="52"/>
      <c r="I33" s="52"/>
      <c r="J33" s="52"/>
      <c r="K33" s="52"/>
      <c r="L33" s="53"/>
      <c r="R33" s="49"/>
    </row>
    <row r="34" spans="2:18" ht="15" customHeight="1">
      <c r="B34" s="52" t="s">
        <v>115</v>
      </c>
      <c r="C34" s="52"/>
      <c r="D34" s="52"/>
      <c r="E34" s="52"/>
      <c r="F34" s="52" t="str">
        <f>B70</f>
        <v>per 100 youth found delinquent</v>
      </c>
      <c r="G34" s="52"/>
      <c r="H34" s="52"/>
      <c r="I34" s="52"/>
      <c r="J34" s="52"/>
      <c r="K34" s="52"/>
      <c r="L34" s="53"/>
      <c r="R34" s="49"/>
    </row>
    <row r="35" spans="2:18" ht="15" customHeight="1">
      <c r="B35" s="52" t="s">
        <v>116</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187" t="s">
        <v>117</v>
      </c>
      <c r="C40" s="187"/>
      <c r="D40" s="187"/>
      <c r="E40" s="187"/>
      <c r="F40" s="187"/>
      <c r="G40" s="187"/>
      <c r="H40" s="187"/>
      <c r="I40" s="187"/>
      <c r="J40" s="187"/>
      <c r="K40" s="8"/>
      <c r="R40" s="49"/>
    </row>
    <row r="41" spans="2:18" ht="15" hidden="1" customHeight="1">
      <c r="B41" s="54" t="s">
        <v>118</v>
      </c>
      <c r="C41" s="54" t="s">
        <v>119</v>
      </c>
      <c r="D41" s="55" t="s">
        <v>120</v>
      </c>
      <c r="E41" s="54" t="s">
        <v>121</v>
      </c>
      <c r="G41" s="54" t="s">
        <v>122</v>
      </c>
      <c r="H41" s="54"/>
      <c r="I41" s="54"/>
      <c r="L41" s="1" t="s">
        <v>123</v>
      </c>
      <c r="R41" s="49"/>
    </row>
    <row r="42" spans="2:18" ht="15" hidden="1" customHeight="1">
      <c r="B42" s="49" t="s">
        <v>124</v>
      </c>
      <c r="C42" s="56">
        <f>C6/1000</f>
        <v>679.73699999999997</v>
      </c>
      <c r="D42" s="56">
        <f>E6/1000</f>
        <v>175.02799999999999</v>
      </c>
      <c r="E42" s="56">
        <f>MAX(C42:D42)</f>
        <v>679.73699999999997</v>
      </c>
      <c r="G42" s="1" t="str">
        <f>B42</f>
        <v>per 1000 youth</v>
      </c>
      <c r="L42" s="57">
        <v>1000</v>
      </c>
      <c r="M42" s="57"/>
      <c r="R42" s="49"/>
    </row>
    <row r="43" spans="2:18" ht="15" hidden="1" customHeight="1">
      <c r="B43" s="49" t="s">
        <v>125</v>
      </c>
      <c r="C43" s="56">
        <f>C7/100</f>
        <v>45.22</v>
      </c>
      <c r="D43" s="56">
        <f>E7/100</f>
        <v>44.23</v>
      </c>
      <c r="E43" s="56">
        <f>MAX(C43:D43,0)</f>
        <v>45.22</v>
      </c>
      <c r="G43" s="1" t="str">
        <f>B43</f>
        <v>per 100 arrests</v>
      </c>
      <c r="L43" s="57">
        <v>100</v>
      </c>
      <c r="M43" s="57"/>
      <c r="R43" s="49"/>
    </row>
    <row r="44" spans="2:18" ht="15" hidden="1" customHeight="1">
      <c r="B44" s="49" t="s">
        <v>126</v>
      </c>
      <c r="C44" s="56">
        <f>C8/100</f>
        <v>72.849999999999994</v>
      </c>
      <c r="D44" s="56">
        <f>E8/100</f>
        <v>47.56</v>
      </c>
      <c r="E44" s="56">
        <f>MAX(C44:D44,0)</f>
        <v>72.849999999999994</v>
      </c>
      <c r="G44" s="1" t="str">
        <f>B44</f>
        <v>per 100 referrals</v>
      </c>
      <c r="L44" s="57">
        <v>100</v>
      </c>
      <c r="M44" s="57"/>
      <c r="R44" s="49"/>
    </row>
    <row r="45" spans="2:18" ht="15" hidden="1" customHeight="1">
      <c r="B45" s="49" t="s">
        <v>127</v>
      </c>
      <c r="C45" s="49">
        <f>C11/100</f>
        <v>36.520000000000003</v>
      </c>
      <c r="D45" s="49">
        <f>E11/100</f>
        <v>29.95</v>
      </c>
      <c r="E45" s="56">
        <f>MAX(C45:D45,0)</f>
        <v>36.520000000000003</v>
      </c>
      <c r="G45" s="1" t="str">
        <f>B45</f>
        <v>per 100 youth petitioned</v>
      </c>
      <c r="L45" s="57">
        <v>100</v>
      </c>
      <c r="M45" s="57"/>
      <c r="R45" s="49"/>
    </row>
    <row r="46" spans="2:18" ht="15" hidden="1" customHeight="1">
      <c r="B46" s="49" t="s">
        <v>128</v>
      </c>
      <c r="C46" s="49">
        <f>C12/100</f>
        <v>23.46</v>
      </c>
      <c r="D46" s="49">
        <f>E12/100</f>
        <v>15.53</v>
      </c>
      <c r="E46" s="56">
        <f>MAX(C46:D46)</f>
        <v>23.46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175.02799999999999</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45.22</v>
      </c>
      <c r="D49" s="49">
        <f t="shared" si="9"/>
        <v>44.23</v>
      </c>
      <c r="E49" s="49">
        <f>MAX(C49:D49)</f>
        <v>45.22</v>
      </c>
      <c r="G49" s="1" t="str">
        <f>G43</f>
        <v>per 100 arrests</v>
      </c>
      <c r="L49" s="58">
        <f>IF(($E43&gt;0),L43,L42)</f>
        <v>100</v>
      </c>
      <c r="M49" s="58"/>
      <c r="N49" s="21"/>
      <c r="O49" s="21"/>
      <c r="P49" s="21"/>
      <c r="Q49" s="21"/>
      <c r="R49" s="21"/>
    </row>
    <row r="50" spans="2:18" ht="15" hidden="1" customHeight="1">
      <c r="B50" s="49" t="str">
        <f t="shared" si="9"/>
        <v>per 100 referrals</v>
      </c>
      <c r="C50" s="49">
        <f t="shared" si="9"/>
        <v>72.849999999999994</v>
      </c>
      <c r="D50" s="49">
        <f t="shared" si="9"/>
        <v>47.56</v>
      </c>
      <c r="E50" s="49">
        <f>MAX(C50:D50)</f>
        <v>72.849999999999994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36.520000000000003</v>
      </c>
      <c r="D51" s="49">
        <f>IF(($E45&gt;0),D45,D44)</f>
        <v>29.95</v>
      </c>
      <c r="E51" s="49">
        <f>MAX(C51:D51)</f>
        <v>36.520000000000003</v>
      </c>
      <c r="G51" s="1" t="str">
        <f>G45</f>
        <v>per 100 youth petitioned</v>
      </c>
      <c r="L51" s="58">
        <f>IF(($E45&gt;0),L45,L44)</f>
        <v>100</v>
      </c>
      <c r="M51" s="58"/>
    </row>
    <row r="52" spans="2:18" ht="15" hidden="1" customHeight="1">
      <c r="B52" s="49" t="str">
        <f>IF(($E46&gt;0),B46,B45)</f>
        <v>per 100 youth found delinquent</v>
      </c>
      <c r="C52" s="49">
        <f>IF(($E46&gt;0),C46,C45)</f>
        <v>23.46</v>
      </c>
      <c r="D52" s="49">
        <f>IF(($E46&gt;0),D46,D45)</f>
        <v>15.53</v>
      </c>
      <c r="E52" s="56">
        <f>MAX(C52:D52)</f>
        <v>23.46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175.02799999999999</v>
      </c>
      <c r="E54" s="56">
        <f>MAX(C54:D54)</f>
        <v>679.73699999999997</v>
      </c>
      <c r="G54" s="1" t="str">
        <f>G48</f>
        <v>per 1000 youth</v>
      </c>
      <c r="L54" s="58">
        <f>L48</f>
        <v>1000</v>
      </c>
      <c r="M54" s="58"/>
    </row>
    <row r="55" spans="2:18" ht="15" hidden="1" customHeight="1">
      <c r="B55" s="49" t="str">
        <f t="shared" ref="B55:D56" si="10">IF(($E49&gt;0),B49,B48)</f>
        <v>per 100 arrests</v>
      </c>
      <c r="C55" s="49">
        <f t="shared" si="10"/>
        <v>45.22</v>
      </c>
      <c r="D55" s="49">
        <f t="shared" si="10"/>
        <v>44.23</v>
      </c>
      <c r="E55" s="49">
        <f>MAX(C55:D55)</f>
        <v>45.22</v>
      </c>
      <c r="G55" s="1" t="str">
        <f>G49</f>
        <v>per 100 arrests</v>
      </c>
      <c r="L55" s="58">
        <f>IF(($E49&gt;0),L49,L48)</f>
        <v>100</v>
      </c>
      <c r="M55" s="58"/>
    </row>
    <row r="56" spans="2:18" ht="15" hidden="1" customHeight="1">
      <c r="B56" s="49" t="str">
        <f t="shared" si="10"/>
        <v>per 100 referrals</v>
      </c>
      <c r="C56" s="49">
        <f t="shared" si="10"/>
        <v>72.849999999999994</v>
      </c>
      <c r="D56" s="49">
        <f t="shared" si="10"/>
        <v>47.56</v>
      </c>
      <c r="E56" s="49">
        <f>MAX(C56:D56)</f>
        <v>72.849999999999994</v>
      </c>
      <c r="G56" s="1" t="str">
        <f>G50</f>
        <v>per 100 referrals</v>
      </c>
      <c r="L56" s="58">
        <f>IF(($E50&gt;0),L50,L49)</f>
        <v>100</v>
      </c>
      <c r="M56" s="58"/>
    </row>
    <row r="57" spans="2:18" ht="15" hidden="1" customHeight="1">
      <c r="B57" s="49" t="str">
        <f>IF(($E51&gt;0),B51,B49)</f>
        <v>per 100 youth petitioned</v>
      </c>
      <c r="C57" s="49">
        <f>IF(($E51&gt;0),C51,C50)</f>
        <v>36.520000000000003</v>
      </c>
      <c r="D57" s="49">
        <f>IF(($E51&gt;0),D51,D50)</f>
        <v>29.95</v>
      </c>
      <c r="E57" s="49">
        <f>MAX(C57:D57)</f>
        <v>36.520000000000003</v>
      </c>
      <c r="G57" s="1" t="str">
        <f>G51</f>
        <v>per 100 youth petitioned</v>
      </c>
      <c r="L57" s="58">
        <f>IF(($E51&gt;0),L51,L50)</f>
        <v>100</v>
      </c>
      <c r="M57" s="58"/>
    </row>
    <row r="58" spans="2:18" ht="15" hidden="1" customHeight="1">
      <c r="B58" s="49" t="str">
        <f>IF(($E52&gt;0),B52,B51)</f>
        <v>per 100 youth found delinquent</v>
      </c>
      <c r="C58" s="49">
        <f>IF(($E52&gt;0),C52,C51)</f>
        <v>23.46</v>
      </c>
      <c r="D58" s="49">
        <f>IF(($E52&gt;0),D52,D51)</f>
        <v>15.53</v>
      </c>
      <c r="E58" s="56">
        <f>MAX(C58:D58)</f>
        <v>23.46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175.02799999999999</v>
      </c>
      <c r="E60" s="56">
        <f>MAX(C60:D60)</f>
        <v>679.73699999999997</v>
      </c>
      <c r="G60" s="1" t="str">
        <f>G54</f>
        <v>per 1000 youth</v>
      </c>
      <c r="L60" s="58">
        <f>L54</f>
        <v>1000</v>
      </c>
      <c r="M60" s="58"/>
    </row>
    <row r="61" spans="2:18" ht="15" hidden="1" customHeight="1">
      <c r="B61" s="49" t="str">
        <f t="shared" ref="B61:D62" si="11">IF(($E55&gt;0),B55,B54)</f>
        <v>per 100 arrests</v>
      </c>
      <c r="C61" s="49">
        <f t="shared" si="11"/>
        <v>45.22</v>
      </c>
      <c r="D61" s="49">
        <f t="shared" si="11"/>
        <v>44.23</v>
      </c>
      <c r="E61" s="49">
        <f>MAX(C61:D61)</f>
        <v>45.22</v>
      </c>
      <c r="G61" s="1" t="str">
        <f>G55</f>
        <v>per 100 arrests</v>
      </c>
      <c r="L61" s="58">
        <f>IF(($E55&gt;0),L55,L54)</f>
        <v>100</v>
      </c>
      <c r="M61" s="58"/>
    </row>
    <row r="62" spans="2:18" ht="15" hidden="1" customHeight="1">
      <c r="B62" s="49" t="str">
        <f t="shared" si="11"/>
        <v>per 100 referrals</v>
      </c>
      <c r="C62" s="49">
        <f t="shared" si="11"/>
        <v>72.849999999999994</v>
      </c>
      <c r="D62" s="49">
        <f t="shared" si="11"/>
        <v>47.56</v>
      </c>
      <c r="E62" s="49">
        <f>MAX(C62:D62)</f>
        <v>72.849999999999994</v>
      </c>
      <c r="G62" s="1" t="str">
        <f>G56</f>
        <v>per 100 referrals</v>
      </c>
      <c r="L62" s="58">
        <f>IF(($E56&gt;0),L56,L55)</f>
        <v>100</v>
      </c>
      <c r="M62" s="58"/>
    </row>
    <row r="63" spans="2:18" ht="15" hidden="1" customHeight="1">
      <c r="B63" s="49" t="str">
        <f>IF(($E57&gt;0),B57,B55)</f>
        <v>per 100 youth petitioned</v>
      </c>
      <c r="C63" s="49">
        <f>IF(($E57&gt;0),C57,C56)</f>
        <v>36.520000000000003</v>
      </c>
      <c r="D63" s="49">
        <f>IF(($E57&gt;0),D57,D56)</f>
        <v>29.95</v>
      </c>
      <c r="E63" s="49">
        <f>MAX(C63:D63)</f>
        <v>36.520000000000003</v>
      </c>
      <c r="G63" s="1" t="str">
        <f>G57</f>
        <v>per 100 youth petitioned</v>
      </c>
      <c r="L63" s="58">
        <f>IF(($E57&gt;0),L57,L56)</f>
        <v>100</v>
      </c>
      <c r="M63" s="58"/>
    </row>
    <row r="64" spans="2:18" ht="15" hidden="1" customHeight="1">
      <c r="B64" s="49" t="str">
        <f>IF(($E58&gt;0),B58,B57)</f>
        <v>per 100 youth found delinquent</v>
      </c>
      <c r="C64" s="49">
        <f>IF(($E58&gt;0),C58,C57)</f>
        <v>23.46</v>
      </c>
      <c r="D64" s="49">
        <f>IF(($E58&gt;0),D58,D57)</f>
        <v>15.53</v>
      </c>
      <c r="E64" s="56">
        <f>MAX(C64:D64)</f>
        <v>23.46</v>
      </c>
      <c r="G64" s="1" t="str">
        <f>G58</f>
        <v>per 100 youth found delinquent</v>
      </c>
      <c r="L64" s="58">
        <f>IF(($E58&gt;0),L58,L57)</f>
        <v>100</v>
      </c>
      <c r="M64" s="58"/>
    </row>
    <row r="65" spans="2:13" ht="15" hidden="1" customHeight="1">
      <c r="B65" s="59" t="s">
        <v>129</v>
      </c>
      <c r="L65" s="57"/>
      <c r="M65" s="57"/>
    </row>
    <row r="66" spans="2:13" ht="15" hidden="1" customHeight="1">
      <c r="B66" s="49" t="str">
        <f>B60</f>
        <v>per 1000 youth</v>
      </c>
      <c r="C66" s="56">
        <f>C60</f>
        <v>679.73699999999997</v>
      </c>
      <c r="D66" s="56">
        <f>D60</f>
        <v>175.02799999999999</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45.22</v>
      </c>
      <c r="D67" s="49">
        <f t="shared" si="12"/>
        <v>44.23</v>
      </c>
      <c r="E67" s="49">
        <f>MAX(C67:D67)</f>
        <v>45.22</v>
      </c>
      <c r="G67" s="1" t="str">
        <f>G61</f>
        <v>per 100 arrests</v>
      </c>
      <c r="L67" s="58">
        <f>IF(($E61&gt;0),L61,L60)</f>
        <v>100</v>
      </c>
      <c r="M67" s="58">
        <f>IF((B67=G67),1,2)</f>
        <v>1</v>
      </c>
    </row>
    <row r="68" spans="2:13" ht="15" hidden="1" customHeight="1">
      <c r="B68" s="49" t="str">
        <f t="shared" si="12"/>
        <v>per 100 referrals</v>
      </c>
      <c r="C68" s="49">
        <f t="shared" si="12"/>
        <v>72.849999999999994</v>
      </c>
      <c r="D68" s="49">
        <f t="shared" si="12"/>
        <v>47.56</v>
      </c>
      <c r="E68" s="49">
        <f>MAX(C68:D68)</f>
        <v>72.849999999999994</v>
      </c>
      <c r="G68" s="1" t="str">
        <f>G62</f>
        <v>per 100 referrals</v>
      </c>
      <c r="L68" s="58">
        <f>IF(($E62&gt;0),L62,L61)</f>
        <v>100</v>
      </c>
      <c r="M68" s="58">
        <f>IF((B68=G68),1,2)</f>
        <v>1</v>
      </c>
    </row>
    <row r="69" spans="2:13" ht="15" hidden="1" customHeight="1">
      <c r="B69" s="49" t="str">
        <f>IF(($E63&gt;0),B63,B61)</f>
        <v>per 100 youth petitioned</v>
      </c>
      <c r="C69" s="49">
        <f>IF(($E63&gt;0),C63,C62)</f>
        <v>36.520000000000003</v>
      </c>
      <c r="D69" s="49">
        <f>IF(($E63&gt;0),D63,D62)</f>
        <v>29.95</v>
      </c>
      <c r="E69" s="49">
        <f>MAX(C69:D69)</f>
        <v>36.520000000000003</v>
      </c>
      <c r="G69" s="1" t="str">
        <f>G63</f>
        <v>per 100 youth petitioned</v>
      </c>
      <c r="L69" s="58">
        <f>IF(($E63&gt;0),L63,L62)</f>
        <v>100</v>
      </c>
      <c r="M69" s="58">
        <f>IF((B69=G69),1,2)</f>
        <v>1</v>
      </c>
    </row>
    <row r="70" spans="2:13" ht="15" hidden="1" customHeight="1">
      <c r="B70" s="49" t="str">
        <f>IF(($E64&gt;0),B64,B63)</f>
        <v>per 100 youth found delinquent</v>
      </c>
      <c r="C70" s="49">
        <f>IF(($E64&gt;0),C64,C63)</f>
        <v>23.46</v>
      </c>
      <c r="D70" s="49">
        <f>IF(($E64&gt;0),D64,D63)</f>
        <v>15.53</v>
      </c>
      <c r="E70" s="56">
        <f>MAX(C70:D70)</f>
        <v>23.46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oddHeader>&amp;C&amp;"Calibri"&amp;10&amp;K000000 MPHI Internal Use Only&amp;1#_x000D_</oddHeader>
    <oddFooter>&amp;C_x000D_&amp;1#&amp;"Calibri"&amp;10&amp;K000000 MPHI 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75</v>
      </c>
      <c r="D1" s="20" t="s">
        <v>76</v>
      </c>
      <c r="E1" s="14"/>
      <c r="F1" s="189" t="str">
        <f>'Data Entry'!F5</f>
        <v>Asian</v>
      </c>
      <c r="G1" s="189"/>
      <c r="H1" s="189"/>
      <c r="I1" s="189"/>
      <c r="J1" s="18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188" t="s">
        <v>77</v>
      </c>
      <c r="O3" s="188"/>
      <c r="P3" s="188"/>
      <c r="Q3" s="188"/>
      <c r="R3" s="188"/>
      <c r="S3" s="188"/>
      <c r="T3" s="188"/>
      <c r="U3" s="188"/>
    </row>
    <row r="4" spans="2:21" ht="8.25" customHeight="1">
      <c r="B4" s="4"/>
      <c r="C4" s="23"/>
      <c r="D4" s="23"/>
      <c r="E4" s="23"/>
      <c r="F4" s="23"/>
      <c r="G4" s="8"/>
      <c r="H4" s="8"/>
      <c r="I4" s="8"/>
      <c r="N4" s="188"/>
      <c r="O4" s="188"/>
      <c r="P4" s="188"/>
      <c r="Q4" s="188"/>
      <c r="R4" s="188"/>
      <c r="S4" s="188"/>
      <c r="T4" s="188"/>
      <c r="U4" s="188"/>
    </row>
    <row r="5" spans="2:21" ht="66.75" customHeight="1">
      <c r="B5" s="24" t="s">
        <v>78</v>
      </c>
      <c r="C5" s="25" t="s">
        <v>79</v>
      </c>
      <c r="D5" s="26" t="s">
        <v>80</v>
      </c>
      <c r="E5" s="25" t="s">
        <v>81</v>
      </c>
      <c r="F5" s="25" t="s">
        <v>82</v>
      </c>
      <c r="G5" s="27" t="s">
        <v>83</v>
      </c>
      <c r="H5" s="25"/>
      <c r="I5" s="25"/>
      <c r="J5" s="25" t="s">
        <v>84</v>
      </c>
      <c r="K5" s="28" t="s">
        <v>85</v>
      </c>
      <c r="L5" s="8" t="s">
        <v>86</v>
      </c>
      <c r="M5" s="8" t="s">
        <v>87</v>
      </c>
      <c r="N5" s="29" t="s">
        <v>88</v>
      </c>
      <c r="O5" s="21" t="s">
        <v>89</v>
      </c>
      <c r="P5" s="21" t="s">
        <v>90</v>
      </c>
      <c r="Q5" s="21" t="s">
        <v>91</v>
      </c>
      <c r="R5" s="21" t="s">
        <v>92</v>
      </c>
      <c r="S5" s="30" t="s">
        <v>93</v>
      </c>
      <c r="T5" s="30" t="s">
        <v>94</v>
      </c>
      <c r="U5" s="31" t="s">
        <v>95</v>
      </c>
    </row>
    <row r="6" spans="2:21" ht="20.25" customHeight="1">
      <c r="B6" s="32" t="str">
        <f>'Data Entry'!A6</f>
        <v xml:space="preserve">1. Population at Risk (age 10-17) </v>
      </c>
      <c r="C6" s="33">
        <f>'Data Entry'!C6</f>
        <v>679737</v>
      </c>
      <c r="D6" s="34"/>
      <c r="E6" s="33">
        <f>'Data Entry'!F6</f>
        <v>39232</v>
      </c>
      <c r="F6" s="34"/>
      <c r="G6" s="35"/>
      <c r="H6" s="36"/>
      <c r="I6" s="37"/>
      <c r="J6" s="38"/>
      <c r="K6" s="37"/>
      <c r="L6" s="1">
        <f>IF( ('Data Entry'!F6&gt;('Data Entry'!B6/100)),1,100)</f>
        <v>1</v>
      </c>
      <c r="M6" s="1" t="s">
        <v>96</v>
      </c>
      <c r="N6" s="21"/>
      <c r="O6" s="21"/>
      <c r="P6" s="21"/>
      <c r="Q6" s="21"/>
      <c r="R6" s="21"/>
      <c r="S6" s="30"/>
      <c r="T6" s="30"/>
      <c r="U6" s="31"/>
    </row>
    <row r="7" spans="2:21" ht="18" customHeight="1">
      <c r="B7" s="32" t="str">
        <f>'Data Entry'!A7</f>
        <v>2. Juvenile Arrests</v>
      </c>
      <c r="C7" s="33">
        <f>'Data Entry'!C7</f>
        <v>4522</v>
      </c>
      <c r="D7" s="34">
        <f>IF((AND(C66&gt;0,C7&gt;0)),(C7/C66),0)</f>
        <v>6.6525729804321383</v>
      </c>
      <c r="E7" s="33">
        <f>'Data Entry'!F7</f>
        <v>49</v>
      </c>
      <c r="F7" s="34">
        <f>IF((AND($E$7&gt;0,$D$66&gt;0)),($E$7/$D$66),0)</f>
        <v>1.2489804241435563</v>
      </c>
      <c r="G7" s="39">
        <f t="shared" ref="G7:G15" si="0">IF(L$6=100,"*",IF(M7=FALSE,"--",IF(K7=20,"**",($F7/$D7))))</f>
        <v>0.18774396430032472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49</v>
      </c>
      <c r="O7" s="42">
        <f>E6-E7</f>
        <v>39183</v>
      </c>
      <c r="P7" s="42">
        <f t="shared" ref="P7:P15" si="4">C7</f>
        <v>4522</v>
      </c>
      <c r="Q7" s="42">
        <f>C6-C7</f>
        <v>675215</v>
      </c>
      <c r="R7" s="42">
        <f t="shared" ref="R7:R15" si="5">SUM(N7:Q7)</f>
        <v>718969</v>
      </c>
      <c r="S7" s="30">
        <f t="shared" ref="S7:S15" si="6">R7*((((N7*Q7)-(O7*P7))^2))</f>
        <v>1.4929252816028265E+22</v>
      </c>
      <c r="T7" s="30">
        <f t="shared" ref="T7:T15" si="7">(N7+O7)*(P7+Q7)*(N7+P7)*(O7+Q7)</f>
        <v>8.7082885355697832E+19</v>
      </c>
      <c r="U7" s="31">
        <f t="shared" ref="U7:U15" si="8">IF((S7&gt;0),S7/T7,"- -")</f>
        <v>171.43727788816824</v>
      </c>
    </row>
    <row r="8" spans="2:21" ht="18" customHeight="1">
      <c r="B8" s="32" t="str">
        <f>'Data Entry'!A8</f>
        <v>3. Refer to Juvenile Court</v>
      </c>
      <c r="C8" s="33">
        <f>'Data Entry'!C8</f>
        <v>7285</v>
      </c>
      <c r="D8" s="34">
        <f>IF((AND(C67&gt;0,C8&gt;0)),(C8/C67),0)</f>
        <v>161.10128261831048</v>
      </c>
      <c r="E8" s="33">
        <f>'Data Entry'!F8</f>
        <v>61</v>
      </c>
      <c r="F8" s="34">
        <f>IF((AND($E$8&gt;0,$D$67&gt;0)),($E8/$D67),0)</f>
        <v>124.48979591836735</v>
      </c>
      <c r="G8" s="39">
        <f t="shared" si="0"/>
        <v>0.77274242572801255</v>
      </c>
      <c r="H8" s="40"/>
      <c r="I8" s="41"/>
      <c r="J8" s="40">
        <f>IF((ABS($U8)&gt;Defaults!D$7),1,2)</f>
        <v>1</v>
      </c>
      <c r="K8" s="39">
        <f>IF((AND(N8&gt;Defaults!B$12,(N8+O8)&gt;Defaults!B$13, P8 &gt; Defaults!B$12, (P8+Q8) &gt; Defaults!B$13)),1,20)</f>
        <v>1</v>
      </c>
      <c r="L8" s="1">
        <f t="shared" si="1"/>
        <v>1</v>
      </c>
      <c r="M8" s="1" t="b">
        <f t="shared" si="2"/>
        <v>1</v>
      </c>
      <c r="N8" s="42">
        <f t="shared" si="3"/>
        <v>61</v>
      </c>
      <c r="O8" s="42">
        <f>((D67*L67)-E8)+0.05</f>
        <v>-11.95</v>
      </c>
      <c r="P8" s="42">
        <f t="shared" si="4"/>
        <v>7285</v>
      </c>
      <c r="Q8" s="42">
        <f>(C$67*L67)-C8</f>
        <v>-2763</v>
      </c>
      <c r="R8" s="42">
        <f t="shared" si="5"/>
        <v>4571.05</v>
      </c>
      <c r="S8" s="30">
        <f t="shared" si="6"/>
        <v>30352557820918.816</v>
      </c>
      <c r="T8" s="30">
        <f t="shared" si="7"/>
        <v>-4521428380469.0693</v>
      </c>
      <c r="U8" s="31">
        <f t="shared" si="8"/>
        <v>-6.7130462470733487</v>
      </c>
    </row>
    <row r="9" spans="2:21" ht="18" customHeight="1">
      <c r="B9" s="32" t="str">
        <f>'Data Entry'!A9</f>
        <v xml:space="preserve">4. Cases Diverted </v>
      </c>
      <c r="C9" s="33">
        <f>'Data Entry'!C9</f>
        <v>1889</v>
      </c>
      <c r="D9" s="34">
        <f>IF((AND(C68&gt;0,C9&gt;0)),((C9/C68)),0)</f>
        <v>25.92999313658202</v>
      </c>
      <c r="E9" s="33">
        <f>'Data Entry'!F9</f>
        <v>31</v>
      </c>
      <c r="F9" s="34">
        <f>IF((AND($E$9&gt;0,$D$68&gt;0)),(($E$9/$D$68)),0)</f>
        <v>50.819672131147541</v>
      </c>
      <c r="G9" s="39">
        <f t="shared" si="0"/>
        <v>1.9598798913467963</v>
      </c>
      <c r="H9" s="40"/>
      <c r="I9" s="41"/>
      <c r="J9" s="40">
        <f>IF((ABS($U9)&gt;Defaults!D$7),1,2)</f>
        <v>1</v>
      </c>
      <c r="K9" s="39">
        <f>IF((AND(N9&gt;Defaults!B$12,(N9+O9)&gt;Defaults!B$13, P9 &gt; Defaults!B$12, (P9+Q9) &gt; Defaults!B$13)),1,20)</f>
        <v>1</v>
      </c>
      <c r="L9" s="1">
        <f t="shared" si="1"/>
        <v>1</v>
      </c>
      <c r="M9" s="1" t="b">
        <f t="shared" si="2"/>
        <v>1</v>
      </c>
      <c r="N9" s="42">
        <f t="shared" si="3"/>
        <v>31</v>
      </c>
      <c r="O9" s="42">
        <f>(D$68*L68)-E9</f>
        <v>30</v>
      </c>
      <c r="P9" s="42">
        <f t="shared" si="4"/>
        <v>1889</v>
      </c>
      <c r="Q9" s="42">
        <f>(C$68*L68)-C9</f>
        <v>5395.9999999999991</v>
      </c>
      <c r="R9" s="42">
        <f t="shared" si="5"/>
        <v>7345.9999999999991</v>
      </c>
      <c r="S9" s="30">
        <f t="shared" si="6"/>
        <v>89868666435655.953</v>
      </c>
      <c r="T9" s="30">
        <f t="shared" si="7"/>
        <v>4629567379199.999</v>
      </c>
      <c r="U9" s="31">
        <f t="shared" si="8"/>
        <v>19.411892964215909</v>
      </c>
    </row>
    <row r="10" spans="2:21" ht="18" customHeight="1">
      <c r="B10" s="32" t="str">
        <f>'Data Entry'!A10</f>
        <v>5. Cases Involving Secure Detention</v>
      </c>
      <c r="C10" s="33">
        <f>'Data Entry'!C10</f>
        <v>865</v>
      </c>
      <c r="D10" s="34">
        <f>IF(((AND(C68&gt;0,C10&gt;0))),(C10/(C68)),0)</f>
        <v>11.873713109128348</v>
      </c>
      <c r="E10" s="33">
        <f>'Data Entry'!F10</f>
        <v>8</v>
      </c>
      <c r="F10" s="34">
        <f>IF(((AND($E$10&gt;0,$D$68&gt;0))),($E$10/($D$68)),0)</f>
        <v>13.114754098360656</v>
      </c>
      <c r="G10" s="39">
        <f t="shared" si="0"/>
        <v>1.1045200416943048</v>
      </c>
      <c r="H10" s="40"/>
      <c r="I10" s="41"/>
      <c r="J10" s="40">
        <f>IF((ABS($U10)&gt;Defaults!D$7),1,2)</f>
        <v>2</v>
      </c>
      <c r="K10" s="39">
        <f>IF((AND(N10&gt;Defaults!B$12,(N10+O10)&gt;Defaults!B$13, P10 &gt; Defaults!B$12, (P10+Q10) &gt; Defaults!B$13)),1,20)</f>
        <v>1</v>
      </c>
      <c r="L10" s="1">
        <f t="shared" si="1"/>
        <v>2</v>
      </c>
      <c r="M10" s="1" t="b">
        <f t="shared" si="2"/>
        <v>1</v>
      </c>
      <c r="N10" s="42">
        <f t="shared" si="3"/>
        <v>8</v>
      </c>
      <c r="O10" s="42">
        <f>(D$68*L68)-E10</f>
        <v>53</v>
      </c>
      <c r="P10" s="42">
        <f t="shared" si="4"/>
        <v>865</v>
      </c>
      <c r="Q10" s="42">
        <f>(C$68*L68)-C10</f>
        <v>6419.9999999999991</v>
      </c>
      <c r="R10" s="42">
        <f t="shared" si="5"/>
        <v>7345.9999999999991</v>
      </c>
      <c r="S10" s="30">
        <f t="shared" si="6"/>
        <v>223430242849.99936</v>
      </c>
      <c r="T10" s="30">
        <f t="shared" si="7"/>
        <v>2511188083664.999</v>
      </c>
      <c r="U10" s="31">
        <f t="shared" si="8"/>
        <v>8.897391808418828E-2</v>
      </c>
    </row>
    <row r="11" spans="2:21" ht="18" customHeight="1">
      <c r="B11" s="32" t="str">
        <f>'Data Entry'!A11</f>
        <v>6. Cases Petitioned (Charge Filed)</v>
      </c>
      <c r="C11" s="33">
        <f>'Data Entry'!C11</f>
        <v>3652</v>
      </c>
      <c r="D11" s="34">
        <f>IF(((AND(C68&gt;0,C11&gt;0))),(C11/(C68)),0)</f>
        <v>50.130404941660949</v>
      </c>
      <c r="E11" s="33">
        <f>'Data Entry'!F11</f>
        <v>38</v>
      </c>
      <c r="F11" s="34">
        <f>IF(((AND($E$11&gt;0,$D$68&gt;0))),($E$11/($D$68)),0)</f>
        <v>62.295081967213115</v>
      </c>
      <c r="G11" s="39">
        <f t="shared" si="0"/>
        <v>1.2426606575332626</v>
      </c>
      <c r="H11" s="40"/>
      <c r="I11" s="41"/>
      <c r="J11" s="40">
        <f>IF((ABS($U11)&gt;Defaults!D$7),1,2)</f>
        <v>2</v>
      </c>
      <c r="K11" s="39">
        <f>IF((AND(N11&gt;Defaults!B$12,(N11+O11)&gt;Defaults!B$13, P11 &gt; Defaults!B$12, (P11+Q11) &gt; Defaults!B$13)),1,20)</f>
        <v>1</v>
      </c>
      <c r="L11" s="1">
        <f t="shared" si="1"/>
        <v>2</v>
      </c>
      <c r="M11" s="1" t="b">
        <f t="shared" si="2"/>
        <v>1</v>
      </c>
      <c r="N11" s="42">
        <f t="shared" si="3"/>
        <v>38</v>
      </c>
      <c r="O11" s="42">
        <f>(D$68*L68)-E11</f>
        <v>23</v>
      </c>
      <c r="P11" s="42">
        <f t="shared" si="4"/>
        <v>3652</v>
      </c>
      <c r="Q11" s="42">
        <f>(C$68*L68)-C11</f>
        <v>3632.9999999999991</v>
      </c>
      <c r="R11" s="42">
        <f t="shared" si="5"/>
        <v>7345.9999999999991</v>
      </c>
      <c r="S11" s="30">
        <f t="shared" si="6"/>
        <v>21466976055943.973</v>
      </c>
      <c r="T11" s="30">
        <f t="shared" si="7"/>
        <v>5995038056399.998</v>
      </c>
      <c r="U11" s="31">
        <f t="shared" si="8"/>
        <v>3.5807906228429891</v>
      </c>
    </row>
    <row r="12" spans="2:21" ht="18" customHeight="1">
      <c r="B12" s="32" t="str">
        <f>'Data Entry'!A12</f>
        <v>7. Cases Resulting in Delinquent Findings</v>
      </c>
      <c r="C12" s="33">
        <f>'Data Entry'!C12</f>
        <v>2346</v>
      </c>
      <c r="D12" s="34">
        <f>IF(((AND(C69&gt;0,C12&gt;0))),(C12/(C69)),0)</f>
        <v>64.238773274917847</v>
      </c>
      <c r="E12" s="33">
        <f>'Data Entry'!F12</f>
        <v>16</v>
      </c>
      <c r="F12" s="34">
        <f>IF(((AND($D$69&gt;0,$E$12&gt;0))),(E12/(D69)),0)</f>
        <v>42.10526315789474</v>
      </c>
      <c r="G12" s="39">
        <f t="shared" si="0"/>
        <v>0.65544936510073148</v>
      </c>
      <c r="H12" s="40"/>
      <c r="I12" s="41"/>
      <c r="J12" s="40">
        <f>IF((ABS($U12)&gt;Defaults!D$7),1,2)</f>
        <v>1</v>
      </c>
      <c r="K12" s="39">
        <f>IF((AND(N12&gt;Defaults!B$12,(N12+O12)&gt;Defaults!B$13, P12 &gt; Defaults!B$12, (P12+Q12) &gt; Defaults!B$13)),1,20)</f>
        <v>1</v>
      </c>
      <c r="L12" s="1">
        <f t="shared" si="1"/>
        <v>1</v>
      </c>
      <c r="M12" s="1" t="b">
        <f t="shared" si="2"/>
        <v>1</v>
      </c>
      <c r="N12" s="42">
        <f t="shared" si="3"/>
        <v>16</v>
      </c>
      <c r="O12" s="42">
        <f>(D69*L69)-E12</f>
        <v>22</v>
      </c>
      <c r="P12" s="42">
        <f t="shared" si="4"/>
        <v>2346</v>
      </c>
      <c r="Q12" s="42">
        <f>(C69*L69)-C12</f>
        <v>1306.0000000000005</v>
      </c>
      <c r="R12" s="42">
        <f t="shared" si="5"/>
        <v>3690.0000000000005</v>
      </c>
      <c r="S12" s="30">
        <f t="shared" si="6"/>
        <v>3481414100639.9985</v>
      </c>
      <c r="T12" s="30">
        <f t="shared" si="7"/>
        <v>435303675136.00024</v>
      </c>
      <c r="U12" s="31">
        <f t="shared" si="8"/>
        <v>7.9976676042358559</v>
      </c>
    </row>
    <row r="13" spans="2:21" ht="18" customHeight="1">
      <c r="B13" s="32" t="str">
        <f>'Data Entry'!A13</f>
        <v>8. Cases Resulting in Probation Placement</v>
      </c>
      <c r="C13" s="33">
        <f>'Data Entry'!C13</f>
        <v>1965</v>
      </c>
      <c r="D13" s="34">
        <f>IF(((AND(C70&gt;0,C13&gt;0))),(C13/(C70)),0)</f>
        <v>83.759590792838878</v>
      </c>
      <c r="E13" s="33">
        <f>'Data Entry'!F13</f>
        <v>15</v>
      </c>
      <c r="F13" s="34">
        <f>IF(((AND($D$70&gt;0,$E$13&gt;0))),($E$13/($D$70)),0)</f>
        <v>93.75</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15</v>
      </c>
      <c r="O13" s="42">
        <f>(D70*L70)-E13</f>
        <v>1</v>
      </c>
      <c r="P13" s="42">
        <f t="shared" si="4"/>
        <v>1965</v>
      </c>
      <c r="Q13" s="42">
        <f>(C70*L70)-C13</f>
        <v>381</v>
      </c>
      <c r="R13" s="42">
        <f t="shared" si="5"/>
        <v>2362</v>
      </c>
      <c r="S13" s="30">
        <f t="shared" si="6"/>
        <v>33215625000</v>
      </c>
      <c r="T13" s="30">
        <f t="shared" si="7"/>
        <v>28390728960</v>
      </c>
      <c r="U13" s="31">
        <f t="shared" si="8"/>
        <v>1.1699461837277179</v>
      </c>
    </row>
    <row r="14" spans="2:21" ht="30.75" customHeight="1">
      <c r="B14" s="32" t="str">
        <f>'Data Entry'!A14</f>
        <v xml:space="preserve">9. Cases Resulting in Confinement in Secure Juvenile Correctional Facilities </v>
      </c>
      <c r="C14" s="33">
        <f>'Data Entry'!C14</f>
        <v>551</v>
      </c>
      <c r="D14" s="34">
        <f>IF(((AND(C70&gt;0,C14&gt;0))), ((C14/(C70))),0)</f>
        <v>23.486786018755328</v>
      </c>
      <c r="E14" s="33">
        <f>'Data Entry'!F14</f>
        <v>4</v>
      </c>
      <c r="F14" s="34">
        <f>IF(((AND($D$70&gt;0,$E$14&gt;0))), (($E$14/($D$70))),0)</f>
        <v>25</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4</v>
      </c>
      <c r="O14" s="42">
        <f>(D70*L70)-E14</f>
        <v>12</v>
      </c>
      <c r="P14" s="42">
        <f t="shared" si="4"/>
        <v>551</v>
      </c>
      <c r="Q14" s="42">
        <f>(C70*L70)-C14</f>
        <v>1795</v>
      </c>
      <c r="R14" s="42">
        <f t="shared" si="5"/>
        <v>2362</v>
      </c>
      <c r="S14" s="30">
        <f t="shared" si="6"/>
        <v>762037888</v>
      </c>
      <c r="T14" s="30">
        <f t="shared" si="7"/>
        <v>37644291360</v>
      </c>
      <c r="U14" s="31">
        <f t="shared" si="8"/>
        <v>2.0243119486895823E-2</v>
      </c>
    </row>
    <row r="15" spans="2:21" ht="15.75" customHeight="1">
      <c r="B15" s="32" t="str">
        <f>'Data Entry'!A15</f>
        <v xml:space="preserve">10. Cases Transferred to Adult Court </v>
      </c>
      <c r="C15" s="33">
        <f>'Data Entry'!C15</f>
        <v>3</v>
      </c>
      <c r="D15" s="34">
        <f>IF(((AND(C69&gt;0,C15&gt;0))),((C15/(C69))),0)</f>
        <v>8.2146768893756841E-2</v>
      </c>
      <c r="E15" s="33">
        <f>'Data Entry'!F15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38</v>
      </c>
      <c r="P15" s="42">
        <f t="shared" si="4"/>
        <v>3</v>
      </c>
      <c r="Q15" s="42">
        <f>(C69*L69)-C15</f>
        <v>3649.0000000000005</v>
      </c>
      <c r="R15" s="42">
        <f t="shared" si="5"/>
        <v>3690.0000000000005</v>
      </c>
      <c r="S15" s="30">
        <f t="shared" si="6"/>
        <v>47955240.000000007</v>
      </c>
      <c r="T15" s="30">
        <f t="shared" si="7"/>
        <v>1535001336.0000007</v>
      </c>
      <c r="U15" s="31">
        <f t="shared" si="8"/>
        <v>3.1241171506055279E-2</v>
      </c>
    </row>
    <row r="16" spans="2:21" ht="12" customHeight="1">
      <c r="B16" s="43" t="s">
        <v>130</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131</v>
      </c>
      <c r="L17" s="1" t="s">
        <v>132</v>
      </c>
      <c r="N17" s="21"/>
      <c r="O17" s="21"/>
      <c r="P17" s="21"/>
      <c r="Q17" s="21"/>
      <c r="R17" s="21"/>
      <c r="S17" s="30"/>
      <c r="T17" s="30"/>
      <c r="U17" s="31"/>
    </row>
    <row r="18" spans="2:21" ht="15" customHeight="1">
      <c r="B18" s="1" t="s">
        <v>56</v>
      </c>
    </row>
    <row r="19" spans="2:21" ht="15" customHeight="1">
      <c r="B19" s="1" t="s">
        <v>98</v>
      </c>
      <c r="D19" s="45" t="s">
        <v>58</v>
      </c>
    </row>
    <row r="20" spans="2:21" ht="15" customHeight="1">
      <c r="B20" s="1" t="s">
        <v>99</v>
      </c>
      <c r="D20" s="1" t="s">
        <v>62</v>
      </c>
    </row>
    <row r="21" spans="2:21" ht="15" customHeight="1">
      <c r="B21" s="1" t="s">
        <v>59</v>
      </c>
      <c r="D21" s="1" t="s">
        <v>60</v>
      </c>
    </row>
    <row r="22" spans="2:21" ht="15" customHeight="1">
      <c r="B22" s="1" t="s">
        <v>63</v>
      </c>
      <c r="D22" s="1" t="s">
        <v>64</v>
      </c>
    </row>
    <row r="23" spans="2:21" ht="15" customHeight="1">
      <c r="B23" s="1" t="s">
        <v>65</v>
      </c>
      <c r="D23" s="1" t="s">
        <v>66</v>
      </c>
    </row>
    <row r="24" spans="2:21" ht="26.25" customHeight="1">
      <c r="B24" s="62"/>
      <c r="C24" s="62"/>
      <c r="D24" s="62"/>
      <c r="E24" s="62"/>
      <c r="F24" s="62"/>
      <c r="G24" s="62"/>
      <c r="H24" s="62"/>
      <c r="I24" s="62"/>
      <c r="N24" s="21"/>
      <c r="O24" s="21"/>
      <c r="P24" s="21"/>
      <c r="Q24" s="21"/>
      <c r="R24" s="21"/>
      <c r="S24" s="30"/>
      <c r="T24" s="30"/>
      <c r="U24" s="31"/>
    </row>
    <row r="25" spans="2:21" ht="15" customHeight="1">
      <c r="B25" s="46" t="s">
        <v>100</v>
      </c>
      <c r="K25" s="1" t="s">
        <v>101</v>
      </c>
      <c r="L25" s="1" t="s">
        <v>102</v>
      </c>
      <c r="N25" s="21"/>
      <c r="O25" s="21" t="b">
        <f>ISBLANK(N12)</f>
        <v>0</v>
      </c>
      <c r="P25" s="21"/>
      <c r="Q25" s="21"/>
      <c r="R25" s="21"/>
    </row>
    <row r="26" spans="2:21" ht="15" customHeight="1">
      <c r="B26" s="47" t="s">
        <v>103</v>
      </c>
      <c r="F26" s="47" t="s">
        <v>104</v>
      </c>
      <c r="G26" s="47"/>
      <c r="H26" s="47"/>
      <c r="I26" s="47"/>
      <c r="J26" s="47"/>
      <c r="K26" s="48" t="s">
        <v>66</v>
      </c>
      <c r="L26" s="48" t="s">
        <v>105</v>
      </c>
      <c r="M26" s="48"/>
      <c r="R26" s="49"/>
    </row>
    <row r="27" spans="2:21" ht="15" customHeight="1">
      <c r="B27" s="50" t="s">
        <v>106</v>
      </c>
      <c r="C27" s="50"/>
      <c r="D27" s="50"/>
      <c r="E27" s="50"/>
      <c r="F27" s="50" t="str">
        <f>B66</f>
        <v>per 1000 youth</v>
      </c>
      <c r="G27" s="50"/>
      <c r="H27" s="50"/>
      <c r="I27" s="50"/>
      <c r="J27" s="50">
        <f>F66</f>
        <v>0</v>
      </c>
      <c r="K27" s="50" t="s">
        <v>64</v>
      </c>
      <c r="L27" s="51" t="s">
        <v>107</v>
      </c>
      <c r="R27" s="49"/>
    </row>
    <row r="28" spans="2:21" ht="15" customHeight="1">
      <c r="B28" s="50" t="s">
        <v>108</v>
      </c>
      <c r="C28" s="50"/>
      <c r="D28" s="50"/>
      <c r="E28" s="50"/>
      <c r="F28" s="52" t="str">
        <f>B67</f>
        <v>per 100 arrests</v>
      </c>
      <c r="G28" s="52"/>
      <c r="H28" s="52"/>
      <c r="I28" s="52"/>
      <c r="J28" s="52"/>
      <c r="K28" s="52" t="s">
        <v>60</v>
      </c>
      <c r="L28" s="53" t="s">
        <v>109</v>
      </c>
      <c r="R28" s="49"/>
    </row>
    <row r="29" spans="2:21" ht="15" customHeight="1">
      <c r="B29" s="52" t="s">
        <v>110</v>
      </c>
      <c r="C29" s="52"/>
      <c r="D29" s="52"/>
      <c r="E29" s="52"/>
      <c r="F29" s="52" t="str">
        <f>B68</f>
        <v>per 100 referrals</v>
      </c>
      <c r="G29" s="52"/>
      <c r="H29" s="52"/>
      <c r="I29" s="52"/>
      <c r="J29" s="52"/>
      <c r="K29" s="52"/>
      <c r="L29" s="53"/>
      <c r="R29" s="49"/>
    </row>
    <row r="30" spans="2:21" ht="15" customHeight="1">
      <c r="B30" s="52" t="s">
        <v>111</v>
      </c>
      <c r="C30" s="52"/>
      <c r="D30" s="52"/>
      <c r="E30" s="52"/>
      <c r="F30" s="52" t="str">
        <f>B68</f>
        <v>per 100 referrals</v>
      </c>
      <c r="G30" s="52"/>
      <c r="H30" s="52"/>
      <c r="I30" s="52"/>
      <c r="J30" s="52"/>
      <c r="K30" s="52"/>
      <c r="L30" s="53"/>
      <c r="N30" s="1" t="b">
        <f>ISNUMBER(J14)</f>
        <v>1</v>
      </c>
      <c r="R30" s="49"/>
    </row>
    <row r="31" spans="2:21" ht="15" customHeight="1">
      <c r="B31" s="52" t="s">
        <v>112</v>
      </c>
      <c r="C31" s="52"/>
      <c r="D31" s="52"/>
      <c r="E31" s="52"/>
      <c r="F31" s="52" t="str">
        <f>B68</f>
        <v>per 100 referrals</v>
      </c>
      <c r="G31" s="52"/>
      <c r="H31" s="52"/>
      <c r="I31" s="52"/>
      <c r="J31" s="52"/>
      <c r="K31" s="52"/>
      <c r="L31" s="53"/>
      <c r="R31" s="49"/>
    </row>
    <row r="32" spans="2:21" ht="15" customHeight="1">
      <c r="B32" s="52" t="s">
        <v>113</v>
      </c>
      <c r="C32" s="52"/>
      <c r="D32" s="52"/>
      <c r="E32" s="52"/>
      <c r="F32" s="52" t="str">
        <f>B69</f>
        <v>per 100 youth petitioned</v>
      </c>
      <c r="G32" s="52"/>
      <c r="H32" s="52"/>
      <c r="I32" s="52"/>
      <c r="J32" s="52"/>
      <c r="K32" s="52"/>
      <c r="L32" s="53"/>
      <c r="R32" s="49"/>
    </row>
    <row r="33" spans="2:18" ht="15" customHeight="1">
      <c r="B33" s="52" t="s">
        <v>114</v>
      </c>
      <c r="C33" s="52"/>
      <c r="D33" s="52"/>
      <c r="E33" s="52"/>
      <c r="F33" s="52" t="str">
        <f>B70</f>
        <v>per 100 youth found delinquent</v>
      </c>
      <c r="G33" s="52"/>
      <c r="H33" s="52"/>
      <c r="I33" s="52"/>
      <c r="J33" s="52"/>
      <c r="K33" s="52"/>
      <c r="L33" s="53"/>
      <c r="R33" s="49"/>
    </row>
    <row r="34" spans="2:18" ht="15" customHeight="1">
      <c r="B34" s="52" t="s">
        <v>115</v>
      </c>
      <c r="C34" s="52"/>
      <c r="D34" s="52"/>
      <c r="E34" s="52"/>
      <c r="F34" s="52" t="str">
        <f>B70</f>
        <v>per 100 youth found delinquent</v>
      </c>
      <c r="G34" s="52"/>
      <c r="H34" s="52"/>
      <c r="I34" s="52"/>
      <c r="J34" s="52"/>
      <c r="K34" s="52"/>
      <c r="L34" s="53"/>
      <c r="R34" s="49"/>
    </row>
    <row r="35" spans="2:18" ht="15" customHeight="1">
      <c r="B35" s="52" t="s">
        <v>116</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187" t="s">
        <v>117</v>
      </c>
      <c r="C40" s="187"/>
      <c r="D40" s="187"/>
      <c r="E40" s="187"/>
      <c r="F40" s="187"/>
      <c r="G40" s="187"/>
      <c r="H40" s="187"/>
      <c r="I40" s="187"/>
      <c r="J40" s="187"/>
      <c r="K40" s="8"/>
      <c r="R40" s="49"/>
    </row>
    <row r="41" spans="2:18" ht="15" hidden="1" customHeight="1">
      <c r="B41" s="54" t="s">
        <v>118</v>
      </c>
      <c r="C41" s="54" t="s">
        <v>119</v>
      </c>
      <c r="D41" s="55" t="s">
        <v>120</v>
      </c>
      <c r="E41" s="54" t="s">
        <v>121</v>
      </c>
      <c r="G41" s="54" t="s">
        <v>122</v>
      </c>
      <c r="H41" s="54"/>
      <c r="I41" s="54"/>
      <c r="L41" s="1" t="s">
        <v>123</v>
      </c>
      <c r="R41" s="49"/>
    </row>
    <row r="42" spans="2:18" ht="15" hidden="1" customHeight="1">
      <c r="B42" s="49" t="s">
        <v>124</v>
      </c>
      <c r="C42" s="56">
        <f>C6/1000</f>
        <v>679.73699999999997</v>
      </c>
      <c r="D42" s="56">
        <f>E6/1000</f>
        <v>39.231999999999999</v>
      </c>
      <c r="E42" s="56">
        <f>MAX(C42:D42)</f>
        <v>679.73699999999997</v>
      </c>
      <c r="G42" s="1" t="str">
        <f>B42</f>
        <v>per 1000 youth</v>
      </c>
      <c r="L42" s="57">
        <v>1000</v>
      </c>
      <c r="M42" s="57"/>
      <c r="R42" s="49"/>
    </row>
    <row r="43" spans="2:18" ht="15" hidden="1" customHeight="1">
      <c r="B43" s="49" t="s">
        <v>125</v>
      </c>
      <c r="C43" s="56">
        <f>C7/100</f>
        <v>45.22</v>
      </c>
      <c r="D43" s="56">
        <f>E7/100</f>
        <v>0.49</v>
      </c>
      <c r="E43" s="56">
        <f>MAX(C43:D43,0)</f>
        <v>45.22</v>
      </c>
      <c r="G43" s="1" t="str">
        <f>B43</f>
        <v>per 100 arrests</v>
      </c>
      <c r="L43" s="57">
        <v>100</v>
      </c>
      <c r="M43" s="57"/>
      <c r="R43" s="49"/>
    </row>
    <row r="44" spans="2:18" ht="15" hidden="1" customHeight="1">
      <c r="B44" s="49" t="s">
        <v>126</v>
      </c>
      <c r="C44" s="56">
        <f>C8/100</f>
        <v>72.849999999999994</v>
      </c>
      <c r="D44" s="56">
        <f>E8/100</f>
        <v>0.61</v>
      </c>
      <c r="E44" s="56">
        <f>MAX(C44:D44,0)</f>
        <v>72.849999999999994</v>
      </c>
      <c r="G44" s="1" t="str">
        <f>B44</f>
        <v>per 100 referrals</v>
      </c>
      <c r="L44" s="57">
        <v>100</v>
      </c>
      <c r="M44" s="57"/>
      <c r="R44" s="49"/>
    </row>
    <row r="45" spans="2:18" ht="15" hidden="1" customHeight="1">
      <c r="B45" s="49" t="s">
        <v>127</v>
      </c>
      <c r="C45" s="49">
        <f>C11/100</f>
        <v>36.520000000000003</v>
      </c>
      <c r="D45" s="49">
        <f>E11/100</f>
        <v>0.38</v>
      </c>
      <c r="E45" s="56">
        <f>MAX(C45:D45,0)</f>
        <v>36.520000000000003</v>
      </c>
      <c r="G45" s="1" t="str">
        <f>B45</f>
        <v>per 100 youth petitioned</v>
      </c>
      <c r="L45" s="57">
        <v>100</v>
      </c>
      <c r="M45" s="57"/>
      <c r="R45" s="49"/>
    </row>
    <row r="46" spans="2:18" ht="15" hidden="1" customHeight="1">
      <c r="B46" s="49" t="s">
        <v>128</v>
      </c>
      <c r="C46" s="49">
        <f>C12/100</f>
        <v>23.46</v>
      </c>
      <c r="D46" s="49">
        <f>E12/100</f>
        <v>0.16</v>
      </c>
      <c r="E46" s="56">
        <f>MAX(C46:D46)</f>
        <v>23.46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39.231999999999999</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45.22</v>
      </c>
      <c r="D49" s="49">
        <f t="shared" si="9"/>
        <v>0.49</v>
      </c>
      <c r="E49" s="49">
        <f>MAX(C49:D49)</f>
        <v>45.22</v>
      </c>
      <c r="G49" s="1" t="str">
        <f>G43</f>
        <v>per 100 arrests</v>
      </c>
      <c r="L49" s="58">
        <f>IF(($E43&gt;0),L43,L42)</f>
        <v>100</v>
      </c>
      <c r="M49" s="58"/>
      <c r="N49" s="21"/>
      <c r="O49" s="21"/>
      <c r="P49" s="21"/>
      <c r="Q49" s="21"/>
      <c r="R49" s="21"/>
    </row>
    <row r="50" spans="2:18" ht="15" hidden="1" customHeight="1">
      <c r="B50" s="49" t="str">
        <f t="shared" si="9"/>
        <v>per 100 referrals</v>
      </c>
      <c r="C50" s="49">
        <f t="shared" si="9"/>
        <v>72.849999999999994</v>
      </c>
      <c r="D50" s="49">
        <f t="shared" si="9"/>
        <v>0.61</v>
      </c>
      <c r="E50" s="49">
        <f>MAX(C50:D50)</f>
        <v>72.849999999999994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36.520000000000003</v>
      </c>
      <c r="D51" s="49">
        <f>IF(($E45&gt;0),D45,D44)</f>
        <v>0.38</v>
      </c>
      <c r="E51" s="49">
        <f>MAX(C51:D51)</f>
        <v>36.520000000000003</v>
      </c>
      <c r="G51" s="1" t="str">
        <f>G45</f>
        <v>per 100 youth petitioned</v>
      </c>
      <c r="L51" s="58">
        <f>IF(($E45&gt;0),L45,L44)</f>
        <v>100</v>
      </c>
      <c r="M51" s="58"/>
    </row>
    <row r="52" spans="2:18" ht="15" hidden="1" customHeight="1">
      <c r="B52" s="49" t="str">
        <f>IF(($E46&gt;0),B46,B45)</f>
        <v>per 100 youth found delinquent</v>
      </c>
      <c r="C52" s="49">
        <f>IF(($E46&gt;0),C46,C45)</f>
        <v>23.46</v>
      </c>
      <c r="D52" s="49">
        <f>IF(($E46&gt;0),D46,D45)</f>
        <v>0.16</v>
      </c>
      <c r="E52" s="56">
        <f>MAX(C52:D52)</f>
        <v>23.46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39.231999999999999</v>
      </c>
      <c r="E54" s="56">
        <f>MAX(C54:D54)</f>
        <v>679.73699999999997</v>
      </c>
      <c r="G54" s="1" t="str">
        <f>G48</f>
        <v>per 1000 youth</v>
      </c>
      <c r="L54" s="58">
        <f>L48</f>
        <v>1000</v>
      </c>
      <c r="M54" s="58"/>
    </row>
    <row r="55" spans="2:18" ht="15" hidden="1" customHeight="1">
      <c r="B55" s="49" t="str">
        <f t="shared" ref="B55:D56" si="10">IF(($E49&gt;0),B49,B48)</f>
        <v>per 100 arrests</v>
      </c>
      <c r="C55" s="49">
        <f t="shared" si="10"/>
        <v>45.22</v>
      </c>
      <c r="D55" s="49">
        <f t="shared" si="10"/>
        <v>0.49</v>
      </c>
      <c r="E55" s="49">
        <f>MAX(C55:D55)</f>
        <v>45.22</v>
      </c>
      <c r="G55" s="1" t="str">
        <f>G49</f>
        <v>per 100 arrests</v>
      </c>
      <c r="L55" s="58">
        <f>IF(($E49&gt;0),L49,L48)</f>
        <v>100</v>
      </c>
      <c r="M55" s="58"/>
    </row>
    <row r="56" spans="2:18" ht="15" hidden="1" customHeight="1">
      <c r="B56" s="49" t="str">
        <f t="shared" si="10"/>
        <v>per 100 referrals</v>
      </c>
      <c r="C56" s="49">
        <f t="shared" si="10"/>
        <v>72.849999999999994</v>
      </c>
      <c r="D56" s="49">
        <f t="shared" si="10"/>
        <v>0.61</v>
      </c>
      <c r="E56" s="49">
        <f>MAX(C56:D56)</f>
        <v>72.849999999999994</v>
      </c>
      <c r="G56" s="1" t="str">
        <f>G50</f>
        <v>per 100 referrals</v>
      </c>
      <c r="L56" s="58">
        <f>IF(($E50&gt;0),L50,L49)</f>
        <v>100</v>
      </c>
      <c r="M56" s="58"/>
    </row>
    <row r="57" spans="2:18" ht="15" hidden="1" customHeight="1">
      <c r="B57" s="49" t="str">
        <f>IF(($E51&gt;0),B51,B49)</f>
        <v>per 100 youth petitioned</v>
      </c>
      <c r="C57" s="49">
        <f>IF(($E51&gt;0),C51,C50)</f>
        <v>36.520000000000003</v>
      </c>
      <c r="D57" s="49">
        <f>IF(($E51&gt;0),D51,D50)</f>
        <v>0.38</v>
      </c>
      <c r="E57" s="49">
        <f>MAX(C57:D57)</f>
        <v>36.520000000000003</v>
      </c>
      <c r="G57" s="1" t="str">
        <f>G51</f>
        <v>per 100 youth petitioned</v>
      </c>
      <c r="L57" s="58">
        <f>IF(($E51&gt;0),L51,L50)</f>
        <v>100</v>
      </c>
      <c r="M57" s="58"/>
    </row>
    <row r="58" spans="2:18" ht="15" hidden="1" customHeight="1">
      <c r="B58" s="49" t="str">
        <f>IF(($E52&gt;0),B52,B51)</f>
        <v>per 100 youth found delinquent</v>
      </c>
      <c r="C58" s="49">
        <f>IF(($E52&gt;0),C52,C51)</f>
        <v>23.46</v>
      </c>
      <c r="D58" s="49">
        <f>IF(($E52&gt;0),D52,D51)</f>
        <v>0.16</v>
      </c>
      <c r="E58" s="56">
        <f>MAX(C58:D58)</f>
        <v>23.46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39.231999999999999</v>
      </c>
      <c r="E60" s="56">
        <f>MAX(C60:D60)</f>
        <v>679.73699999999997</v>
      </c>
      <c r="G60" s="1" t="str">
        <f>G54</f>
        <v>per 1000 youth</v>
      </c>
      <c r="L60" s="58">
        <f>L54</f>
        <v>1000</v>
      </c>
      <c r="M60" s="58"/>
    </row>
    <row r="61" spans="2:18" ht="15" hidden="1" customHeight="1">
      <c r="B61" s="49" t="str">
        <f t="shared" ref="B61:D62" si="11">IF(($E55&gt;0),B55,B54)</f>
        <v>per 100 arrests</v>
      </c>
      <c r="C61" s="49">
        <f t="shared" si="11"/>
        <v>45.22</v>
      </c>
      <c r="D61" s="49">
        <f t="shared" si="11"/>
        <v>0.49</v>
      </c>
      <c r="E61" s="49">
        <f>MAX(C61:D61)</f>
        <v>45.22</v>
      </c>
      <c r="G61" s="1" t="str">
        <f>G55</f>
        <v>per 100 arrests</v>
      </c>
      <c r="L61" s="58">
        <f>IF(($E55&gt;0),L55,L54)</f>
        <v>100</v>
      </c>
      <c r="M61" s="58"/>
    </row>
    <row r="62" spans="2:18" ht="15" hidden="1" customHeight="1">
      <c r="B62" s="49" t="str">
        <f t="shared" si="11"/>
        <v>per 100 referrals</v>
      </c>
      <c r="C62" s="49">
        <f t="shared" si="11"/>
        <v>72.849999999999994</v>
      </c>
      <c r="D62" s="49">
        <f t="shared" si="11"/>
        <v>0.61</v>
      </c>
      <c r="E62" s="49">
        <f>MAX(C62:D62)</f>
        <v>72.849999999999994</v>
      </c>
      <c r="G62" s="1" t="str">
        <f>G56</f>
        <v>per 100 referrals</v>
      </c>
      <c r="L62" s="58">
        <f>IF(($E56&gt;0),L56,L55)</f>
        <v>100</v>
      </c>
      <c r="M62" s="58"/>
    </row>
    <row r="63" spans="2:18" ht="15" hidden="1" customHeight="1">
      <c r="B63" s="49" t="str">
        <f>IF(($E57&gt;0),B57,B55)</f>
        <v>per 100 youth petitioned</v>
      </c>
      <c r="C63" s="49">
        <f>IF(($E57&gt;0),C57,C56)</f>
        <v>36.520000000000003</v>
      </c>
      <c r="D63" s="49">
        <f>IF(($E57&gt;0),D57,D56)</f>
        <v>0.38</v>
      </c>
      <c r="E63" s="49">
        <f>MAX(C63:D63)</f>
        <v>36.520000000000003</v>
      </c>
      <c r="G63" s="1" t="str">
        <f>G57</f>
        <v>per 100 youth petitioned</v>
      </c>
      <c r="L63" s="58">
        <f>IF(($E57&gt;0),L57,L56)</f>
        <v>100</v>
      </c>
      <c r="M63" s="58"/>
    </row>
    <row r="64" spans="2:18" ht="15" hidden="1" customHeight="1">
      <c r="B64" s="49" t="str">
        <f>IF(($E58&gt;0),B58,B57)</f>
        <v>per 100 youth found delinquent</v>
      </c>
      <c r="C64" s="49">
        <f>IF(($E58&gt;0),C58,C57)</f>
        <v>23.46</v>
      </c>
      <c r="D64" s="49">
        <f>IF(($E58&gt;0),D58,D57)</f>
        <v>0.16</v>
      </c>
      <c r="E64" s="56">
        <f>MAX(C64:D64)</f>
        <v>23.46</v>
      </c>
      <c r="G64" s="1" t="str">
        <f>G58</f>
        <v>per 100 youth found delinquent</v>
      </c>
      <c r="L64" s="58">
        <f>IF(($E58&gt;0),L58,L57)</f>
        <v>100</v>
      </c>
      <c r="M64" s="58"/>
    </row>
    <row r="65" spans="2:13" ht="15" hidden="1" customHeight="1">
      <c r="B65" s="59" t="s">
        <v>129</v>
      </c>
      <c r="L65" s="57"/>
      <c r="M65" s="57"/>
    </row>
    <row r="66" spans="2:13" ht="15" hidden="1" customHeight="1">
      <c r="B66" s="49" t="str">
        <f>B60</f>
        <v>per 1000 youth</v>
      </c>
      <c r="C66" s="56">
        <f>C60</f>
        <v>679.73699999999997</v>
      </c>
      <c r="D66" s="56">
        <f>D60</f>
        <v>39.231999999999999</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45.22</v>
      </c>
      <c r="D67" s="49">
        <f t="shared" si="12"/>
        <v>0.49</v>
      </c>
      <c r="E67" s="49">
        <f>MAX(C67:D67)</f>
        <v>45.22</v>
      </c>
      <c r="G67" s="1" t="str">
        <f>G61</f>
        <v>per 100 arrests</v>
      </c>
      <c r="L67" s="58">
        <f>IF(($E61&gt;0),L61,L60)</f>
        <v>100</v>
      </c>
      <c r="M67" s="58">
        <f>IF((B67=G67),1,2)</f>
        <v>1</v>
      </c>
    </row>
    <row r="68" spans="2:13" ht="15" hidden="1" customHeight="1">
      <c r="B68" s="49" t="str">
        <f t="shared" si="12"/>
        <v>per 100 referrals</v>
      </c>
      <c r="C68" s="49">
        <f t="shared" si="12"/>
        <v>72.849999999999994</v>
      </c>
      <c r="D68" s="49">
        <f t="shared" si="12"/>
        <v>0.61</v>
      </c>
      <c r="E68" s="49">
        <f>MAX(C68:D68)</f>
        <v>72.849999999999994</v>
      </c>
      <c r="G68" s="1" t="str">
        <f>G62</f>
        <v>per 100 referrals</v>
      </c>
      <c r="L68" s="58">
        <f>IF(($E62&gt;0),L62,L61)</f>
        <v>100</v>
      </c>
      <c r="M68" s="58">
        <f>IF((B68=G68),1,2)</f>
        <v>1</v>
      </c>
    </row>
    <row r="69" spans="2:13" ht="15" hidden="1" customHeight="1">
      <c r="B69" s="49" t="str">
        <f>IF(($E63&gt;0),B63,B61)</f>
        <v>per 100 youth petitioned</v>
      </c>
      <c r="C69" s="49">
        <f>IF(($E63&gt;0),C63,C62)</f>
        <v>36.520000000000003</v>
      </c>
      <c r="D69" s="49">
        <f>IF(($E63&gt;0),D63,D62)</f>
        <v>0.38</v>
      </c>
      <c r="E69" s="49">
        <f>MAX(C69:D69)</f>
        <v>36.520000000000003</v>
      </c>
      <c r="G69" s="1" t="str">
        <f>G63</f>
        <v>per 100 youth petitioned</v>
      </c>
      <c r="L69" s="58">
        <f>IF(($E63&gt;0),L63,L62)</f>
        <v>100</v>
      </c>
      <c r="M69" s="58">
        <f>IF((B69=G69),1,2)</f>
        <v>1</v>
      </c>
    </row>
    <row r="70" spans="2:13" ht="15" hidden="1" customHeight="1">
      <c r="B70" s="49" t="str">
        <f>IF(($E64&gt;0),B64,B63)</f>
        <v>per 100 youth found delinquent</v>
      </c>
      <c r="C70" s="49">
        <f>IF(($E64&gt;0),C64,C63)</f>
        <v>23.46</v>
      </c>
      <c r="D70" s="49">
        <f>IF(($E64&gt;0),D64,D63)</f>
        <v>0.16</v>
      </c>
      <c r="E70" s="56">
        <f>MAX(C70:D70)</f>
        <v>23.46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oddHeader>&amp;C&amp;"Calibri"&amp;10&amp;K000000 MPHI Internal Use Only&amp;1#_x000D_</oddHeader>
    <oddFooter>&amp;C_x000D_&amp;1#&amp;"Calibri"&amp;10&amp;K000000 MPHI 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75</v>
      </c>
      <c r="D1" s="20" t="s">
        <v>76</v>
      </c>
      <c r="E1" s="14"/>
      <c r="F1" s="189" t="str">
        <f>'Data Entry'!E5</f>
        <v>Hispanic or Latino</v>
      </c>
      <c r="G1" s="189"/>
      <c r="H1" s="189"/>
      <c r="I1" s="189"/>
      <c r="J1" s="18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188" t="s">
        <v>77</v>
      </c>
      <c r="O3" s="188"/>
      <c r="P3" s="188"/>
      <c r="Q3" s="188"/>
      <c r="R3" s="188"/>
      <c r="S3" s="188"/>
      <c r="T3" s="188"/>
      <c r="U3" s="188"/>
    </row>
    <row r="4" spans="2:21" ht="24.75" customHeight="1">
      <c r="B4" s="4"/>
      <c r="C4" s="23"/>
      <c r="D4" s="23"/>
      <c r="E4" s="23"/>
      <c r="F4" s="23"/>
      <c r="G4" s="8"/>
      <c r="H4" s="8"/>
      <c r="I4" s="8"/>
      <c r="N4" s="188"/>
      <c r="O4" s="188"/>
      <c r="P4" s="188"/>
      <c r="Q4" s="188"/>
      <c r="R4" s="188"/>
      <c r="S4" s="188"/>
      <c r="T4" s="188"/>
      <c r="U4" s="188"/>
    </row>
    <row r="5" spans="2:21" ht="66.75" customHeight="1">
      <c r="B5" s="24" t="s">
        <v>78</v>
      </c>
      <c r="C5" s="25" t="s">
        <v>79</v>
      </c>
      <c r="D5" s="26" t="s">
        <v>80</v>
      </c>
      <c r="E5" s="25" t="s">
        <v>81</v>
      </c>
      <c r="F5" s="25" t="s">
        <v>82</v>
      </c>
      <c r="G5" s="27" t="s">
        <v>83</v>
      </c>
      <c r="H5" s="25"/>
      <c r="I5" s="25"/>
      <c r="J5" s="25" t="s">
        <v>84</v>
      </c>
      <c r="K5" s="28" t="s">
        <v>85</v>
      </c>
      <c r="L5" s="8" t="s">
        <v>86</v>
      </c>
      <c r="M5" s="8" t="s">
        <v>87</v>
      </c>
      <c r="N5" s="29" t="s">
        <v>88</v>
      </c>
      <c r="O5" s="21" t="s">
        <v>89</v>
      </c>
      <c r="P5" s="21" t="s">
        <v>90</v>
      </c>
      <c r="Q5" s="21" t="s">
        <v>91</v>
      </c>
      <c r="R5" s="21" t="s">
        <v>92</v>
      </c>
      <c r="S5" s="30" t="s">
        <v>93</v>
      </c>
      <c r="T5" s="30" t="s">
        <v>94</v>
      </c>
      <c r="U5" s="31" t="s">
        <v>95</v>
      </c>
    </row>
    <row r="6" spans="2:21" ht="20.25" customHeight="1">
      <c r="B6" s="32" t="str">
        <f>'Data Entry'!A6</f>
        <v xml:space="preserve">1. Population at Risk (age 10-17) </v>
      </c>
      <c r="C6" s="33">
        <f>'Data Entry'!C6</f>
        <v>679737</v>
      </c>
      <c r="D6" s="34"/>
      <c r="E6" s="33">
        <f>'Data Entry'!E6</f>
        <v>89856</v>
      </c>
      <c r="F6" s="34"/>
      <c r="G6" s="35"/>
      <c r="H6" s="36"/>
      <c r="I6" s="37"/>
      <c r="J6" s="38"/>
      <c r="K6" s="37"/>
      <c r="L6" s="1">
        <f>IF( ('Data Entry'!E6&gt;('Data Entry'!B6/100)),1,100)</f>
        <v>1</v>
      </c>
      <c r="M6" s="1" t="s">
        <v>96</v>
      </c>
      <c r="N6" s="21"/>
      <c r="O6" s="21"/>
      <c r="P6" s="21"/>
      <c r="Q6" s="21"/>
      <c r="R6" s="21"/>
      <c r="S6" s="30"/>
      <c r="T6" s="30"/>
      <c r="U6" s="31"/>
    </row>
    <row r="7" spans="2:21" ht="18" customHeight="1">
      <c r="B7" s="32" t="str">
        <f>'Data Entry'!A7</f>
        <v>2. Juvenile Arrests</v>
      </c>
      <c r="C7" s="33">
        <f>'Data Entry'!C7</f>
        <v>4522</v>
      </c>
      <c r="D7" s="34">
        <f>IF((AND(C66&gt;0,C7&gt;0)),(C7/C66),0)</f>
        <v>6.6525729804321383</v>
      </c>
      <c r="E7" s="33">
        <f>'Data Entry'!E7</f>
        <v>229</v>
      </c>
      <c r="F7" s="34">
        <f>IF((AND($E$7&gt;0,$D$66&gt;0)),($E$7/$D$66),0)</f>
        <v>2.5485220797720798</v>
      </c>
      <c r="G7" s="39">
        <f t="shared" ref="G7:G15" si="0">IF(L$6=100,"*",IF(M7=FALSE,"--",IF(K7=20,"**",($F7/$D7))))</f>
        <v>0.3830881806585657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229</v>
      </c>
      <c r="O7" s="42">
        <f>E6-E7</f>
        <v>89627</v>
      </c>
      <c r="P7" s="42">
        <f t="shared" ref="P7:P15" si="4">C7</f>
        <v>4522</v>
      </c>
      <c r="Q7" s="42">
        <f>C6-C7</f>
        <v>675215</v>
      </c>
      <c r="R7" s="42">
        <f t="shared" ref="R7:R15" si="5">SUM(N7:Q7)</f>
        <v>769593</v>
      </c>
      <c r="S7" s="30">
        <f t="shared" ref="S7:S15" si="6">R7*((((N7*Q7)-(O7*P7))^2))</f>
        <v>4.835735856206206E+22</v>
      </c>
      <c r="T7" s="30">
        <f t="shared" ref="T7:T15" si="7">(N7+O7)*(P7+Q7)*(N7+P7)*(O7+Q7)</f>
        <v>2.2194468594197938E+20</v>
      </c>
      <c r="U7" s="31">
        <f t="shared" ref="U7:U15" si="8">IF((S7&gt;0),S7/T7,"- -")</f>
        <v>217.88022703415214</v>
      </c>
    </row>
    <row r="8" spans="2:21" ht="18" customHeight="1">
      <c r="B8" s="32" t="str">
        <f>'Data Entry'!A8</f>
        <v>3. Refer to Juvenile Court</v>
      </c>
      <c r="C8" s="33">
        <f>'Data Entry'!C8</f>
        <v>7285</v>
      </c>
      <c r="D8" s="34">
        <f>IF((AND(C67&gt;0,C8&gt;0)),(C8/C67),0)</f>
        <v>161.10128261831048</v>
      </c>
      <c r="E8" s="33">
        <f>'Data Entry'!E8</f>
        <v>567</v>
      </c>
      <c r="F8" s="34">
        <f>IF((AND($E$8&gt;0,$D$67&gt;0)),($E8/$D67),0)</f>
        <v>247.59825327510916</v>
      </c>
      <c r="G8" s="39">
        <f t="shared" si="0"/>
        <v>1.5369105028277881</v>
      </c>
      <c r="H8" s="40"/>
      <c r="I8" s="41"/>
      <c r="J8" s="40">
        <f>IF((ABS($U8)&gt;Defaults!D$7),1,2)</f>
        <v>1</v>
      </c>
      <c r="K8" s="39">
        <f>IF((AND(N8&gt;Defaults!B$12,(N8+O8)&gt;Defaults!B$13, P8 &gt; Defaults!B$12, (P8+Q8) &gt; Defaults!B$13)),1,20)</f>
        <v>1</v>
      </c>
      <c r="L8" s="1">
        <f t="shared" si="1"/>
        <v>1</v>
      </c>
      <c r="M8" s="1" t="b">
        <f t="shared" si="2"/>
        <v>1</v>
      </c>
      <c r="N8" s="42">
        <f t="shared" si="3"/>
        <v>567</v>
      </c>
      <c r="O8" s="42">
        <f>((D67*L67)-E8)+0.05</f>
        <v>-337.95</v>
      </c>
      <c r="P8" s="42">
        <f t="shared" si="4"/>
        <v>7285</v>
      </c>
      <c r="Q8" s="42">
        <f>(C$67*L67)-C8</f>
        <v>-2763</v>
      </c>
      <c r="R8" s="42">
        <f t="shared" si="5"/>
        <v>4751.05</v>
      </c>
      <c r="S8" s="30">
        <f t="shared" si="6"/>
        <v>3808642275757092</v>
      </c>
      <c r="T8" s="30">
        <f t="shared" si="7"/>
        <v>-25219467289647.539</v>
      </c>
      <c r="U8" s="31">
        <f t="shared" si="8"/>
        <v>-151.01993360979992</v>
      </c>
    </row>
    <row r="9" spans="2:21" ht="18" customHeight="1">
      <c r="B9" s="32" t="str">
        <f>'Data Entry'!A9</f>
        <v xml:space="preserve">4. Cases Diverted </v>
      </c>
      <c r="C9" s="33">
        <f>'Data Entry'!C9</f>
        <v>1889</v>
      </c>
      <c r="D9" s="34">
        <f>IF((AND(C68&gt;0,C9&gt;0)),((C9/C68)),0)</f>
        <v>25.92999313658202</v>
      </c>
      <c r="E9" s="33">
        <f>'Data Entry'!E9</f>
        <v>179</v>
      </c>
      <c r="F9" s="34">
        <f>IF((AND($E$9&gt;0,$D$68&gt;0)),(($E$9/$D$68)),0)</f>
        <v>31.569664902998237</v>
      </c>
      <c r="G9" s="39">
        <f t="shared" si="0"/>
        <v>1.2174960763279097</v>
      </c>
      <c r="H9" s="40"/>
      <c r="I9" s="41"/>
      <c r="J9" s="40">
        <f>IF((ABS($U9)&gt;Defaults!D$7),1,2)</f>
        <v>1</v>
      </c>
      <c r="K9" s="39">
        <f>IF((AND(N9&gt;Defaults!B$12,(N9+O9)&gt;Defaults!B$13, P9 &gt; Defaults!B$12, (P9+Q9) &gt; Defaults!B$13)),1,20)</f>
        <v>1</v>
      </c>
      <c r="L9" s="1">
        <f t="shared" si="1"/>
        <v>1</v>
      </c>
      <c r="M9" s="1" t="b">
        <f t="shared" si="2"/>
        <v>1</v>
      </c>
      <c r="N9" s="42">
        <f t="shared" si="3"/>
        <v>179</v>
      </c>
      <c r="O9" s="42">
        <f>(D$68*L68)-E9</f>
        <v>388</v>
      </c>
      <c r="P9" s="42">
        <f t="shared" si="4"/>
        <v>1889</v>
      </c>
      <c r="Q9" s="42">
        <f>(C$68*L68)-C9</f>
        <v>5395.9999999999991</v>
      </c>
      <c r="R9" s="42">
        <f t="shared" si="5"/>
        <v>7851.9999999999991</v>
      </c>
      <c r="S9" s="30">
        <f t="shared" si="6"/>
        <v>426101612555007.56</v>
      </c>
      <c r="T9" s="30">
        <f t="shared" si="7"/>
        <v>49407335540639.984</v>
      </c>
      <c r="U9" s="31">
        <f t="shared" si="8"/>
        <v>8.6242580761012277</v>
      </c>
    </row>
    <row r="10" spans="2:21" ht="18" customHeight="1">
      <c r="B10" s="32" t="str">
        <f>'Data Entry'!A10</f>
        <v>5. Cases Involving Secure Detention</v>
      </c>
      <c r="C10" s="33">
        <f>'Data Entry'!C10</f>
        <v>865</v>
      </c>
      <c r="D10" s="34">
        <f>IF(((AND(C68&gt;0,C10&gt;0))),(C10/(C68)),0)</f>
        <v>11.873713109128348</v>
      </c>
      <c r="E10" s="33">
        <f>'Data Entry'!E10</f>
        <v>176</v>
      </c>
      <c r="F10" s="34">
        <f>IF(((AND($E$10&gt;0,$D$68&gt;0))),($E$10/($D$68)),0)</f>
        <v>31.040564373897709</v>
      </c>
      <c r="G10" s="39">
        <f t="shared" si="0"/>
        <v>2.614225566056009</v>
      </c>
      <c r="H10" s="40"/>
      <c r="I10" s="41"/>
      <c r="J10" s="40">
        <f>IF((ABS($U10)&gt;Defaults!D$7),1,2)</f>
        <v>1</v>
      </c>
      <c r="K10" s="39">
        <f>IF((AND(N10&gt;Defaults!B$12,(N10+O10)&gt;Defaults!B$13, P10 &gt; Defaults!B$12, (P10+Q10) &gt; Defaults!B$13)),1,20)</f>
        <v>1</v>
      </c>
      <c r="L10" s="1">
        <f t="shared" si="1"/>
        <v>1</v>
      </c>
      <c r="M10" s="1" t="b">
        <f t="shared" si="2"/>
        <v>1</v>
      </c>
      <c r="N10" s="42">
        <f t="shared" si="3"/>
        <v>176</v>
      </c>
      <c r="O10" s="42">
        <f>(D$68*L68)-E10</f>
        <v>391</v>
      </c>
      <c r="P10" s="42">
        <f t="shared" si="4"/>
        <v>865</v>
      </c>
      <c r="Q10" s="42">
        <f>(C$68*L68)-C10</f>
        <v>6419.9999999999991</v>
      </c>
      <c r="R10" s="42">
        <f t="shared" si="5"/>
        <v>7851.9999999999991</v>
      </c>
      <c r="S10" s="30">
        <f t="shared" si="6"/>
        <v>4921608528760297</v>
      </c>
      <c r="T10" s="30">
        <f t="shared" si="7"/>
        <v>29286955329344.988</v>
      </c>
      <c r="U10" s="31">
        <f t="shared" si="8"/>
        <v>168.04780399377793</v>
      </c>
    </row>
    <row r="11" spans="2:21" ht="18" customHeight="1">
      <c r="B11" s="32" t="str">
        <f>'Data Entry'!A11</f>
        <v>6. Cases Petitioned (Charge Filed)</v>
      </c>
      <c r="C11" s="33">
        <f>'Data Entry'!C11</f>
        <v>3652</v>
      </c>
      <c r="D11" s="34">
        <f>IF(((AND(C68&gt;0,C11&gt;0))),(C11/(C68)),0)</f>
        <v>50.130404941660949</v>
      </c>
      <c r="E11" s="33">
        <f>'Data Entry'!E11</f>
        <v>342</v>
      </c>
      <c r="F11" s="34">
        <f>IF(((AND($E$11&gt;0,$D$68&gt;0))),($E$11/($D$68)),0)</f>
        <v>60.317460317460316</v>
      </c>
      <c r="G11" s="39">
        <f t="shared" si="0"/>
        <v>1.203211112849667</v>
      </c>
      <c r="H11" s="40"/>
      <c r="I11" s="41"/>
      <c r="J11" s="40">
        <f>IF((ABS($U11)&gt;Defaults!D$7),1,2)</f>
        <v>1</v>
      </c>
      <c r="K11" s="39">
        <f>IF((AND(N11&gt;Defaults!B$12,(N11+O11)&gt;Defaults!B$13, P11 &gt; Defaults!B$12, (P11+Q11) &gt; Defaults!B$13)),1,20)</f>
        <v>1</v>
      </c>
      <c r="L11" s="1">
        <f t="shared" si="1"/>
        <v>1</v>
      </c>
      <c r="M11" s="1" t="b">
        <f t="shared" si="2"/>
        <v>1</v>
      </c>
      <c r="N11" s="42">
        <f t="shared" si="3"/>
        <v>342</v>
      </c>
      <c r="O11" s="42">
        <f>(D$68*L68)-E11</f>
        <v>225</v>
      </c>
      <c r="P11" s="42">
        <f t="shared" si="4"/>
        <v>3652</v>
      </c>
      <c r="Q11" s="42">
        <f>(C$68*L68)-C11</f>
        <v>3632.9999999999991</v>
      </c>
      <c r="R11" s="42">
        <f t="shared" si="5"/>
        <v>7851.9999999999991</v>
      </c>
      <c r="S11" s="30">
        <f t="shared" si="6"/>
        <v>1390281855414190.5</v>
      </c>
      <c r="T11" s="30">
        <f t="shared" si="7"/>
        <v>63647727026939.977</v>
      </c>
      <c r="U11" s="31">
        <f t="shared" si="8"/>
        <v>21.843385779129711</v>
      </c>
    </row>
    <row r="12" spans="2:21" ht="18" customHeight="1">
      <c r="B12" s="32" t="str">
        <f>'Data Entry'!A12</f>
        <v>7. Cases Resulting in Delinquent Findings</v>
      </c>
      <c r="C12" s="33">
        <f>'Data Entry'!C12</f>
        <v>2346</v>
      </c>
      <c r="D12" s="34">
        <f>IF(((AND(C69&gt;0,C12&gt;0))),(C12/(C69)),0)</f>
        <v>64.238773274917847</v>
      </c>
      <c r="E12" s="33">
        <f>'Data Entry'!E12</f>
        <v>208</v>
      </c>
      <c r="F12" s="34">
        <f>IF(((AND($D$69&gt;0,$E$12&gt;0))),(E12/(D69)),0)</f>
        <v>60.8187134502924</v>
      </c>
      <c r="G12" s="39">
        <f t="shared" si="0"/>
        <v>0.94676019403438982</v>
      </c>
      <c r="H12" s="40"/>
      <c r="I12" s="41"/>
      <c r="J12" s="40">
        <f>IF((ABS($U12)&gt;Defaults!D$7),1,2)</f>
        <v>2</v>
      </c>
      <c r="K12" s="39">
        <f>IF((AND(N12&gt;Defaults!B$12,(N12+O12)&gt;Defaults!B$13, P12 &gt; Defaults!B$12, (P12+Q12) &gt; Defaults!B$13)),1,20)</f>
        <v>1</v>
      </c>
      <c r="L12" s="1">
        <f t="shared" si="1"/>
        <v>2</v>
      </c>
      <c r="M12" s="1" t="b">
        <f t="shared" si="2"/>
        <v>1</v>
      </c>
      <c r="N12" s="42">
        <f t="shared" si="3"/>
        <v>208</v>
      </c>
      <c r="O12" s="42">
        <f>(D69*L69)-E12</f>
        <v>134</v>
      </c>
      <c r="P12" s="42">
        <f t="shared" si="4"/>
        <v>2346</v>
      </c>
      <c r="Q12" s="42">
        <f>(C69*L69)-C12</f>
        <v>1306.0000000000005</v>
      </c>
      <c r="R12" s="42">
        <f t="shared" si="5"/>
        <v>3994.0000000000005</v>
      </c>
      <c r="S12" s="30">
        <f t="shared" si="6"/>
        <v>7287678684063.9609</v>
      </c>
      <c r="T12" s="30">
        <f t="shared" si="7"/>
        <v>4593463395840.002</v>
      </c>
      <c r="U12" s="31">
        <f t="shared" si="8"/>
        <v>1.5865324388268627</v>
      </c>
    </row>
    <row r="13" spans="2:21" ht="18" customHeight="1">
      <c r="B13" s="32" t="str">
        <f>'Data Entry'!A13</f>
        <v>8. Cases Resulting in Probation Placement</v>
      </c>
      <c r="C13" s="33">
        <f>'Data Entry'!C13</f>
        <v>1965</v>
      </c>
      <c r="D13" s="34">
        <f>IF(((AND(C70&gt;0,C13&gt;0))),(C13/(C70)),0)</f>
        <v>83.759590792838878</v>
      </c>
      <c r="E13" s="33">
        <f>'Data Entry'!E13</f>
        <v>212</v>
      </c>
      <c r="F13" s="34">
        <f>IF(((AND($D$70&gt;0,$E$13&gt;0))),($E$13/($D$70)),0)</f>
        <v>101.92307692307692</v>
      </c>
      <c r="G13" s="39">
        <f t="shared" si="0"/>
        <v>1.216852613035819</v>
      </c>
      <c r="H13" s="40"/>
      <c r="I13" s="41"/>
      <c r="J13" s="40">
        <f>IF((ABS($U13)&gt;Defaults!D$7),1,2)</f>
        <v>1</v>
      </c>
      <c r="K13" s="39">
        <f>IF((AND(N13&gt;Defaults!B$12,(N13+O13)&gt;Defaults!B$13, P13 &gt; Defaults!B$12, (P13+Q13) &gt; Defaults!B$13)),1,20)</f>
        <v>1</v>
      </c>
      <c r="L13" s="1">
        <f t="shared" si="1"/>
        <v>1</v>
      </c>
      <c r="M13" s="1" t="b">
        <f t="shared" si="2"/>
        <v>1</v>
      </c>
      <c r="N13" s="42">
        <f t="shared" si="3"/>
        <v>212</v>
      </c>
      <c r="O13" s="42">
        <f>(D70*L70)-E13</f>
        <v>-4</v>
      </c>
      <c r="P13" s="42">
        <f t="shared" si="4"/>
        <v>1965</v>
      </c>
      <c r="Q13" s="42">
        <f>(C70*L70)-C13</f>
        <v>381</v>
      </c>
      <c r="R13" s="42">
        <f t="shared" si="5"/>
        <v>2554</v>
      </c>
      <c r="S13" s="30">
        <f t="shared" si="6"/>
        <v>20063282656896</v>
      </c>
      <c r="T13" s="30">
        <f t="shared" si="7"/>
        <v>400489488672</v>
      </c>
      <c r="U13" s="31">
        <f t="shared" si="8"/>
        <v>50.096901977189681</v>
      </c>
    </row>
    <row r="14" spans="2:21" ht="30.75" customHeight="1">
      <c r="B14" s="32" t="str">
        <f>'Data Entry'!A14</f>
        <v xml:space="preserve">9. Cases Resulting in Confinement in Secure Juvenile Correctional Facilities </v>
      </c>
      <c r="C14" s="33">
        <f>'Data Entry'!C14</f>
        <v>551</v>
      </c>
      <c r="D14" s="34">
        <f>IF(((AND(C70&gt;0,C14&gt;0))), ((C14/(C70))),0)</f>
        <v>23.486786018755328</v>
      </c>
      <c r="E14" s="33">
        <f>'Data Entry'!E14</f>
        <v>27</v>
      </c>
      <c r="F14" s="34">
        <f>IF(((AND($D$70&gt;0,$E$14&gt;0))), (($E$14/($D$70))),0)</f>
        <v>12.98076923076923</v>
      </c>
      <c r="G14" s="39">
        <f t="shared" si="0"/>
        <v>0.55268393131369531</v>
      </c>
      <c r="H14" s="40"/>
      <c r="I14" s="41"/>
      <c r="J14" s="40">
        <f>IF((ABS($U14)&gt;Defaults!D$7),1,2)</f>
        <v>1</v>
      </c>
      <c r="K14" s="39">
        <f>IF((AND(N14&gt;Defaults!B$12,(N14+O14)&gt;Defaults!B$13, P14 &gt; Defaults!B$12, (P14+Q14) &gt; Defaults!B$13)),1,20)</f>
        <v>1</v>
      </c>
      <c r="L14" s="1">
        <f t="shared" si="1"/>
        <v>1</v>
      </c>
      <c r="M14" s="1" t="b">
        <f t="shared" si="2"/>
        <v>1</v>
      </c>
      <c r="N14" s="42">
        <f t="shared" si="3"/>
        <v>27</v>
      </c>
      <c r="O14" s="42">
        <f>(D70*L70)-E14</f>
        <v>181</v>
      </c>
      <c r="P14" s="42">
        <f t="shared" si="4"/>
        <v>551</v>
      </c>
      <c r="Q14" s="42">
        <f>(C70*L70)-C14</f>
        <v>1795</v>
      </c>
      <c r="R14" s="42">
        <f t="shared" si="5"/>
        <v>2554</v>
      </c>
      <c r="S14" s="30">
        <f t="shared" si="6"/>
        <v>6712429838824</v>
      </c>
      <c r="T14" s="30">
        <f t="shared" si="7"/>
        <v>557321915904</v>
      </c>
      <c r="U14" s="31">
        <f t="shared" si="8"/>
        <v>12.044080175702675</v>
      </c>
    </row>
    <row r="15" spans="2:21" ht="15.75" customHeight="1">
      <c r="B15" s="32" t="str">
        <f>'Data Entry'!A15</f>
        <v xml:space="preserve">10. Cases Transferred to Adult Court </v>
      </c>
      <c r="C15" s="33">
        <f>'Data Entry'!C15</f>
        <v>3</v>
      </c>
      <c r="D15" s="34">
        <f>IF(((AND(C69&gt;0,C15&gt;0))),((C15/(C69))),0)</f>
        <v>8.2146768893756841E-2</v>
      </c>
      <c r="E15" s="33">
        <f>'Data Entry'!E15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342</v>
      </c>
      <c r="P15" s="42">
        <f t="shared" si="4"/>
        <v>3</v>
      </c>
      <c r="Q15" s="42">
        <f>(C69*L69)-C15</f>
        <v>3649.0000000000005</v>
      </c>
      <c r="R15" s="42">
        <f t="shared" si="5"/>
        <v>3994.0000000000005</v>
      </c>
      <c r="S15" s="30">
        <f t="shared" si="6"/>
        <v>4204387944.0000005</v>
      </c>
      <c r="T15" s="30">
        <f t="shared" si="7"/>
        <v>14954085432.000006</v>
      </c>
      <c r="U15" s="31">
        <f t="shared" si="8"/>
        <v>0.28115313123750774</v>
      </c>
    </row>
    <row r="16" spans="2:21" ht="12" customHeight="1">
      <c r="B16" s="43" t="s">
        <v>130</v>
      </c>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56</v>
      </c>
    </row>
    <row r="19" spans="2:21" ht="15" customHeight="1">
      <c r="B19" s="1" t="s">
        <v>98</v>
      </c>
      <c r="D19" s="45" t="s">
        <v>58</v>
      </c>
    </row>
    <row r="20" spans="2:21" ht="15" customHeight="1">
      <c r="B20" s="1" t="s">
        <v>99</v>
      </c>
      <c r="D20" s="1" t="s">
        <v>62</v>
      </c>
    </row>
    <row r="21" spans="2:21" ht="15" customHeight="1">
      <c r="B21" s="1" t="s">
        <v>59</v>
      </c>
      <c r="D21" s="1" t="s">
        <v>60</v>
      </c>
    </row>
    <row r="22" spans="2:21" ht="15" customHeight="1">
      <c r="B22" s="1" t="s">
        <v>63</v>
      </c>
      <c r="D22" s="1" t="s">
        <v>64</v>
      </c>
    </row>
    <row r="23" spans="2:21" ht="15" customHeight="1">
      <c r="B23" s="1" t="s">
        <v>65</v>
      </c>
      <c r="D23" s="1" t="s">
        <v>66</v>
      </c>
    </row>
    <row r="24" spans="2:21" ht="11.25" customHeight="1">
      <c r="B24" s="62"/>
      <c r="C24" s="62"/>
      <c r="D24" s="62"/>
      <c r="E24" s="62"/>
      <c r="F24" s="62"/>
      <c r="G24" s="62"/>
      <c r="H24" s="62"/>
      <c r="I24" s="62"/>
      <c r="K24" s="1" t="s">
        <v>131</v>
      </c>
      <c r="L24" s="1" t="s">
        <v>132</v>
      </c>
      <c r="N24" s="21"/>
      <c r="O24" s="21"/>
      <c r="P24" s="21"/>
      <c r="Q24" s="21"/>
      <c r="R24" s="21"/>
      <c r="S24" s="30"/>
      <c r="T24" s="30"/>
      <c r="U24" s="31"/>
    </row>
    <row r="25" spans="2:21" ht="15" customHeight="1">
      <c r="B25" s="46" t="s">
        <v>100</v>
      </c>
      <c r="K25" s="1" t="s">
        <v>101</v>
      </c>
      <c r="L25" s="1" t="s">
        <v>102</v>
      </c>
      <c r="N25" s="21"/>
      <c r="O25" s="21" t="b">
        <f>ISBLANK(N12)</f>
        <v>0</v>
      </c>
      <c r="P25" s="21"/>
      <c r="Q25" s="21"/>
      <c r="R25" s="21"/>
    </row>
    <row r="26" spans="2:21" ht="15" customHeight="1">
      <c r="B26" s="47" t="s">
        <v>103</v>
      </c>
      <c r="F26" s="47" t="s">
        <v>104</v>
      </c>
      <c r="G26" s="47"/>
      <c r="H26" s="47"/>
      <c r="I26" s="47"/>
      <c r="J26" s="47"/>
      <c r="K26" s="48" t="s">
        <v>66</v>
      </c>
      <c r="L26" s="48" t="s">
        <v>105</v>
      </c>
      <c r="M26" s="48"/>
      <c r="R26" s="49"/>
    </row>
    <row r="27" spans="2:21" ht="15" customHeight="1">
      <c r="B27" s="50" t="s">
        <v>106</v>
      </c>
      <c r="C27" s="50"/>
      <c r="D27" s="50"/>
      <c r="E27" s="50"/>
      <c r="F27" s="50" t="str">
        <f>B66</f>
        <v>per 1000 youth</v>
      </c>
      <c r="G27" s="50"/>
      <c r="H27" s="50"/>
      <c r="I27" s="50"/>
      <c r="J27" s="50">
        <f>F66</f>
        <v>0</v>
      </c>
      <c r="K27" s="50" t="s">
        <v>64</v>
      </c>
      <c r="L27" s="51" t="s">
        <v>107</v>
      </c>
      <c r="R27" s="49"/>
    </row>
    <row r="28" spans="2:21" ht="15" customHeight="1">
      <c r="B28" s="50" t="s">
        <v>108</v>
      </c>
      <c r="C28" s="50"/>
      <c r="D28" s="50"/>
      <c r="E28" s="50"/>
      <c r="F28" s="52" t="str">
        <f>B67</f>
        <v>per 100 arrests</v>
      </c>
      <c r="G28" s="52"/>
      <c r="H28" s="52"/>
      <c r="I28" s="52"/>
      <c r="J28" s="52"/>
      <c r="K28" s="52" t="s">
        <v>60</v>
      </c>
      <c r="L28" s="53" t="s">
        <v>109</v>
      </c>
      <c r="R28" s="49"/>
    </row>
    <row r="29" spans="2:21" ht="15" customHeight="1">
      <c r="B29" s="52" t="s">
        <v>110</v>
      </c>
      <c r="C29" s="52"/>
      <c r="D29" s="52"/>
      <c r="E29" s="52"/>
      <c r="F29" s="52" t="str">
        <f>B68</f>
        <v>per 100 referrals</v>
      </c>
      <c r="G29" s="52"/>
      <c r="H29" s="52"/>
      <c r="I29" s="52"/>
      <c r="J29" s="52"/>
      <c r="K29" s="52"/>
      <c r="L29" s="53"/>
      <c r="R29" s="49"/>
    </row>
    <row r="30" spans="2:21" ht="15" customHeight="1">
      <c r="B30" s="52" t="s">
        <v>111</v>
      </c>
      <c r="C30" s="52"/>
      <c r="D30" s="52"/>
      <c r="E30" s="52"/>
      <c r="F30" s="52" t="str">
        <f>B68</f>
        <v>per 100 referrals</v>
      </c>
      <c r="G30" s="52"/>
      <c r="H30" s="52"/>
      <c r="I30" s="52"/>
      <c r="J30" s="52"/>
      <c r="K30" s="52"/>
      <c r="L30" s="53"/>
      <c r="N30" s="1" t="b">
        <f>ISNUMBER(J14)</f>
        <v>1</v>
      </c>
      <c r="R30" s="49"/>
    </row>
    <row r="31" spans="2:21" ht="15" customHeight="1">
      <c r="B31" s="52" t="s">
        <v>112</v>
      </c>
      <c r="C31" s="52"/>
      <c r="D31" s="52"/>
      <c r="E31" s="52"/>
      <c r="F31" s="52" t="str">
        <f>B68</f>
        <v>per 100 referrals</v>
      </c>
      <c r="G31" s="52"/>
      <c r="H31" s="52"/>
      <c r="I31" s="52"/>
      <c r="J31" s="52"/>
      <c r="K31" s="52"/>
      <c r="L31" s="53"/>
      <c r="R31" s="49"/>
    </row>
    <row r="32" spans="2:21" ht="15" customHeight="1">
      <c r="B32" s="52" t="s">
        <v>113</v>
      </c>
      <c r="C32" s="52"/>
      <c r="D32" s="52"/>
      <c r="E32" s="52"/>
      <c r="F32" s="52" t="str">
        <f>B69</f>
        <v>per 100 youth petitioned</v>
      </c>
      <c r="G32" s="52"/>
      <c r="H32" s="52"/>
      <c r="I32" s="52"/>
      <c r="J32" s="52"/>
      <c r="K32" s="52"/>
      <c r="L32" s="53"/>
      <c r="R32" s="49"/>
    </row>
    <row r="33" spans="2:18" ht="15" customHeight="1">
      <c r="B33" s="52" t="s">
        <v>114</v>
      </c>
      <c r="C33" s="52"/>
      <c r="D33" s="52"/>
      <c r="E33" s="52"/>
      <c r="F33" s="52" t="str">
        <f>B70</f>
        <v>per 100 youth found delinquent</v>
      </c>
      <c r="G33" s="52"/>
      <c r="H33" s="52"/>
      <c r="I33" s="52"/>
      <c r="J33" s="52"/>
      <c r="K33" s="52"/>
      <c r="L33" s="53"/>
      <c r="R33" s="49"/>
    </row>
    <row r="34" spans="2:18" ht="15" customHeight="1">
      <c r="B34" s="52" t="s">
        <v>115</v>
      </c>
      <c r="C34" s="52"/>
      <c r="D34" s="52"/>
      <c r="E34" s="52"/>
      <c r="F34" s="52" t="str">
        <f>B70</f>
        <v>per 100 youth found delinquent</v>
      </c>
      <c r="G34" s="52"/>
      <c r="H34" s="52"/>
      <c r="I34" s="52"/>
      <c r="J34" s="52"/>
      <c r="K34" s="52"/>
      <c r="L34" s="53"/>
      <c r="R34" s="49"/>
    </row>
    <row r="35" spans="2:18" ht="15" customHeight="1">
      <c r="B35" s="52" t="s">
        <v>116</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187" t="s">
        <v>117</v>
      </c>
      <c r="C40" s="187"/>
      <c r="D40" s="187"/>
      <c r="E40" s="187"/>
      <c r="F40" s="187"/>
      <c r="G40" s="187"/>
      <c r="H40" s="187"/>
      <c r="I40" s="187"/>
      <c r="J40" s="187"/>
      <c r="K40" s="8"/>
      <c r="R40" s="49"/>
    </row>
    <row r="41" spans="2:18" ht="15" hidden="1" customHeight="1">
      <c r="B41" s="54" t="s">
        <v>118</v>
      </c>
      <c r="C41" s="54" t="s">
        <v>119</v>
      </c>
      <c r="D41" s="55" t="s">
        <v>120</v>
      </c>
      <c r="E41" s="54" t="s">
        <v>121</v>
      </c>
      <c r="G41" s="54" t="s">
        <v>122</v>
      </c>
      <c r="H41" s="54"/>
      <c r="I41" s="54"/>
      <c r="L41" s="1" t="s">
        <v>123</v>
      </c>
      <c r="R41" s="49"/>
    </row>
    <row r="42" spans="2:18" ht="15" hidden="1" customHeight="1">
      <c r="B42" s="49" t="s">
        <v>124</v>
      </c>
      <c r="C42" s="56">
        <f>C6/1000</f>
        <v>679.73699999999997</v>
      </c>
      <c r="D42" s="56">
        <f>E6/1000</f>
        <v>89.855999999999995</v>
      </c>
      <c r="E42" s="56">
        <f>MAX(C42:D42)</f>
        <v>679.73699999999997</v>
      </c>
      <c r="G42" s="1" t="str">
        <f>B42</f>
        <v>per 1000 youth</v>
      </c>
      <c r="L42" s="57">
        <v>1000</v>
      </c>
      <c r="M42" s="57"/>
      <c r="R42" s="49"/>
    </row>
    <row r="43" spans="2:18" ht="15" hidden="1" customHeight="1">
      <c r="B43" s="49" t="s">
        <v>125</v>
      </c>
      <c r="C43" s="56">
        <f>C7/100</f>
        <v>45.22</v>
      </c>
      <c r="D43" s="56">
        <f>E7/100</f>
        <v>2.29</v>
      </c>
      <c r="E43" s="56">
        <f>MAX(C43:D43,0)</f>
        <v>45.22</v>
      </c>
      <c r="G43" s="1" t="str">
        <f>B43</f>
        <v>per 100 arrests</v>
      </c>
      <c r="L43" s="57">
        <v>100</v>
      </c>
      <c r="M43" s="57"/>
      <c r="R43" s="49"/>
    </row>
    <row r="44" spans="2:18" ht="15" hidden="1" customHeight="1">
      <c r="B44" s="49" t="s">
        <v>126</v>
      </c>
      <c r="C44" s="56">
        <f>C8/100</f>
        <v>72.849999999999994</v>
      </c>
      <c r="D44" s="56">
        <f>E8/100</f>
        <v>5.67</v>
      </c>
      <c r="E44" s="56">
        <f>MAX(C44:D44,0)</f>
        <v>72.849999999999994</v>
      </c>
      <c r="G44" s="1" t="str">
        <f>B44</f>
        <v>per 100 referrals</v>
      </c>
      <c r="L44" s="57">
        <v>100</v>
      </c>
      <c r="M44" s="57"/>
      <c r="R44" s="49"/>
    </row>
    <row r="45" spans="2:18" ht="15" hidden="1" customHeight="1">
      <c r="B45" s="49" t="s">
        <v>127</v>
      </c>
      <c r="C45" s="49">
        <f>C11/100</f>
        <v>36.520000000000003</v>
      </c>
      <c r="D45" s="49">
        <f>E11/100</f>
        <v>3.42</v>
      </c>
      <c r="E45" s="56">
        <f>MAX(C45:D45,0)</f>
        <v>36.520000000000003</v>
      </c>
      <c r="G45" s="1" t="str">
        <f>B45</f>
        <v>per 100 youth petitioned</v>
      </c>
      <c r="L45" s="57">
        <v>100</v>
      </c>
      <c r="M45" s="57"/>
      <c r="R45" s="49"/>
    </row>
    <row r="46" spans="2:18" ht="15" hidden="1" customHeight="1">
      <c r="B46" s="49" t="s">
        <v>128</v>
      </c>
      <c r="C46" s="49">
        <f>C12/100</f>
        <v>23.46</v>
      </c>
      <c r="D46" s="49">
        <f>E12/100</f>
        <v>2.08</v>
      </c>
      <c r="E46" s="56">
        <f>MAX(C46:D46)</f>
        <v>23.46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89.855999999999995</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45.22</v>
      </c>
      <c r="D49" s="49">
        <f t="shared" si="9"/>
        <v>2.29</v>
      </c>
      <c r="E49" s="49">
        <f>MAX(C49:D49)</f>
        <v>45.22</v>
      </c>
      <c r="G49" s="1" t="str">
        <f>G43</f>
        <v>per 100 arrests</v>
      </c>
      <c r="L49" s="58">
        <f>IF(($E43&gt;0),L43,L42)</f>
        <v>100</v>
      </c>
      <c r="M49" s="58"/>
      <c r="N49" s="21"/>
      <c r="O49" s="21"/>
      <c r="P49" s="21"/>
      <c r="Q49" s="21"/>
      <c r="R49" s="21"/>
    </row>
    <row r="50" spans="2:18" ht="15" hidden="1" customHeight="1">
      <c r="B50" s="49" t="str">
        <f t="shared" si="9"/>
        <v>per 100 referrals</v>
      </c>
      <c r="C50" s="49">
        <f t="shared" si="9"/>
        <v>72.849999999999994</v>
      </c>
      <c r="D50" s="49">
        <f t="shared" si="9"/>
        <v>5.67</v>
      </c>
      <c r="E50" s="49">
        <f>MAX(C50:D50)</f>
        <v>72.849999999999994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36.520000000000003</v>
      </c>
      <c r="D51" s="49">
        <f>IF(($E45&gt;0),D45,D44)</f>
        <v>3.42</v>
      </c>
      <c r="E51" s="49">
        <f>MAX(C51:D51)</f>
        <v>36.520000000000003</v>
      </c>
      <c r="G51" s="1" t="str">
        <f>G45</f>
        <v>per 100 youth petitioned</v>
      </c>
      <c r="L51" s="58">
        <f>IF(($E45&gt;0),L45,L44)</f>
        <v>100</v>
      </c>
      <c r="M51" s="58"/>
    </row>
    <row r="52" spans="2:18" ht="15" hidden="1" customHeight="1">
      <c r="B52" s="49" t="str">
        <f>IF(($E46&gt;0),B46,B45)</f>
        <v>per 100 youth found delinquent</v>
      </c>
      <c r="C52" s="49">
        <f>IF(($E46&gt;0),C46,C45)</f>
        <v>23.46</v>
      </c>
      <c r="D52" s="49">
        <f>IF(($E46&gt;0),D46,D45)</f>
        <v>2.08</v>
      </c>
      <c r="E52" s="56">
        <f>MAX(C52:D52)</f>
        <v>23.46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89.855999999999995</v>
      </c>
      <c r="E54" s="56">
        <f>MAX(C54:D54)</f>
        <v>679.73699999999997</v>
      </c>
      <c r="G54" s="1" t="str">
        <f>G48</f>
        <v>per 1000 youth</v>
      </c>
      <c r="L54" s="58">
        <f>L48</f>
        <v>1000</v>
      </c>
      <c r="M54" s="58"/>
    </row>
    <row r="55" spans="2:18" ht="15" hidden="1" customHeight="1">
      <c r="B55" s="49" t="str">
        <f t="shared" ref="B55:D56" si="10">IF(($E49&gt;0),B49,B48)</f>
        <v>per 100 arrests</v>
      </c>
      <c r="C55" s="49">
        <f t="shared" si="10"/>
        <v>45.22</v>
      </c>
      <c r="D55" s="49">
        <f t="shared" si="10"/>
        <v>2.29</v>
      </c>
      <c r="E55" s="49">
        <f>MAX(C55:D55)</f>
        <v>45.22</v>
      </c>
      <c r="G55" s="1" t="str">
        <f>G49</f>
        <v>per 100 arrests</v>
      </c>
      <c r="L55" s="58">
        <f>IF(($E49&gt;0),L49,L48)</f>
        <v>100</v>
      </c>
      <c r="M55" s="58"/>
    </row>
    <row r="56" spans="2:18" ht="15" hidden="1" customHeight="1">
      <c r="B56" s="49" t="str">
        <f t="shared" si="10"/>
        <v>per 100 referrals</v>
      </c>
      <c r="C56" s="49">
        <f t="shared" si="10"/>
        <v>72.849999999999994</v>
      </c>
      <c r="D56" s="49">
        <f t="shared" si="10"/>
        <v>5.67</v>
      </c>
      <c r="E56" s="49">
        <f>MAX(C56:D56)</f>
        <v>72.849999999999994</v>
      </c>
      <c r="G56" s="1" t="str">
        <f>G50</f>
        <v>per 100 referrals</v>
      </c>
      <c r="L56" s="58">
        <f>IF(($E50&gt;0),L50,L49)</f>
        <v>100</v>
      </c>
      <c r="M56" s="58"/>
    </row>
    <row r="57" spans="2:18" ht="15" hidden="1" customHeight="1">
      <c r="B57" s="49" t="str">
        <f>IF(($E51&gt;0),B51,B49)</f>
        <v>per 100 youth petitioned</v>
      </c>
      <c r="C57" s="49">
        <f>IF(($E51&gt;0),C51,C50)</f>
        <v>36.520000000000003</v>
      </c>
      <c r="D57" s="49">
        <f>IF(($E51&gt;0),D51,D50)</f>
        <v>3.42</v>
      </c>
      <c r="E57" s="49">
        <f>MAX(C57:D57)</f>
        <v>36.520000000000003</v>
      </c>
      <c r="G57" s="1" t="str">
        <f>G51</f>
        <v>per 100 youth petitioned</v>
      </c>
      <c r="L57" s="58">
        <f>IF(($E51&gt;0),L51,L50)</f>
        <v>100</v>
      </c>
      <c r="M57" s="58"/>
    </row>
    <row r="58" spans="2:18" ht="15" hidden="1" customHeight="1">
      <c r="B58" s="49" t="str">
        <f>IF(($E52&gt;0),B52,B51)</f>
        <v>per 100 youth found delinquent</v>
      </c>
      <c r="C58" s="49">
        <f>IF(($E52&gt;0),C52,C51)</f>
        <v>23.46</v>
      </c>
      <c r="D58" s="49">
        <f>IF(($E52&gt;0),D52,D51)</f>
        <v>2.08</v>
      </c>
      <c r="E58" s="56">
        <f>MAX(C58:D58)</f>
        <v>23.46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89.855999999999995</v>
      </c>
      <c r="E60" s="56">
        <f>MAX(C60:D60)</f>
        <v>679.73699999999997</v>
      </c>
      <c r="G60" s="1" t="str">
        <f>G54</f>
        <v>per 1000 youth</v>
      </c>
      <c r="L60" s="58">
        <f>L54</f>
        <v>1000</v>
      </c>
      <c r="M60" s="58"/>
    </row>
    <row r="61" spans="2:18" ht="15" hidden="1" customHeight="1">
      <c r="B61" s="49" t="str">
        <f t="shared" ref="B61:D62" si="11">IF(($E55&gt;0),B55,B54)</f>
        <v>per 100 arrests</v>
      </c>
      <c r="C61" s="49">
        <f t="shared" si="11"/>
        <v>45.22</v>
      </c>
      <c r="D61" s="49">
        <f t="shared" si="11"/>
        <v>2.29</v>
      </c>
      <c r="E61" s="49">
        <f>MAX(C61:D61)</f>
        <v>45.22</v>
      </c>
      <c r="G61" s="1" t="str">
        <f>G55</f>
        <v>per 100 arrests</v>
      </c>
      <c r="L61" s="58">
        <f>IF(($E55&gt;0),L55,L54)</f>
        <v>100</v>
      </c>
      <c r="M61" s="58"/>
    </row>
    <row r="62" spans="2:18" ht="15" hidden="1" customHeight="1">
      <c r="B62" s="49" t="str">
        <f t="shared" si="11"/>
        <v>per 100 referrals</v>
      </c>
      <c r="C62" s="49">
        <f t="shared" si="11"/>
        <v>72.849999999999994</v>
      </c>
      <c r="D62" s="49">
        <f t="shared" si="11"/>
        <v>5.67</v>
      </c>
      <c r="E62" s="49">
        <f>MAX(C62:D62)</f>
        <v>72.849999999999994</v>
      </c>
      <c r="G62" s="1" t="str">
        <f>G56</f>
        <v>per 100 referrals</v>
      </c>
      <c r="L62" s="58">
        <f>IF(($E56&gt;0),L56,L55)</f>
        <v>100</v>
      </c>
      <c r="M62" s="58"/>
    </row>
    <row r="63" spans="2:18" ht="15" hidden="1" customHeight="1">
      <c r="B63" s="49" t="str">
        <f>IF(($E57&gt;0),B57,B55)</f>
        <v>per 100 youth petitioned</v>
      </c>
      <c r="C63" s="49">
        <f>IF(($E57&gt;0),C57,C56)</f>
        <v>36.520000000000003</v>
      </c>
      <c r="D63" s="49">
        <f>IF(($E57&gt;0),D57,D56)</f>
        <v>3.42</v>
      </c>
      <c r="E63" s="49">
        <f>MAX(C63:D63)</f>
        <v>36.520000000000003</v>
      </c>
      <c r="G63" s="1" t="str">
        <f>G57</f>
        <v>per 100 youth petitioned</v>
      </c>
      <c r="L63" s="58">
        <f>IF(($E57&gt;0),L57,L56)</f>
        <v>100</v>
      </c>
      <c r="M63" s="58"/>
    </row>
    <row r="64" spans="2:18" ht="15" hidden="1" customHeight="1">
      <c r="B64" s="49" t="str">
        <f>IF(($E58&gt;0),B58,B57)</f>
        <v>per 100 youth found delinquent</v>
      </c>
      <c r="C64" s="49">
        <f>IF(($E58&gt;0),C58,C57)</f>
        <v>23.46</v>
      </c>
      <c r="D64" s="49">
        <f>IF(($E58&gt;0),D58,D57)</f>
        <v>2.08</v>
      </c>
      <c r="E64" s="56">
        <f>MAX(C64:D64)</f>
        <v>23.46</v>
      </c>
      <c r="G64" s="1" t="str">
        <f>G58</f>
        <v>per 100 youth found delinquent</v>
      </c>
      <c r="L64" s="58">
        <f>IF(($E58&gt;0),L58,L57)</f>
        <v>100</v>
      </c>
      <c r="M64" s="58"/>
    </row>
    <row r="65" spans="2:13" ht="15" hidden="1" customHeight="1">
      <c r="B65" s="59" t="s">
        <v>129</v>
      </c>
      <c r="L65" s="57"/>
      <c r="M65" s="57"/>
    </row>
    <row r="66" spans="2:13" ht="15" hidden="1" customHeight="1">
      <c r="B66" s="49" t="str">
        <f>B60</f>
        <v>per 1000 youth</v>
      </c>
      <c r="C66" s="56">
        <f>C60</f>
        <v>679.73699999999997</v>
      </c>
      <c r="D66" s="56">
        <f>D60</f>
        <v>89.855999999999995</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45.22</v>
      </c>
      <c r="D67" s="49">
        <f t="shared" si="12"/>
        <v>2.29</v>
      </c>
      <c r="E67" s="49">
        <f>MAX(C67:D67)</f>
        <v>45.22</v>
      </c>
      <c r="G67" s="1" t="str">
        <f>G61</f>
        <v>per 100 arrests</v>
      </c>
      <c r="L67" s="58">
        <f>IF(($E61&gt;0),L61,L60)</f>
        <v>100</v>
      </c>
      <c r="M67" s="58">
        <f>IF((B67=G67),1,2)</f>
        <v>1</v>
      </c>
    </row>
    <row r="68" spans="2:13" ht="15" hidden="1" customHeight="1">
      <c r="B68" s="49" t="str">
        <f t="shared" si="12"/>
        <v>per 100 referrals</v>
      </c>
      <c r="C68" s="49">
        <f t="shared" si="12"/>
        <v>72.849999999999994</v>
      </c>
      <c r="D68" s="49">
        <f t="shared" si="12"/>
        <v>5.67</v>
      </c>
      <c r="E68" s="49">
        <f>MAX(C68:D68)</f>
        <v>72.849999999999994</v>
      </c>
      <c r="G68" s="1" t="str">
        <f>G62</f>
        <v>per 100 referrals</v>
      </c>
      <c r="L68" s="58">
        <f>IF(($E62&gt;0),L62,L61)</f>
        <v>100</v>
      </c>
      <c r="M68" s="58">
        <f>IF((B68=G68),1,2)</f>
        <v>1</v>
      </c>
    </row>
    <row r="69" spans="2:13" ht="15" hidden="1" customHeight="1">
      <c r="B69" s="49" t="str">
        <f>IF(($E63&gt;0),B63,B61)</f>
        <v>per 100 youth petitioned</v>
      </c>
      <c r="C69" s="49">
        <f>IF(($E63&gt;0),C63,C62)</f>
        <v>36.520000000000003</v>
      </c>
      <c r="D69" s="49">
        <f>IF(($E63&gt;0),D63,D62)</f>
        <v>3.42</v>
      </c>
      <c r="E69" s="49">
        <f>MAX(C69:D69)</f>
        <v>36.520000000000003</v>
      </c>
      <c r="G69" s="1" t="str">
        <f>G63</f>
        <v>per 100 youth petitioned</v>
      </c>
      <c r="L69" s="58">
        <f>IF(($E63&gt;0),L63,L62)</f>
        <v>100</v>
      </c>
      <c r="M69" s="58">
        <f>IF((B69=G69),1,2)</f>
        <v>1</v>
      </c>
    </row>
    <row r="70" spans="2:13" ht="15" hidden="1" customHeight="1">
      <c r="B70" s="49" t="str">
        <f>IF(($E64&gt;0),B64,B63)</f>
        <v>per 100 youth found delinquent</v>
      </c>
      <c r="C70" s="49">
        <f>IF(($E64&gt;0),C64,C63)</f>
        <v>23.46</v>
      </c>
      <c r="D70" s="49">
        <f>IF(($E64&gt;0),D64,D63)</f>
        <v>2.08</v>
      </c>
      <c r="E70" s="56">
        <f>MAX(C70:D70)</f>
        <v>23.46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oddHeader>&amp;C&amp;"Calibri"&amp;10&amp;K000000 MPHI Internal Use Only&amp;1#_x000D_</oddHeader>
    <oddFooter>&amp;C_x000D_&amp;1#&amp;"Calibri"&amp;10&amp;K000000 MPHI 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75</v>
      </c>
      <c r="D1" s="20" t="s">
        <v>76</v>
      </c>
      <c r="E1" s="14"/>
      <c r="F1" s="189" t="str">
        <f>'Data Entry'!G5</f>
        <v>Native Hawaiian or Other Pacific Islanders</v>
      </c>
      <c r="G1" s="189"/>
      <c r="H1" s="189"/>
      <c r="I1" s="189"/>
      <c r="J1" s="18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188" t="s">
        <v>77</v>
      </c>
      <c r="O3" s="188"/>
      <c r="P3" s="188"/>
      <c r="Q3" s="188"/>
      <c r="R3" s="188"/>
      <c r="S3" s="188"/>
      <c r="T3" s="188"/>
      <c r="U3" s="188"/>
    </row>
    <row r="4" spans="2:21" ht="8.25" customHeight="1">
      <c r="B4" s="4"/>
      <c r="C4" s="23"/>
      <c r="D4" s="23"/>
      <c r="E4" s="23"/>
      <c r="F4" s="23"/>
      <c r="G4" s="8"/>
      <c r="H4" s="8"/>
      <c r="I4" s="8"/>
      <c r="N4" s="188"/>
      <c r="O4" s="188"/>
      <c r="P4" s="188"/>
      <c r="Q4" s="188"/>
      <c r="R4" s="188"/>
      <c r="S4" s="188"/>
      <c r="T4" s="188"/>
      <c r="U4" s="188"/>
    </row>
    <row r="5" spans="2:21" ht="66.75" customHeight="1">
      <c r="B5" s="24" t="s">
        <v>78</v>
      </c>
      <c r="C5" s="25" t="s">
        <v>79</v>
      </c>
      <c r="D5" s="26" t="s">
        <v>80</v>
      </c>
      <c r="E5" s="25" t="s">
        <v>81</v>
      </c>
      <c r="F5" s="25" t="s">
        <v>82</v>
      </c>
      <c r="G5" s="27" t="s">
        <v>83</v>
      </c>
      <c r="H5" s="25"/>
      <c r="I5" s="25"/>
      <c r="J5" s="25" t="s">
        <v>84</v>
      </c>
      <c r="K5" s="28" t="s">
        <v>85</v>
      </c>
      <c r="L5" s="8" t="s">
        <v>86</v>
      </c>
      <c r="M5" s="8" t="s">
        <v>87</v>
      </c>
      <c r="N5" s="29" t="s">
        <v>88</v>
      </c>
      <c r="O5" s="21" t="s">
        <v>89</v>
      </c>
      <c r="P5" s="21" t="s">
        <v>90</v>
      </c>
      <c r="Q5" s="21" t="s">
        <v>91</v>
      </c>
      <c r="R5" s="21" t="s">
        <v>92</v>
      </c>
      <c r="S5" s="30" t="s">
        <v>93</v>
      </c>
      <c r="T5" s="30" t="s">
        <v>94</v>
      </c>
      <c r="U5" s="31" t="s">
        <v>95</v>
      </c>
    </row>
    <row r="6" spans="2:21" ht="20.25" customHeight="1">
      <c r="B6" s="32" t="str">
        <f>'Data Entry'!A6</f>
        <v xml:space="preserve">1. Population at Risk (age 10-17) </v>
      </c>
      <c r="C6" s="33">
        <f>'Data Entry'!C6</f>
        <v>679737</v>
      </c>
      <c r="D6" s="34"/>
      <c r="E6" s="33">
        <f>'Data Entry'!G6</f>
        <v>0</v>
      </c>
      <c r="F6" s="34"/>
      <c r="G6" s="35"/>
      <c r="H6" s="36"/>
      <c r="I6" s="37"/>
      <c r="J6" s="38"/>
      <c r="K6" s="37"/>
      <c r="L6" s="1">
        <f>IF( ('Data Entry'!G6&gt;('Data Entry'!B6/100)),1,100)</f>
        <v>100</v>
      </c>
      <c r="M6" s="1" t="s">
        <v>96</v>
      </c>
      <c r="N6" s="21"/>
      <c r="O6" s="21"/>
      <c r="P6" s="21"/>
      <c r="Q6" s="21"/>
      <c r="R6" s="21"/>
      <c r="S6" s="30"/>
      <c r="T6" s="30"/>
      <c r="U6" s="31"/>
    </row>
    <row r="7" spans="2:21" ht="18" customHeight="1">
      <c r="B7" s="32" t="str">
        <f>'Data Entry'!A7</f>
        <v>2. Juvenile Arrests</v>
      </c>
      <c r="C7" s="33">
        <f>'Data Entry'!C7</f>
        <v>4522</v>
      </c>
      <c r="D7" s="34">
        <f>IF((AND(C66&gt;0,C7&gt;0)),(C7/C66),0)</f>
        <v>6.6525729804321383</v>
      </c>
      <c r="E7" s="33">
        <f>'Data Entry'!G7</f>
        <v>5</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5</v>
      </c>
      <c r="O7" s="42">
        <f>E6-E7</f>
        <v>-5</v>
      </c>
      <c r="P7" s="42">
        <f t="shared" ref="P7:P15" si="4">C7</f>
        <v>4522</v>
      </c>
      <c r="Q7" s="42">
        <f>C6-C7</f>
        <v>675215</v>
      </c>
      <c r="R7" s="42">
        <f t="shared" ref="R7:R15" si="5">SUM(N7:Q7)</f>
        <v>679737</v>
      </c>
      <c r="S7" s="30">
        <f t="shared" ref="S7:S15" si="6">R7*((((N7*Q7)-(O7*P7))^2))</f>
        <v>7.8516826871642143E+18</v>
      </c>
      <c r="T7" s="30">
        <f t="shared" ref="T7:T15" si="7">(N7+O7)*(P7+Q7)*(N7+P7)*(O7+Q7)</f>
        <v>0</v>
      </c>
      <c r="U7" s="31" t="e">
        <f t="shared" ref="U7:U15" si="8">IF((S7&gt;0),S7/T7,"- -")</f>
        <v>#DIV/0!</v>
      </c>
    </row>
    <row r="8" spans="2:21" ht="18" customHeight="1">
      <c r="B8" s="32" t="str">
        <f>'Data Entry'!A8</f>
        <v>3. Refer to Juvenile Court</v>
      </c>
      <c r="C8" s="33">
        <f>'Data Entry'!C8</f>
        <v>7285</v>
      </c>
      <c r="D8" s="34">
        <f>IF((AND(C67&gt;0,C8&gt;0)),(C8/C67),0)</f>
        <v>161.10128261831048</v>
      </c>
      <c r="E8" s="33">
        <f>'Data Entry'!G8</f>
        <v>8</v>
      </c>
      <c r="F8" s="34">
        <f>IF((AND($E$8&gt;0,$D$67&gt;0)),($E8/$D67),0)</f>
        <v>160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8</v>
      </c>
      <c r="O8" s="42">
        <f>((D67*L67)-E8)+0.05</f>
        <v>-2.95</v>
      </c>
      <c r="P8" s="42">
        <f t="shared" si="4"/>
        <v>7285</v>
      </c>
      <c r="Q8" s="42">
        <f>(C$67*L67)-C8</f>
        <v>-2763</v>
      </c>
      <c r="R8" s="42">
        <f t="shared" si="5"/>
        <v>4527.05</v>
      </c>
      <c r="S8" s="30">
        <f t="shared" si="6"/>
        <v>1702512875.215625</v>
      </c>
      <c r="T8" s="30">
        <f t="shared" si="7"/>
        <v>-460651484227.93494</v>
      </c>
      <c r="U8" s="31">
        <f t="shared" si="8"/>
        <v>-3.6958805811058773E-3</v>
      </c>
    </row>
    <row r="9" spans="2:21" ht="18" customHeight="1">
      <c r="B9" s="32" t="str">
        <f>'Data Entry'!A9</f>
        <v xml:space="preserve">4. Cases Diverted </v>
      </c>
      <c r="C9" s="33">
        <f>'Data Entry'!C9</f>
        <v>1889</v>
      </c>
      <c r="D9" s="34">
        <f>IF((AND(C68&gt;0,C9&gt;0)),((C9/C68)),0)</f>
        <v>25.92999313658202</v>
      </c>
      <c r="E9" s="33">
        <f>'Data Entry'!G9</f>
        <v>2</v>
      </c>
      <c r="F9" s="34">
        <f>IF((AND($E$9&gt;0,$D$68&gt;0)),(($E$9/$D$68)),0)</f>
        <v>25</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2</v>
      </c>
      <c r="O9" s="42">
        <f>(D$68*L68)-E9</f>
        <v>6</v>
      </c>
      <c r="P9" s="42">
        <f t="shared" si="4"/>
        <v>1889</v>
      </c>
      <c r="Q9" s="42">
        <f>(C$68*L68)-C9</f>
        <v>5395.9999999999991</v>
      </c>
      <c r="R9" s="42">
        <f t="shared" si="5"/>
        <v>7292.9999999999991</v>
      </c>
      <c r="S9" s="30">
        <f t="shared" si="6"/>
        <v>2142420852.0000141</v>
      </c>
      <c r="T9" s="30">
        <f t="shared" si="7"/>
        <v>595340806959.99988</v>
      </c>
      <c r="U9" s="31">
        <f t="shared" si="8"/>
        <v>3.5986460644952234E-3</v>
      </c>
    </row>
    <row r="10" spans="2:21" ht="18" customHeight="1">
      <c r="B10" s="32" t="str">
        <f>'Data Entry'!A10</f>
        <v>5. Cases Involving Secure Detention</v>
      </c>
      <c r="C10" s="33">
        <f>'Data Entry'!C10</f>
        <v>865</v>
      </c>
      <c r="D10" s="34">
        <f>IF(((AND(C68&gt;0,C10&gt;0))),(C10/(C68)),0)</f>
        <v>11.873713109128348</v>
      </c>
      <c r="E10" s="33">
        <f>'Data Entry'!G10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8</v>
      </c>
      <c r="P10" s="42">
        <f t="shared" si="4"/>
        <v>865</v>
      </c>
      <c r="Q10" s="42">
        <f>(C$68*L68)-C10</f>
        <v>6419.9999999999991</v>
      </c>
      <c r="R10" s="42">
        <f t="shared" si="5"/>
        <v>7292.9999999999991</v>
      </c>
      <c r="S10" s="30">
        <f t="shared" si="6"/>
        <v>349235515199.99994</v>
      </c>
      <c r="T10" s="30">
        <f t="shared" si="7"/>
        <v>324049621599.99988</v>
      </c>
      <c r="U10" s="31">
        <f t="shared" si="8"/>
        <v>1.077722336090517</v>
      </c>
    </row>
    <row r="11" spans="2:21" ht="18" customHeight="1">
      <c r="B11" s="32" t="str">
        <f>'Data Entry'!A11</f>
        <v>6. Cases Petitioned (Charge Filed)</v>
      </c>
      <c r="C11" s="33">
        <f>'Data Entry'!C11</f>
        <v>3652</v>
      </c>
      <c r="D11" s="34">
        <f>IF(((AND(C68&gt;0,C11&gt;0))),(C11/(C68)),0)</f>
        <v>50.130404941660949</v>
      </c>
      <c r="E11" s="33">
        <f>'Data Entry'!G11</f>
        <v>1</v>
      </c>
      <c r="F11" s="34">
        <f>IF(((AND($E$11&gt;0,$D$68&gt;0))),($E$11/($D$68)),0)</f>
        <v>12.5</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1</v>
      </c>
      <c r="O11" s="42">
        <f>(D$68*L68)-E11</f>
        <v>7</v>
      </c>
      <c r="P11" s="42">
        <f t="shared" si="4"/>
        <v>3652</v>
      </c>
      <c r="Q11" s="42">
        <f>(C$68*L68)-C11</f>
        <v>3632.9999999999991</v>
      </c>
      <c r="R11" s="42">
        <f t="shared" si="5"/>
        <v>7292.9999999999991</v>
      </c>
      <c r="S11" s="30">
        <f t="shared" si="6"/>
        <v>3507705173972.9995</v>
      </c>
      <c r="T11" s="30">
        <f t="shared" si="7"/>
        <v>774944497599.99976</v>
      </c>
      <c r="U11" s="31">
        <f t="shared" si="8"/>
        <v>4.5263953545529381</v>
      </c>
    </row>
    <row r="12" spans="2:21" ht="18" customHeight="1">
      <c r="B12" s="32" t="str">
        <f>'Data Entry'!A12</f>
        <v>7. Cases Resulting in Delinquent Findings</v>
      </c>
      <c r="C12" s="33">
        <f>'Data Entry'!C12</f>
        <v>2346</v>
      </c>
      <c r="D12" s="34">
        <f>IF(((AND(C69&gt;0,C12&gt;0))),(C12/(C69)),0)</f>
        <v>64.238773274917847</v>
      </c>
      <c r="E12" s="33">
        <f>'Data Entry'!G12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2346</v>
      </c>
      <c r="Q12" s="42">
        <f>(C69*L69)-C12</f>
        <v>1306.0000000000005</v>
      </c>
      <c r="R12" s="42">
        <f t="shared" si="5"/>
        <v>3653.0000000000005</v>
      </c>
      <c r="S12" s="30">
        <f t="shared" si="6"/>
        <v>6230688308.0000048</v>
      </c>
      <c r="T12" s="30">
        <f t="shared" si="7"/>
        <v>11194044664.000006</v>
      </c>
      <c r="U12" s="31">
        <f t="shared" si="8"/>
        <v>0.55660741894642141</v>
      </c>
    </row>
    <row r="13" spans="2:21" ht="18" customHeight="1">
      <c r="B13" s="32" t="str">
        <f>'Data Entry'!A13</f>
        <v>8. Cases Resulting in Probation Placement</v>
      </c>
      <c r="C13" s="33">
        <f>'Data Entry'!C13</f>
        <v>1965</v>
      </c>
      <c r="D13" s="34">
        <f>IF(((AND(C70&gt;0,C13&gt;0))),(C13/(C70)),0)</f>
        <v>83.759590792838878</v>
      </c>
      <c r="E13" s="33">
        <f>'Data Entry'!G13</f>
        <v>2</v>
      </c>
      <c r="F13" s="34">
        <f>IF(((AND($D$70&gt;0,$E$13&gt;0))),($E$13/($D$70)),0)</f>
        <v>200</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2</v>
      </c>
      <c r="O13" s="42">
        <f>(D70*L70)-E13</f>
        <v>-1</v>
      </c>
      <c r="P13" s="42">
        <f t="shared" si="4"/>
        <v>1965</v>
      </c>
      <c r="Q13" s="42">
        <f>(C70*L70)-C13</f>
        <v>381</v>
      </c>
      <c r="R13" s="42">
        <f t="shared" si="5"/>
        <v>2347</v>
      </c>
      <c r="S13" s="30">
        <f t="shared" si="6"/>
        <v>17453533563</v>
      </c>
      <c r="T13" s="30">
        <f t="shared" si="7"/>
        <v>1753541160</v>
      </c>
      <c r="U13" s="31">
        <f t="shared" si="8"/>
        <v>9.9533070344353938</v>
      </c>
    </row>
    <row r="14" spans="2:21" ht="30.75" customHeight="1">
      <c r="B14" s="32" t="str">
        <f>'Data Entry'!A14</f>
        <v xml:space="preserve">9. Cases Resulting in Confinement in Secure Juvenile Correctional Facilities </v>
      </c>
      <c r="C14" s="33">
        <f>'Data Entry'!C14</f>
        <v>551</v>
      </c>
      <c r="D14" s="34">
        <f>IF(((AND(C70&gt;0,C14&gt;0))), ((C14/(C70))),0)</f>
        <v>23.486786018755328</v>
      </c>
      <c r="E14" s="33">
        <f>'Data Entry'!G14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551</v>
      </c>
      <c r="Q14" s="42">
        <f>(C70*L70)-C14</f>
        <v>1795</v>
      </c>
      <c r="R14" s="42">
        <f t="shared" si="5"/>
        <v>2347</v>
      </c>
      <c r="S14" s="30">
        <f t="shared" si="6"/>
        <v>712551547</v>
      </c>
      <c r="T14" s="30">
        <f t="shared" si="7"/>
        <v>2321592216</v>
      </c>
      <c r="U14" s="31">
        <f t="shared" si="8"/>
        <v>0.30692364580188619</v>
      </c>
    </row>
    <row r="15" spans="2:21" ht="15.75" customHeight="1">
      <c r="B15" s="32" t="str">
        <f>'Data Entry'!A15</f>
        <v xml:space="preserve">10. Cases Transferred to Adult Court </v>
      </c>
      <c r="C15" s="33">
        <f>'Data Entry'!C15</f>
        <v>3</v>
      </c>
      <c r="D15" s="34">
        <f>IF(((AND(C69&gt;0,C15&gt;0))),((C15/(C69))),0)</f>
        <v>8.2146768893756841E-2</v>
      </c>
      <c r="E15" s="33">
        <f>'Data Entry'!G15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1</v>
      </c>
      <c r="P15" s="42">
        <f t="shared" si="4"/>
        <v>3</v>
      </c>
      <c r="Q15" s="42">
        <f>(C69*L69)-C15</f>
        <v>3649.0000000000005</v>
      </c>
      <c r="R15" s="42">
        <f t="shared" si="5"/>
        <v>3653.0000000000005</v>
      </c>
      <c r="S15" s="30">
        <f t="shared" si="6"/>
        <v>32877.000000000007</v>
      </c>
      <c r="T15" s="30">
        <f t="shared" si="7"/>
        <v>39989400.000000015</v>
      </c>
      <c r="U15" s="31">
        <f t="shared" si="8"/>
        <v>8.2214286785998276E-4</v>
      </c>
    </row>
    <row r="16" spans="2:21" ht="12" customHeight="1">
      <c r="B16" s="43" t="s">
        <v>130</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131</v>
      </c>
      <c r="L17" s="1" t="s">
        <v>132</v>
      </c>
      <c r="N17" s="21"/>
      <c r="O17" s="21"/>
      <c r="P17" s="21"/>
      <c r="Q17" s="21"/>
      <c r="R17" s="21"/>
      <c r="S17" s="30"/>
      <c r="T17" s="30"/>
      <c r="U17" s="31"/>
    </row>
    <row r="18" spans="2:21" ht="15" customHeight="1">
      <c r="B18" s="1" t="s">
        <v>56</v>
      </c>
    </row>
    <row r="19" spans="2:21" ht="15" customHeight="1">
      <c r="B19" s="1" t="s">
        <v>98</v>
      </c>
      <c r="D19" s="45" t="s">
        <v>58</v>
      </c>
    </row>
    <row r="20" spans="2:21" ht="15" customHeight="1">
      <c r="B20" s="1" t="s">
        <v>99</v>
      </c>
      <c r="D20" s="1" t="s">
        <v>62</v>
      </c>
    </row>
    <row r="21" spans="2:21" ht="15" customHeight="1">
      <c r="B21" s="1" t="s">
        <v>59</v>
      </c>
      <c r="D21" s="1" t="s">
        <v>60</v>
      </c>
    </row>
    <row r="22" spans="2:21" ht="15" customHeight="1">
      <c r="B22" s="1" t="s">
        <v>63</v>
      </c>
      <c r="D22" s="1" t="s">
        <v>64</v>
      </c>
    </row>
    <row r="23" spans="2:21" ht="15" customHeight="1">
      <c r="B23" s="1" t="s">
        <v>65</v>
      </c>
      <c r="D23" s="1" t="s">
        <v>66</v>
      </c>
    </row>
    <row r="24" spans="2:21" ht="26.25" customHeight="1">
      <c r="B24" s="62"/>
      <c r="C24" s="62"/>
      <c r="D24" s="62"/>
      <c r="E24" s="62"/>
      <c r="F24" s="62"/>
      <c r="G24" s="62"/>
      <c r="H24" s="62"/>
      <c r="I24" s="62"/>
      <c r="N24" s="21"/>
      <c r="O24" s="21"/>
      <c r="P24" s="21"/>
      <c r="Q24" s="21"/>
      <c r="R24" s="21"/>
      <c r="S24" s="30"/>
      <c r="T24" s="30"/>
      <c r="U24" s="31"/>
    </row>
    <row r="25" spans="2:21" ht="15" customHeight="1">
      <c r="B25" s="46" t="s">
        <v>100</v>
      </c>
      <c r="K25" s="1" t="s">
        <v>101</v>
      </c>
      <c r="L25" s="1" t="s">
        <v>102</v>
      </c>
      <c r="N25" s="21"/>
      <c r="O25" s="21" t="b">
        <f>ISBLANK(N12)</f>
        <v>0</v>
      </c>
      <c r="P25" s="21"/>
      <c r="Q25" s="21"/>
      <c r="R25" s="21"/>
    </row>
    <row r="26" spans="2:21" ht="15" customHeight="1">
      <c r="B26" s="47" t="s">
        <v>103</v>
      </c>
      <c r="F26" s="47" t="s">
        <v>104</v>
      </c>
      <c r="G26" s="47"/>
      <c r="H26" s="47"/>
      <c r="I26" s="47"/>
      <c r="J26" s="47"/>
      <c r="K26" s="48" t="s">
        <v>66</v>
      </c>
      <c r="L26" s="48" t="s">
        <v>105</v>
      </c>
      <c r="M26" s="48"/>
      <c r="R26" s="49"/>
    </row>
    <row r="27" spans="2:21" ht="15" customHeight="1">
      <c r="B27" s="50" t="s">
        <v>106</v>
      </c>
      <c r="C27" s="50"/>
      <c r="D27" s="50"/>
      <c r="E27" s="50"/>
      <c r="F27" s="50" t="str">
        <f>B66</f>
        <v>per 1000 youth</v>
      </c>
      <c r="G27" s="50"/>
      <c r="H27" s="50"/>
      <c r="I27" s="50"/>
      <c r="J27" s="50">
        <f>F66</f>
        <v>0</v>
      </c>
      <c r="K27" s="50" t="s">
        <v>64</v>
      </c>
      <c r="L27" s="51" t="s">
        <v>107</v>
      </c>
      <c r="R27" s="49"/>
    </row>
    <row r="28" spans="2:21" ht="15" customHeight="1">
      <c r="B28" s="50" t="s">
        <v>108</v>
      </c>
      <c r="C28" s="50"/>
      <c r="D28" s="50"/>
      <c r="E28" s="50"/>
      <c r="F28" s="52" t="str">
        <f>B67</f>
        <v>per 100 arrests</v>
      </c>
      <c r="G28" s="52"/>
      <c r="H28" s="52"/>
      <c r="I28" s="52"/>
      <c r="J28" s="52"/>
      <c r="K28" s="52" t="s">
        <v>60</v>
      </c>
      <c r="L28" s="53" t="s">
        <v>109</v>
      </c>
      <c r="R28" s="49"/>
    </row>
    <row r="29" spans="2:21" ht="15" customHeight="1">
      <c r="B29" s="52" t="s">
        <v>110</v>
      </c>
      <c r="C29" s="52"/>
      <c r="D29" s="52"/>
      <c r="E29" s="52"/>
      <c r="F29" s="52" t="str">
        <f>B68</f>
        <v>per 100 referrals</v>
      </c>
      <c r="G29" s="52"/>
      <c r="H29" s="52"/>
      <c r="I29" s="52"/>
      <c r="J29" s="52"/>
      <c r="K29" s="52"/>
      <c r="L29" s="53"/>
      <c r="R29" s="49"/>
    </row>
    <row r="30" spans="2:21" ht="15" customHeight="1">
      <c r="B30" s="52" t="s">
        <v>111</v>
      </c>
      <c r="C30" s="52"/>
      <c r="D30" s="52"/>
      <c r="E30" s="52"/>
      <c r="F30" s="52" t="str">
        <f>B68</f>
        <v>per 100 referrals</v>
      </c>
      <c r="G30" s="52"/>
      <c r="H30" s="52"/>
      <c r="I30" s="52"/>
      <c r="J30" s="52"/>
      <c r="K30" s="52"/>
      <c r="L30" s="53"/>
      <c r="N30" s="1" t="b">
        <f>ISNUMBER(J14)</f>
        <v>1</v>
      </c>
      <c r="R30" s="49"/>
    </row>
    <row r="31" spans="2:21" ht="15" customHeight="1">
      <c r="B31" s="52" t="s">
        <v>112</v>
      </c>
      <c r="C31" s="52"/>
      <c r="D31" s="52"/>
      <c r="E31" s="52"/>
      <c r="F31" s="52" t="str">
        <f>B68</f>
        <v>per 100 referrals</v>
      </c>
      <c r="G31" s="52"/>
      <c r="H31" s="52"/>
      <c r="I31" s="52"/>
      <c r="J31" s="52"/>
      <c r="K31" s="52"/>
      <c r="L31" s="53"/>
      <c r="R31" s="49"/>
    </row>
    <row r="32" spans="2:21" ht="15" customHeight="1">
      <c r="B32" s="52" t="s">
        <v>113</v>
      </c>
      <c r="C32" s="52"/>
      <c r="D32" s="52"/>
      <c r="E32" s="52"/>
      <c r="F32" s="52" t="str">
        <f>B69</f>
        <v>per 100 youth petitioned</v>
      </c>
      <c r="G32" s="52"/>
      <c r="H32" s="52"/>
      <c r="I32" s="52"/>
      <c r="J32" s="52"/>
      <c r="K32" s="52"/>
      <c r="L32" s="53"/>
      <c r="R32" s="49"/>
    </row>
    <row r="33" spans="2:18" ht="15" customHeight="1">
      <c r="B33" s="52" t="s">
        <v>114</v>
      </c>
      <c r="C33" s="52"/>
      <c r="D33" s="52"/>
      <c r="E33" s="52"/>
      <c r="F33" s="52" t="str">
        <f>B70</f>
        <v>per 100 youth found delinquent</v>
      </c>
      <c r="G33" s="52"/>
      <c r="H33" s="52"/>
      <c r="I33" s="52"/>
      <c r="J33" s="52"/>
      <c r="K33" s="52"/>
      <c r="L33" s="53"/>
      <c r="R33" s="49"/>
    </row>
    <row r="34" spans="2:18" ht="15" customHeight="1">
      <c r="B34" s="52" t="s">
        <v>115</v>
      </c>
      <c r="C34" s="52"/>
      <c r="D34" s="52"/>
      <c r="E34" s="52"/>
      <c r="F34" s="52" t="str">
        <f>B70</f>
        <v>per 100 youth found delinquent</v>
      </c>
      <c r="G34" s="52"/>
      <c r="H34" s="52"/>
      <c r="I34" s="52"/>
      <c r="J34" s="52"/>
      <c r="K34" s="52"/>
      <c r="L34" s="53"/>
      <c r="R34" s="49"/>
    </row>
    <row r="35" spans="2:18" ht="15" customHeight="1">
      <c r="B35" s="52" t="s">
        <v>116</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187" t="s">
        <v>117</v>
      </c>
      <c r="C40" s="187"/>
      <c r="D40" s="187"/>
      <c r="E40" s="187"/>
      <c r="F40" s="187"/>
      <c r="G40" s="187"/>
      <c r="H40" s="187"/>
      <c r="I40" s="187"/>
      <c r="J40" s="187"/>
      <c r="K40" s="8"/>
      <c r="R40" s="49"/>
    </row>
    <row r="41" spans="2:18" ht="15" hidden="1" customHeight="1">
      <c r="B41" s="54" t="s">
        <v>118</v>
      </c>
      <c r="C41" s="54" t="s">
        <v>119</v>
      </c>
      <c r="D41" s="55" t="s">
        <v>120</v>
      </c>
      <c r="E41" s="54" t="s">
        <v>121</v>
      </c>
      <c r="G41" s="54" t="s">
        <v>122</v>
      </c>
      <c r="H41" s="54"/>
      <c r="I41" s="54"/>
      <c r="L41" s="1" t="s">
        <v>123</v>
      </c>
      <c r="R41" s="49"/>
    </row>
    <row r="42" spans="2:18" ht="15" hidden="1" customHeight="1">
      <c r="B42" s="49" t="s">
        <v>124</v>
      </c>
      <c r="C42" s="56">
        <f>C6/1000</f>
        <v>679.73699999999997</v>
      </c>
      <c r="D42" s="56">
        <f>E6/1000</f>
        <v>0</v>
      </c>
      <c r="E42" s="56">
        <f>MAX(C42:D42)</f>
        <v>679.73699999999997</v>
      </c>
      <c r="G42" s="1" t="str">
        <f>B42</f>
        <v>per 1000 youth</v>
      </c>
      <c r="L42" s="57">
        <v>1000</v>
      </c>
      <c r="M42" s="57"/>
      <c r="R42" s="49"/>
    </row>
    <row r="43" spans="2:18" ht="15" hidden="1" customHeight="1">
      <c r="B43" s="49" t="s">
        <v>125</v>
      </c>
      <c r="C43" s="56">
        <f>C7/100</f>
        <v>45.22</v>
      </c>
      <c r="D43" s="56">
        <f>E7/100</f>
        <v>0.05</v>
      </c>
      <c r="E43" s="56">
        <f>MAX(C43:D43,0)</f>
        <v>45.22</v>
      </c>
      <c r="G43" s="1" t="str">
        <f>B43</f>
        <v>per 100 arrests</v>
      </c>
      <c r="L43" s="57">
        <v>100</v>
      </c>
      <c r="M43" s="57"/>
      <c r="R43" s="49"/>
    </row>
    <row r="44" spans="2:18" ht="15" hidden="1" customHeight="1">
      <c r="B44" s="49" t="s">
        <v>126</v>
      </c>
      <c r="C44" s="56">
        <f>C8/100</f>
        <v>72.849999999999994</v>
      </c>
      <c r="D44" s="56">
        <f>E8/100</f>
        <v>0.08</v>
      </c>
      <c r="E44" s="56">
        <f>MAX(C44:D44,0)</f>
        <v>72.849999999999994</v>
      </c>
      <c r="G44" s="1" t="str">
        <f>B44</f>
        <v>per 100 referrals</v>
      </c>
      <c r="L44" s="57">
        <v>100</v>
      </c>
      <c r="M44" s="57"/>
      <c r="R44" s="49"/>
    </row>
    <row r="45" spans="2:18" ht="15" hidden="1" customHeight="1">
      <c r="B45" s="49" t="s">
        <v>127</v>
      </c>
      <c r="C45" s="49">
        <f>C11/100</f>
        <v>36.520000000000003</v>
      </c>
      <c r="D45" s="49">
        <f>E11/100</f>
        <v>0.01</v>
      </c>
      <c r="E45" s="56">
        <f>MAX(C45:D45,0)</f>
        <v>36.520000000000003</v>
      </c>
      <c r="G45" s="1" t="str">
        <f>B45</f>
        <v>per 100 youth petitioned</v>
      </c>
      <c r="L45" s="57">
        <v>100</v>
      </c>
      <c r="M45" s="57"/>
      <c r="R45" s="49"/>
    </row>
    <row r="46" spans="2:18" ht="15" hidden="1" customHeight="1">
      <c r="B46" s="49" t="s">
        <v>128</v>
      </c>
      <c r="C46" s="49">
        <f>C12/100</f>
        <v>23.46</v>
      </c>
      <c r="D46" s="49">
        <f>E12/100</f>
        <v>0.01</v>
      </c>
      <c r="E46" s="56">
        <f>MAX(C46:D46)</f>
        <v>23.46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0</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45.22</v>
      </c>
      <c r="D49" s="49">
        <f t="shared" si="9"/>
        <v>0.05</v>
      </c>
      <c r="E49" s="49">
        <f>MAX(C49:D49)</f>
        <v>45.22</v>
      </c>
      <c r="G49" s="1" t="str">
        <f>G43</f>
        <v>per 100 arrests</v>
      </c>
      <c r="L49" s="58">
        <f>IF(($E43&gt;0),L43,L42)</f>
        <v>100</v>
      </c>
      <c r="M49" s="58"/>
      <c r="N49" s="21"/>
      <c r="O49" s="21"/>
      <c r="P49" s="21"/>
      <c r="Q49" s="21"/>
      <c r="R49" s="21"/>
    </row>
    <row r="50" spans="2:18" ht="15" hidden="1" customHeight="1">
      <c r="B50" s="49" t="str">
        <f t="shared" si="9"/>
        <v>per 100 referrals</v>
      </c>
      <c r="C50" s="49">
        <f t="shared" si="9"/>
        <v>72.849999999999994</v>
      </c>
      <c r="D50" s="49">
        <f t="shared" si="9"/>
        <v>0.08</v>
      </c>
      <c r="E50" s="49">
        <f>MAX(C50:D50)</f>
        <v>72.849999999999994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36.520000000000003</v>
      </c>
      <c r="D51" s="49">
        <f>IF(($E45&gt;0),D45,D44)</f>
        <v>0.01</v>
      </c>
      <c r="E51" s="49">
        <f>MAX(C51:D51)</f>
        <v>36.520000000000003</v>
      </c>
      <c r="G51" s="1" t="str">
        <f>G45</f>
        <v>per 100 youth petitioned</v>
      </c>
      <c r="L51" s="58">
        <f>IF(($E45&gt;0),L45,L44)</f>
        <v>100</v>
      </c>
      <c r="M51" s="58"/>
    </row>
    <row r="52" spans="2:18" ht="15" hidden="1" customHeight="1">
      <c r="B52" s="49" t="str">
        <f>IF(($E46&gt;0),B46,B45)</f>
        <v>per 100 youth found delinquent</v>
      </c>
      <c r="C52" s="49">
        <f>IF(($E46&gt;0),C46,C45)</f>
        <v>23.46</v>
      </c>
      <c r="D52" s="49">
        <f>IF(($E46&gt;0),D46,D45)</f>
        <v>0.01</v>
      </c>
      <c r="E52" s="56">
        <f>MAX(C52:D52)</f>
        <v>23.46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0</v>
      </c>
      <c r="E54" s="56">
        <f>MAX(C54:D54)</f>
        <v>679.73699999999997</v>
      </c>
      <c r="G54" s="1" t="str">
        <f>G48</f>
        <v>per 1000 youth</v>
      </c>
      <c r="L54" s="58">
        <f>L48</f>
        <v>1000</v>
      </c>
      <c r="M54" s="58"/>
    </row>
    <row r="55" spans="2:18" ht="15" hidden="1" customHeight="1">
      <c r="B55" s="49" t="str">
        <f t="shared" ref="B55:D56" si="10">IF(($E49&gt;0),B49,B48)</f>
        <v>per 100 arrests</v>
      </c>
      <c r="C55" s="49">
        <f t="shared" si="10"/>
        <v>45.22</v>
      </c>
      <c r="D55" s="49">
        <f t="shared" si="10"/>
        <v>0.05</v>
      </c>
      <c r="E55" s="49">
        <f>MAX(C55:D55)</f>
        <v>45.22</v>
      </c>
      <c r="G55" s="1" t="str">
        <f>G49</f>
        <v>per 100 arrests</v>
      </c>
      <c r="L55" s="58">
        <f>IF(($E49&gt;0),L49,L48)</f>
        <v>100</v>
      </c>
      <c r="M55" s="58"/>
    </row>
    <row r="56" spans="2:18" ht="15" hidden="1" customHeight="1">
      <c r="B56" s="49" t="str">
        <f t="shared" si="10"/>
        <v>per 100 referrals</v>
      </c>
      <c r="C56" s="49">
        <f t="shared" si="10"/>
        <v>72.849999999999994</v>
      </c>
      <c r="D56" s="49">
        <f t="shared" si="10"/>
        <v>0.08</v>
      </c>
      <c r="E56" s="49">
        <f>MAX(C56:D56)</f>
        <v>72.849999999999994</v>
      </c>
      <c r="G56" s="1" t="str">
        <f>G50</f>
        <v>per 100 referrals</v>
      </c>
      <c r="L56" s="58">
        <f>IF(($E50&gt;0),L50,L49)</f>
        <v>100</v>
      </c>
      <c r="M56" s="58"/>
    </row>
    <row r="57" spans="2:18" ht="15" hidden="1" customHeight="1">
      <c r="B57" s="49" t="str">
        <f>IF(($E51&gt;0),B51,B49)</f>
        <v>per 100 youth petitioned</v>
      </c>
      <c r="C57" s="49">
        <f>IF(($E51&gt;0),C51,C50)</f>
        <v>36.520000000000003</v>
      </c>
      <c r="D57" s="49">
        <f>IF(($E51&gt;0),D51,D50)</f>
        <v>0.01</v>
      </c>
      <c r="E57" s="49">
        <f>MAX(C57:D57)</f>
        <v>36.520000000000003</v>
      </c>
      <c r="G57" s="1" t="str">
        <f>G51</f>
        <v>per 100 youth petitioned</v>
      </c>
      <c r="L57" s="58">
        <f>IF(($E51&gt;0),L51,L50)</f>
        <v>100</v>
      </c>
      <c r="M57" s="58"/>
    </row>
    <row r="58" spans="2:18" ht="15" hidden="1" customHeight="1">
      <c r="B58" s="49" t="str">
        <f>IF(($E52&gt;0),B52,B51)</f>
        <v>per 100 youth found delinquent</v>
      </c>
      <c r="C58" s="49">
        <f>IF(($E52&gt;0),C52,C51)</f>
        <v>23.46</v>
      </c>
      <c r="D58" s="49">
        <f>IF(($E52&gt;0),D52,D51)</f>
        <v>0.01</v>
      </c>
      <c r="E58" s="56">
        <f>MAX(C58:D58)</f>
        <v>23.46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0</v>
      </c>
      <c r="E60" s="56">
        <f>MAX(C60:D60)</f>
        <v>679.73699999999997</v>
      </c>
      <c r="G60" s="1" t="str">
        <f>G54</f>
        <v>per 1000 youth</v>
      </c>
      <c r="L60" s="58">
        <f>L54</f>
        <v>1000</v>
      </c>
      <c r="M60" s="58"/>
    </row>
    <row r="61" spans="2:18" ht="15" hidden="1" customHeight="1">
      <c r="B61" s="49" t="str">
        <f t="shared" ref="B61:D62" si="11">IF(($E55&gt;0),B55,B54)</f>
        <v>per 100 arrests</v>
      </c>
      <c r="C61" s="49">
        <f t="shared" si="11"/>
        <v>45.22</v>
      </c>
      <c r="D61" s="49">
        <f t="shared" si="11"/>
        <v>0.05</v>
      </c>
      <c r="E61" s="49">
        <f>MAX(C61:D61)</f>
        <v>45.22</v>
      </c>
      <c r="G61" s="1" t="str">
        <f>G55</f>
        <v>per 100 arrests</v>
      </c>
      <c r="L61" s="58">
        <f>IF(($E55&gt;0),L55,L54)</f>
        <v>100</v>
      </c>
      <c r="M61" s="58"/>
    </row>
    <row r="62" spans="2:18" ht="15" hidden="1" customHeight="1">
      <c r="B62" s="49" t="str">
        <f t="shared" si="11"/>
        <v>per 100 referrals</v>
      </c>
      <c r="C62" s="49">
        <f t="shared" si="11"/>
        <v>72.849999999999994</v>
      </c>
      <c r="D62" s="49">
        <f t="shared" si="11"/>
        <v>0.08</v>
      </c>
      <c r="E62" s="49">
        <f>MAX(C62:D62)</f>
        <v>72.849999999999994</v>
      </c>
      <c r="G62" s="1" t="str">
        <f>G56</f>
        <v>per 100 referrals</v>
      </c>
      <c r="L62" s="58">
        <f>IF(($E56&gt;0),L56,L55)</f>
        <v>100</v>
      </c>
      <c r="M62" s="58"/>
    </row>
    <row r="63" spans="2:18" ht="15" hidden="1" customHeight="1">
      <c r="B63" s="49" t="str">
        <f>IF(($E57&gt;0),B57,B55)</f>
        <v>per 100 youth petitioned</v>
      </c>
      <c r="C63" s="49">
        <f>IF(($E57&gt;0),C57,C56)</f>
        <v>36.520000000000003</v>
      </c>
      <c r="D63" s="49">
        <f>IF(($E57&gt;0),D57,D56)</f>
        <v>0.01</v>
      </c>
      <c r="E63" s="49">
        <f>MAX(C63:D63)</f>
        <v>36.520000000000003</v>
      </c>
      <c r="G63" s="1" t="str">
        <f>G57</f>
        <v>per 100 youth petitioned</v>
      </c>
      <c r="L63" s="58">
        <f>IF(($E57&gt;0),L57,L56)</f>
        <v>100</v>
      </c>
      <c r="M63" s="58"/>
    </row>
    <row r="64" spans="2:18" ht="15" hidden="1" customHeight="1">
      <c r="B64" s="49" t="str">
        <f>IF(($E58&gt;0),B58,B57)</f>
        <v>per 100 youth found delinquent</v>
      </c>
      <c r="C64" s="49">
        <f>IF(($E58&gt;0),C58,C57)</f>
        <v>23.46</v>
      </c>
      <c r="D64" s="49">
        <f>IF(($E58&gt;0),D58,D57)</f>
        <v>0.01</v>
      </c>
      <c r="E64" s="56">
        <f>MAX(C64:D64)</f>
        <v>23.46</v>
      </c>
      <c r="G64" s="1" t="str">
        <f>G58</f>
        <v>per 100 youth found delinquent</v>
      </c>
      <c r="L64" s="58">
        <f>IF(($E58&gt;0),L58,L57)</f>
        <v>100</v>
      </c>
      <c r="M64" s="58"/>
    </row>
    <row r="65" spans="2:13" ht="15" hidden="1" customHeight="1">
      <c r="B65" s="59" t="s">
        <v>129</v>
      </c>
      <c r="L65" s="57"/>
      <c r="M65" s="57"/>
    </row>
    <row r="66" spans="2:13" ht="15" hidden="1" customHeight="1">
      <c r="B66" s="49" t="str">
        <f>B60</f>
        <v>per 1000 youth</v>
      </c>
      <c r="C66" s="56">
        <f>C60</f>
        <v>679.73699999999997</v>
      </c>
      <c r="D66" s="56">
        <f>D60</f>
        <v>0</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45.22</v>
      </c>
      <c r="D67" s="49">
        <f t="shared" si="12"/>
        <v>0.05</v>
      </c>
      <c r="E67" s="49">
        <f>MAX(C67:D67)</f>
        <v>45.22</v>
      </c>
      <c r="G67" s="1" t="str">
        <f>G61</f>
        <v>per 100 arrests</v>
      </c>
      <c r="L67" s="58">
        <f>IF(($E61&gt;0),L61,L60)</f>
        <v>100</v>
      </c>
      <c r="M67" s="58">
        <f>IF((B67=G67),1,2)</f>
        <v>1</v>
      </c>
    </row>
    <row r="68" spans="2:13" ht="15" hidden="1" customHeight="1">
      <c r="B68" s="49" t="str">
        <f t="shared" si="12"/>
        <v>per 100 referrals</v>
      </c>
      <c r="C68" s="49">
        <f t="shared" si="12"/>
        <v>72.849999999999994</v>
      </c>
      <c r="D68" s="49">
        <f t="shared" si="12"/>
        <v>0.08</v>
      </c>
      <c r="E68" s="49">
        <f>MAX(C68:D68)</f>
        <v>72.849999999999994</v>
      </c>
      <c r="G68" s="1" t="str">
        <f>G62</f>
        <v>per 100 referrals</v>
      </c>
      <c r="L68" s="58">
        <f>IF(($E62&gt;0),L62,L61)</f>
        <v>100</v>
      </c>
      <c r="M68" s="58">
        <f>IF((B68=G68),1,2)</f>
        <v>1</v>
      </c>
    </row>
    <row r="69" spans="2:13" ht="15" hidden="1" customHeight="1">
      <c r="B69" s="49" t="str">
        <f>IF(($E63&gt;0),B63,B61)</f>
        <v>per 100 youth petitioned</v>
      </c>
      <c r="C69" s="49">
        <f>IF(($E63&gt;0),C63,C62)</f>
        <v>36.520000000000003</v>
      </c>
      <c r="D69" s="49">
        <f>IF(($E63&gt;0),D63,D62)</f>
        <v>0.01</v>
      </c>
      <c r="E69" s="49">
        <f>MAX(C69:D69)</f>
        <v>36.520000000000003</v>
      </c>
      <c r="G69" s="1" t="str">
        <f>G63</f>
        <v>per 100 youth petitioned</v>
      </c>
      <c r="L69" s="58">
        <f>IF(($E63&gt;0),L63,L62)</f>
        <v>100</v>
      </c>
      <c r="M69" s="58">
        <f>IF((B69=G69),1,2)</f>
        <v>1</v>
      </c>
    </row>
    <row r="70" spans="2:13" ht="15" hidden="1" customHeight="1">
      <c r="B70" s="49" t="str">
        <f>IF(($E64&gt;0),B64,B63)</f>
        <v>per 100 youth found delinquent</v>
      </c>
      <c r="C70" s="49">
        <f>IF(($E64&gt;0),C64,C63)</f>
        <v>23.46</v>
      </c>
      <c r="D70" s="49">
        <f>IF(($E64&gt;0),D64,D63)</f>
        <v>0.01</v>
      </c>
      <c r="E70" s="56">
        <f>MAX(C70:D70)</f>
        <v>23.46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oddHeader>&amp;C&amp;"Calibri"&amp;10&amp;K000000 MPHI Internal Use Only&amp;1#_x000D_</oddHeader>
    <oddFooter>&amp;C_x000D_&amp;1#&amp;"Calibri"&amp;10&amp;K000000 MPHI 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75</v>
      </c>
      <c r="D1" s="20" t="s">
        <v>76</v>
      </c>
      <c r="E1" s="14"/>
      <c r="F1" s="189" t="str">
        <f>'Data Entry'!H5</f>
        <v>American Indian or Alaska Native</v>
      </c>
      <c r="G1" s="189"/>
      <c r="H1" s="189"/>
      <c r="I1" s="189"/>
      <c r="J1" s="18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188" t="s">
        <v>77</v>
      </c>
      <c r="O3" s="188"/>
      <c r="P3" s="188"/>
      <c r="Q3" s="188"/>
      <c r="R3" s="188"/>
      <c r="S3" s="188"/>
      <c r="T3" s="188"/>
      <c r="U3" s="188"/>
    </row>
    <row r="4" spans="2:21" ht="8.25" customHeight="1">
      <c r="B4" s="4"/>
      <c r="C4" s="23"/>
      <c r="D4" s="23"/>
      <c r="E4" s="23"/>
      <c r="F4" s="23"/>
      <c r="G4" s="8"/>
      <c r="H4" s="8"/>
      <c r="I4" s="8"/>
      <c r="N4" s="188"/>
      <c r="O4" s="188"/>
      <c r="P4" s="188"/>
      <c r="Q4" s="188"/>
      <c r="R4" s="188"/>
      <c r="S4" s="188"/>
      <c r="T4" s="188"/>
      <c r="U4" s="188"/>
    </row>
    <row r="5" spans="2:21" ht="66.75" customHeight="1">
      <c r="B5" s="24" t="s">
        <v>78</v>
      </c>
      <c r="C5" s="25" t="s">
        <v>79</v>
      </c>
      <c r="D5" s="26" t="s">
        <v>80</v>
      </c>
      <c r="E5" s="25" t="s">
        <v>81</v>
      </c>
      <c r="F5" s="25" t="s">
        <v>82</v>
      </c>
      <c r="G5" s="27" t="s">
        <v>83</v>
      </c>
      <c r="H5" s="25"/>
      <c r="I5" s="25"/>
      <c r="J5" s="25" t="s">
        <v>84</v>
      </c>
      <c r="K5" s="28" t="s">
        <v>85</v>
      </c>
      <c r="L5" s="8" t="s">
        <v>86</v>
      </c>
      <c r="M5" s="8" t="s">
        <v>87</v>
      </c>
      <c r="N5" s="29" t="s">
        <v>88</v>
      </c>
      <c r="O5" s="21" t="s">
        <v>89</v>
      </c>
      <c r="P5" s="21" t="s">
        <v>90</v>
      </c>
      <c r="Q5" s="21" t="s">
        <v>91</v>
      </c>
      <c r="R5" s="21" t="s">
        <v>92</v>
      </c>
      <c r="S5" s="30" t="s">
        <v>93</v>
      </c>
      <c r="T5" s="30" t="s">
        <v>94</v>
      </c>
      <c r="U5" s="31" t="s">
        <v>95</v>
      </c>
    </row>
    <row r="6" spans="2:21" ht="20.25" customHeight="1">
      <c r="B6" s="32" t="str">
        <f>'Data Entry'!A6</f>
        <v xml:space="preserve">1. Population at Risk (age 10-17) </v>
      </c>
      <c r="C6" s="33">
        <f>'Data Entry'!C6</f>
        <v>679737</v>
      </c>
      <c r="D6" s="34"/>
      <c r="E6" s="33">
        <f>'Data Entry'!H6</f>
        <v>7679</v>
      </c>
      <c r="F6" s="34"/>
      <c r="G6" s="35"/>
      <c r="H6" s="36"/>
      <c r="I6" s="37"/>
      <c r="J6" s="38"/>
      <c r="K6" s="37"/>
      <c r="L6" s="1">
        <f>IF( ('Data Entry'!H6&gt;('Data Entry'!B6/100)),1,100)</f>
        <v>100</v>
      </c>
      <c r="M6" s="1" t="s">
        <v>96</v>
      </c>
      <c r="N6" s="21"/>
      <c r="O6" s="21"/>
      <c r="P6" s="21"/>
      <c r="Q6" s="21"/>
      <c r="R6" s="21"/>
      <c r="S6" s="30"/>
      <c r="T6" s="30"/>
      <c r="U6" s="31"/>
    </row>
    <row r="7" spans="2:21" ht="18" customHeight="1">
      <c r="B7" s="32" t="str">
        <f>'Data Entry'!A7</f>
        <v>2. Juvenile Arrests</v>
      </c>
      <c r="C7" s="33">
        <f>'Data Entry'!C7</f>
        <v>4522</v>
      </c>
      <c r="D7" s="34">
        <f>IF((AND(C66&gt;0,C7&gt;0)),(C7/C66),0)</f>
        <v>6.6525729804321383</v>
      </c>
      <c r="E7" s="33">
        <f>'Data Entry'!H7</f>
        <v>48</v>
      </c>
      <c r="F7" s="34">
        <f>IF((AND($E$7&gt;0,$D$66&gt;0)),($E$7/$D$66),0)</f>
        <v>6.2508139080609455</v>
      </c>
      <c r="G7" s="39" t="str">
        <f t="shared" ref="G7:G15" si="0">IF(L$6=100,"*",IF(M7=FALSE,"--",IF(K7=20,"**",($F7/$D7))))</f>
        <v>*</v>
      </c>
      <c r="H7" s="40"/>
      <c r="I7" s="41"/>
      <c r="J7" s="40">
        <f>IF((ABS($U7)&gt;Defaults!D$7),1,2)</f>
        <v>2</v>
      </c>
      <c r="K7" s="39">
        <f>IF((AND(N7&gt;Defaults!B$12,(N7+O7)&gt;Defaults!B$13, P7 &gt; Defaults!B$12, (P7+Q7) &gt; Defaults!B$13)),1,20)</f>
        <v>1</v>
      </c>
      <c r="L7" s="1">
        <f t="shared" ref="L7:L15" si="1">(J7*K7+L$6)-1</f>
        <v>101</v>
      </c>
      <c r="M7" s="1" t="b">
        <f t="shared" ref="M7:M15" si="2">(ISNUMBER(J7))</f>
        <v>1</v>
      </c>
      <c r="N7" s="42">
        <f t="shared" ref="N7:N15" si="3">E7</f>
        <v>48</v>
      </c>
      <c r="O7" s="42">
        <f>E6-E7</f>
        <v>7631</v>
      </c>
      <c r="P7" s="42">
        <f t="shared" ref="P7:P15" si="4">C7</f>
        <v>4522</v>
      </c>
      <c r="Q7" s="42">
        <f>C6-C7</f>
        <v>675215</v>
      </c>
      <c r="R7" s="42">
        <f t="shared" ref="R7:R15" si="5">SUM(N7:Q7)</f>
        <v>687416</v>
      </c>
      <c r="S7" s="30">
        <f t="shared" ref="S7:S15" si="6">R7*((((N7*Q7)-(O7*P7))^2))</f>
        <v>3.0230280551940751E+18</v>
      </c>
      <c r="T7" s="30">
        <f t="shared" ref="T7:T15" si="7">(N7+O7)*(P7+Q7)*(N7+P7)*(O7+Q7)</f>
        <v>1.6288629606550432E+19</v>
      </c>
      <c r="U7" s="31">
        <f t="shared" ref="U7:U15" si="8">IF((S7&gt;0),S7/T7,"- -")</f>
        <v>0.18559130683273514</v>
      </c>
    </row>
    <row r="8" spans="2:21" ht="18" customHeight="1">
      <c r="B8" s="32" t="str">
        <f>'Data Entry'!A8</f>
        <v>3. Refer to Juvenile Court</v>
      </c>
      <c r="C8" s="33">
        <f>'Data Entry'!C8</f>
        <v>7285</v>
      </c>
      <c r="D8" s="34">
        <f>IF((AND(C67&gt;0,C8&gt;0)),(C8/C67),0)</f>
        <v>161.10128261831048</v>
      </c>
      <c r="E8" s="33">
        <f>'Data Entry'!H8</f>
        <v>141</v>
      </c>
      <c r="F8" s="34">
        <f>IF((AND($E$8&gt;0,$D$67&gt;0)),($E8/$D67),0)</f>
        <v>293.75</v>
      </c>
      <c r="G8" s="39" t="str">
        <f t="shared" si="0"/>
        <v>*</v>
      </c>
      <c r="H8" s="40"/>
      <c r="I8" s="41"/>
      <c r="J8" s="40">
        <f>IF((ABS($U8)&gt;Defaults!D$7),1,2)</f>
        <v>1</v>
      </c>
      <c r="K8" s="39">
        <f>IF((AND(N8&gt;Defaults!B$12,(N8+O8)&gt;Defaults!B$13, P8 &gt; Defaults!B$12, (P8+Q8) &gt; Defaults!B$13)),1,20)</f>
        <v>1</v>
      </c>
      <c r="L8" s="1">
        <f t="shared" si="1"/>
        <v>100</v>
      </c>
      <c r="M8" s="1" t="b">
        <f t="shared" si="2"/>
        <v>1</v>
      </c>
      <c r="N8" s="42">
        <f t="shared" si="3"/>
        <v>141</v>
      </c>
      <c r="O8" s="42">
        <f>((D67*L67)-E8)+0.05</f>
        <v>-92.95</v>
      </c>
      <c r="P8" s="42">
        <f t="shared" si="4"/>
        <v>7285</v>
      </c>
      <c r="Q8" s="42">
        <f>(C$67*L67)-C8</f>
        <v>-2763</v>
      </c>
      <c r="R8" s="42">
        <f t="shared" si="5"/>
        <v>4570.05</v>
      </c>
      <c r="S8" s="30">
        <f t="shared" si="6"/>
        <v>377894964776714.88</v>
      </c>
      <c r="T8" s="30">
        <f t="shared" si="7"/>
        <v>-4608180637013.8691</v>
      </c>
      <c r="U8" s="31">
        <f t="shared" si="8"/>
        <v>-82.005241231514148</v>
      </c>
    </row>
    <row r="9" spans="2:21" ht="18" customHeight="1">
      <c r="B9" s="32" t="str">
        <f>'Data Entry'!A9</f>
        <v xml:space="preserve">4. Cases Diverted </v>
      </c>
      <c r="C9" s="33">
        <f>'Data Entry'!C9</f>
        <v>1889</v>
      </c>
      <c r="D9" s="34">
        <f>IF((AND(C68&gt;0,C9&gt;0)),((C9/C68)),0)</f>
        <v>25.92999313658202</v>
      </c>
      <c r="E9" s="33">
        <f>'Data Entry'!H9</f>
        <v>20</v>
      </c>
      <c r="F9" s="34">
        <f>IF((AND($E$9&gt;0,$D$68&gt;0)),(($E$9/$D$68)),0)</f>
        <v>14.184397163120568</v>
      </c>
      <c r="G9" s="39" t="str">
        <f t="shared" si="0"/>
        <v>*</v>
      </c>
      <c r="H9" s="40"/>
      <c r="I9" s="41"/>
      <c r="J9" s="40">
        <f>IF((ABS($U9)&gt;Defaults!D$7),1,2)</f>
        <v>1</v>
      </c>
      <c r="K9" s="39">
        <f>IF((AND(N9&gt;Defaults!B$12,(N9+O9)&gt;Defaults!B$13, P9 &gt; Defaults!B$12, (P9+Q9) &gt; Defaults!B$13)),1,20)</f>
        <v>1</v>
      </c>
      <c r="L9" s="1">
        <f t="shared" si="1"/>
        <v>100</v>
      </c>
      <c r="M9" s="1" t="b">
        <f t="shared" si="2"/>
        <v>1</v>
      </c>
      <c r="N9" s="42">
        <f t="shared" si="3"/>
        <v>20</v>
      </c>
      <c r="O9" s="42">
        <f>(D$68*L68)-E9</f>
        <v>121</v>
      </c>
      <c r="P9" s="42">
        <f t="shared" si="4"/>
        <v>1889</v>
      </c>
      <c r="Q9" s="42">
        <f>(C$68*L68)-C9</f>
        <v>5395.9999999999991</v>
      </c>
      <c r="R9" s="42">
        <f t="shared" si="5"/>
        <v>7425.9999999999991</v>
      </c>
      <c r="S9" s="30">
        <f t="shared" si="6"/>
        <v>108094201598626.02</v>
      </c>
      <c r="T9" s="30">
        <f t="shared" si="7"/>
        <v>10818264142304.996</v>
      </c>
      <c r="U9" s="31">
        <f t="shared" si="8"/>
        <v>9.9918249523897185</v>
      </c>
    </row>
    <row r="10" spans="2:21" ht="18" customHeight="1">
      <c r="B10" s="32" t="str">
        <f>'Data Entry'!A10</f>
        <v>5. Cases Involving Secure Detention</v>
      </c>
      <c r="C10" s="33">
        <f>'Data Entry'!C10</f>
        <v>865</v>
      </c>
      <c r="D10" s="34">
        <f>IF(((AND(C68&gt;0,C10&gt;0))),(C10/(C68)),0)</f>
        <v>11.873713109128348</v>
      </c>
      <c r="E10" s="33">
        <f>'Data Entry'!H10</f>
        <v>11</v>
      </c>
      <c r="F10" s="34">
        <f>IF(((AND($E$10&gt;0,$D$68&gt;0))),($E$10/($D$68)),0)</f>
        <v>7.8014184397163122</v>
      </c>
      <c r="G10" s="39" t="str">
        <f t="shared" si="0"/>
        <v>*</v>
      </c>
      <c r="H10" s="40"/>
      <c r="I10" s="41"/>
      <c r="J10" s="40">
        <f>IF((ABS($U10)&gt;Defaults!D$7),1,2)</f>
        <v>2</v>
      </c>
      <c r="K10" s="39">
        <f>IF((AND(N10&gt;Defaults!B$12,(N10+O10)&gt;Defaults!B$13, P10 &gt; Defaults!B$12, (P10+Q10) &gt; Defaults!B$13)),1,20)</f>
        <v>1</v>
      </c>
      <c r="L10" s="1">
        <f t="shared" si="1"/>
        <v>101</v>
      </c>
      <c r="M10" s="1" t="b">
        <f t="shared" si="2"/>
        <v>1</v>
      </c>
      <c r="N10" s="42">
        <f t="shared" si="3"/>
        <v>11</v>
      </c>
      <c r="O10" s="42">
        <f>(D$68*L68)-E10</f>
        <v>130</v>
      </c>
      <c r="P10" s="42">
        <f t="shared" si="4"/>
        <v>865</v>
      </c>
      <c r="Q10" s="42">
        <f>(C$68*L68)-C10</f>
        <v>6419.9999999999991</v>
      </c>
      <c r="R10" s="42">
        <f t="shared" si="5"/>
        <v>7425.9999999999991</v>
      </c>
      <c r="S10" s="30">
        <f t="shared" si="6"/>
        <v>12993635331400.008</v>
      </c>
      <c r="T10" s="30">
        <f t="shared" si="7"/>
        <v>5893782092999.998</v>
      </c>
      <c r="U10" s="31">
        <f t="shared" si="8"/>
        <v>2.2046344989293809</v>
      </c>
    </row>
    <row r="11" spans="2:21" ht="18" customHeight="1">
      <c r="B11" s="32" t="str">
        <f>'Data Entry'!A11</f>
        <v>6. Cases Petitioned (Charge Filed)</v>
      </c>
      <c r="C11" s="33">
        <f>'Data Entry'!C11</f>
        <v>3652</v>
      </c>
      <c r="D11" s="34">
        <f>IF(((AND(C68&gt;0,C11&gt;0))),(C11/(C68)),0)</f>
        <v>50.130404941660949</v>
      </c>
      <c r="E11" s="33">
        <f>'Data Entry'!H11</f>
        <v>72</v>
      </c>
      <c r="F11" s="34">
        <f>IF(((AND($E$11&gt;0,$D$68&gt;0))),($E$11/($D$68)),0)</f>
        <v>51.063829787234049</v>
      </c>
      <c r="G11" s="39" t="str">
        <f t="shared" si="0"/>
        <v>*</v>
      </c>
      <c r="H11" s="40"/>
      <c r="I11" s="41"/>
      <c r="J11" s="40">
        <f>IF((ABS($U11)&gt;Defaults!D$7),1,2)</f>
        <v>2</v>
      </c>
      <c r="K11" s="39">
        <f>IF((AND(N11&gt;Defaults!B$12,(N11+O11)&gt;Defaults!B$13, P11 &gt; Defaults!B$12, (P11+Q11) &gt; Defaults!B$13)),1,20)</f>
        <v>1</v>
      </c>
      <c r="L11" s="1">
        <f t="shared" si="1"/>
        <v>101</v>
      </c>
      <c r="M11" s="1" t="b">
        <f t="shared" si="2"/>
        <v>1</v>
      </c>
      <c r="N11" s="42">
        <f t="shared" si="3"/>
        <v>72</v>
      </c>
      <c r="O11" s="42">
        <f>(D$68*L68)-E11</f>
        <v>69</v>
      </c>
      <c r="P11" s="42">
        <f t="shared" si="4"/>
        <v>3652</v>
      </c>
      <c r="Q11" s="42">
        <f>(C$68*L68)-C11</f>
        <v>3632.9999999999991</v>
      </c>
      <c r="R11" s="42">
        <f t="shared" si="5"/>
        <v>7425.9999999999991</v>
      </c>
      <c r="S11" s="30">
        <f t="shared" si="6"/>
        <v>682670278943.99158</v>
      </c>
      <c r="T11" s="30">
        <f t="shared" si="7"/>
        <v>14161027151879.994</v>
      </c>
      <c r="U11" s="31">
        <f t="shared" si="8"/>
        <v>4.8207680955781616E-2</v>
      </c>
    </row>
    <row r="12" spans="2:21" ht="18" customHeight="1">
      <c r="B12" s="32" t="str">
        <f>'Data Entry'!A12</f>
        <v>7. Cases Resulting in Delinquent Findings</v>
      </c>
      <c r="C12" s="33">
        <f>'Data Entry'!C12</f>
        <v>2346</v>
      </c>
      <c r="D12" s="34">
        <f>IF(((AND(C69&gt;0,C12&gt;0))),(C12/(C69)),0)</f>
        <v>64.238773274917847</v>
      </c>
      <c r="E12" s="33">
        <f>'Data Entry'!H12</f>
        <v>46</v>
      </c>
      <c r="F12" s="34">
        <f>IF(((AND($D$69&gt;0,$E$12&gt;0))),(E12/(D69)),0)</f>
        <v>63.888888888888893</v>
      </c>
      <c r="G12" s="39" t="str">
        <f t="shared" si="0"/>
        <v>*</v>
      </c>
      <c r="H12" s="40"/>
      <c r="I12" s="41"/>
      <c r="J12" s="40">
        <f>IF((ABS($U12)&gt;Defaults!D$7),1,2)</f>
        <v>2</v>
      </c>
      <c r="K12" s="39">
        <f>IF((AND(N12&gt;Defaults!B$12,(N12+O12)&gt;Defaults!B$13, P12 &gt; Defaults!B$12, (P12+Q12) &gt; Defaults!B$13)),1,20)</f>
        <v>1</v>
      </c>
      <c r="L12" s="1">
        <f t="shared" si="1"/>
        <v>101</v>
      </c>
      <c r="M12" s="1" t="b">
        <f t="shared" si="2"/>
        <v>1</v>
      </c>
      <c r="N12" s="42">
        <f t="shared" si="3"/>
        <v>46</v>
      </c>
      <c r="O12" s="42">
        <f>(D69*L69)-E12</f>
        <v>26</v>
      </c>
      <c r="P12" s="42">
        <f t="shared" si="4"/>
        <v>2346</v>
      </c>
      <c r="Q12" s="42">
        <f>(C69*L69)-C12</f>
        <v>1306.0000000000005</v>
      </c>
      <c r="R12" s="42">
        <f t="shared" si="5"/>
        <v>3724.0000000000005</v>
      </c>
      <c r="S12" s="30">
        <f t="shared" si="6"/>
        <v>3151993599.9998507</v>
      </c>
      <c r="T12" s="30">
        <f t="shared" si="7"/>
        <v>837777447936.00049</v>
      </c>
      <c r="U12" s="31">
        <f t="shared" si="8"/>
        <v>3.7623280595166344E-3</v>
      </c>
    </row>
    <row r="13" spans="2:21" ht="18" customHeight="1">
      <c r="B13" s="32" t="str">
        <f>'Data Entry'!A13</f>
        <v>8. Cases Resulting in Probation Placement</v>
      </c>
      <c r="C13" s="33">
        <f>'Data Entry'!C13</f>
        <v>1965</v>
      </c>
      <c r="D13" s="34">
        <f>IF(((AND(C70&gt;0,C13&gt;0))),(C13/(C70)),0)</f>
        <v>83.759590792838878</v>
      </c>
      <c r="E13" s="33">
        <f>'Data Entry'!H13</f>
        <v>68</v>
      </c>
      <c r="F13" s="34">
        <f>IF(((AND($D$70&gt;0,$E$13&gt;0))),($E$13/($D$70)),0)</f>
        <v>147.82608695652172</v>
      </c>
      <c r="G13" s="39" t="str">
        <f t="shared" si="0"/>
        <v>*</v>
      </c>
      <c r="H13" s="40"/>
      <c r="I13" s="41"/>
      <c r="J13" s="40">
        <f>IF((ABS($U13)&gt;Defaults!D$7),1,2)</f>
        <v>1</v>
      </c>
      <c r="K13" s="39">
        <f>IF((AND(N13&gt;Defaults!B$12,(N13+O13)&gt;Defaults!B$13, P13 &gt; Defaults!B$12, (P13+Q13) &gt; Defaults!B$13)),1,20)</f>
        <v>1</v>
      </c>
      <c r="L13" s="1">
        <f t="shared" si="1"/>
        <v>100</v>
      </c>
      <c r="M13" s="1" t="b">
        <f t="shared" si="2"/>
        <v>1</v>
      </c>
      <c r="N13" s="42">
        <f t="shared" si="3"/>
        <v>68</v>
      </c>
      <c r="O13" s="42">
        <f>(D70*L70)-E13</f>
        <v>-22</v>
      </c>
      <c r="P13" s="42">
        <f t="shared" si="4"/>
        <v>1965</v>
      </c>
      <c r="Q13" s="42">
        <f>(C70*L70)-C13</f>
        <v>381</v>
      </c>
      <c r="R13" s="42">
        <f t="shared" si="5"/>
        <v>2392</v>
      </c>
      <c r="S13" s="30">
        <f t="shared" si="6"/>
        <v>11433910801248</v>
      </c>
      <c r="T13" s="30">
        <f t="shared" si="7"/>
        <v>78762168852</v>
      </c>
      <c r="U13" s="31">
        <f t="shared" si="8"/>
        <v>145.17008568838642</v>
      </c>
    </row>
    <row r="14" spans="2:21" ht="30.75" customHeight="1">
      <c r="B14" s="32" t="str">
        <f>'Data Entry'!A14</f>
        <v xml:space="preserve">9. Cases Resulting in Confinement in Secure Juvenile Correctional Facilities </v>
      </c>
      <c r="C14" s="33">
        <f>'Data Entry'!C14</f>
        <v>551</v>
      </c>
      <c r="D14" s="34">
        <f>IF(((AND(C70&gt;0,C14&gt;0))), ((C14/(C70))),0)</f>
        <v>23.486786018755328</v>
      </c>
      <c r="E14" s="33">
        <f>'Data Entry'!H14</f>
        <v>11</v>
      </c>
      <c r="F14" s="34">
        <f>IF(((AND($D$70&gt;0,$E$14&gt;0))), (($E$14/($D$70))),0)</f>
        <v>23.913043478260867</v>
      </c>
      <c r="G14" s="39" t="str">
        <f t="shared" si="0"/>
        <v>*</v>
      </c>
      <c r="H14" s="40"/>
      <c r="I14" s="41"/>
      <c r="J14" s="40">
        <f>IF((ABS($U14)&gt;Defaults!D$7),1,2)</f>
        <v>2</v>
      </c>
      <c r="K14" s="39">
        <f>IF((AND(N14&gt;Defaults!B$12,(N14+O14)&gt;Defaults!B$13, P14 &gt; Defaults!B$12, (P14+Q14) &gt; Defaults!B$13)),1,20)</f>
        <v>1</v>
      </c>
      <c r="L14" s="1">
        <f t="shared" si="1"/>
        <v>101</v>
      </c>
      <c r="M14" s="1" t="b">
        <f t="shared" si="2"/>
        <v>1</v>
      </c>
      <c r="N14" s="42">
        <f t="shared" si="3"/>
        <v>11</v>
      </c>
      <c r="O14" s="42">
        <f>(D70*L70)-E14</f>
        <v>35</v>
      </c>
      <c r="P14" s="42">
        <f t="shared" si="4"/>
        <v>551</v>
      </c>
      <c r="Q14" s="42">
        <f>(C70*L70)-C14</f>
        <v>1795</v>
      </c>
      <c r="R14" s="42">
        <f t="shared" si="5"/>
        <v>2392</v>
      </c>
      <c r="S14" s="30">
        <f t="shared" si="6"/>
        <v>506147200</v>
      </c>
      <c r="T14" s="30">
        <f t="shared" si="7"/>
        <v>110987289360</v>
      </c>
      <c r="U14" s="31">
        <f t="shared" si="8"/>
        <v>4.5604068981111301E-3</v>
      </c>
    </row>
    <row r="15" spans="2:21" ht="15.75" customHeight="1">
      <c r="B15" s="32" t="str">
        <f>'Data Entry'!A15</f>
        <v xml:space="preserve">10. Cases Transferred to Adult Court </v>
      </c>
      <c r="C15" s="33">
        <f>'Data Entry'!C15</f>
        <v>3</v>
      </c>
      <c r="D15" s="34">
        <f>IF(((AND(C69&gt;0,C15&gt;0))),((C15/(C69))),0)</f>
        <v>8.2146768893756841E-2</v>
      </c>
      <c r="E15" s="33">
        <f>'Data Entry'!H15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72</v>
      </c>
      <c r="P15" s="42">
        <f t="shared" si="4"/>
        <v>3</v>
      </c>
      <c r="Q15" s="42">
        <f>(C69*L69)-C15</f>
        <v>3649.0000000000005</v>
      </c>
      <c r="R15" s="42">
        <f t="shared" si="5"/>
        <v>3724.0000000000005</v>
      </c>
      <c r="S15" s="30">
        <f t="shared" si="6"/>
        <v>173746944.00000003</v>
      </c>
      <c r="T15" s="30">
        <f t="shared" si="7"/>
        <v>2935243872.0000014</v>
      </c>
      <c r="U15" s="31">
        <f t="shared" si="8"/>
        <v>5.9193358908748266E-2</v>
      </c>
    </row>
    <row r="16" spans="2:21" ht="12" customHeight="1">
      <c r="B16" s="43" t="s">
        <v>130</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131</v>
      </c>
      <c r="L17" s="1" t="s">
        <v>132</v>
      </c>
      <c r="N17" s="21"/>
      <c r="O17" s="21"/>
      <c r="P17" s="21"/>
      <c r="Q17" s="21"/>
      <c r="R17" s="21"/>
      <c r="S17" s="30"/>
      <c r="T17" s="30"/>
      <c r="U17" s="31"/>
    </row>
    <row r="18" spans="2:21" ht="15" customHeight="1">
      <c r="B18" s="1" t="s">
        <v>56</v>
      </c>
    </row>
    <row r="19" spans="2:21" ht="15" customHeight="1">
      <c r="B19" s="1" t="s">
        <v>98</v>
      </c>
      <c r="D19" s="45" t="s">
        <v>58</v>
      </c>
    </row>
    <row r="20" spans="2:21" ht="15" customHeight="1">
      <c r="B20" s="1" t="s">
        <v>99</v>
      </c>
      <c r="D20" s="1" t="s">
        <v>62</v>
      </c>
    </row>
    <row r="21" spans="2:21" ht="15" customHeight="1">
      <c r="B21" s="1" t="s">
        <v>59</v>
      </c>
      <c r="D21" s="1" t="s">
        <v>60</v>
      </c>
    </row>
    <row r="22" spans="2:21" ht="15" customHeight="1">
      <c r="B22" s="1" t="s">
        <v>63</v>
      </c>
      <c r="D22" s="1" t="s">
        <v>64</v>
      </c>
    </row>
    <row r="23" spans="2:21" ht="15" customHeight="1">
      <c r="B23" s="1" t="s">
        <v>65</v>
      </c>
      <c r="D23" s="1" t="s">
        <v>66</v>
      </c>
    </row>
    <row r="24" spans="2:21" ht="26.25" customHeight="1">
      <c r="B24" s="62"/>
      <c r="C24" s="62"/>
      <c r="D24" s="62"/>
      <c r="E24" s="62"/>
      <c r="F24" s="62"/>
      <c r="G24" s="62"/>
      <c r="H24" s="62"/>
      <c r="I24" s="62"/>
      <c r="N24" s="21"/>
      <c r="O24" s="21"/>
      <c r="P24" s="21"/>
      <c r="Q24" s="21"/>
      <c r="R24" s="21"/>
      <c r="S24" s="30"/>
      <c r="T24" s="30"/>
      <c r="U24" s="31"/>
    </row>
    <row r="25" spans="2:21" ht="15" customHeight="1">
      <c r="B25" s="46" t="s">
        <v>100</v>
      </c>
      <c r="K25" s="1" t="s">
        <v>101</v>
      </c>
      <c r="L25" s="1" t="s">
        <v>102</v>
      </c>
      <c r="N25" s="21"/>
      <c r="O25" s="21" t="b">
        <f>ISBLANK(N12)</f>
        <v>0</v>
      </c>
      <c r="P25" s="21"/>
      <c r="Q25" s="21"/>
      <c r="R25" s="21"/>
    </row>
    <row r="26" spans="2:21" ht="15" customHeight="1">
      <c r="B26" s="47" t="s">
        <v>103</v>
      </c>
      <c r="F26" s="47" t="s">
        <v>104</v>
      </c>
      <c r="G26" s="47"/>
      <c r="H26" s="47"/>
      <c r="I26" s="47"/>
      <c r="J26" s="47"/>
      <c r="K26" s="48" t="s">
        <v>66</v>
      </c>
      <c r="L26" s="48" t="s">
        <v>105</v>
      </c>
      <c r="M26" s="48"/>
      <c r="R26" s="49"/>
    </row>
    <row r="27" spans="2:21" ht="15" customHeight="1">
      <c r="B27" s="50" t="s">
        <v>106</v>
      </c>
      <c r="C27" s="50"/>
      <c r="D27" s="50"/>
      <c r="E27" s="50"/>
      <c r="F27" s="50" t="str">
        <f>B66</f>
        <v>per 1000 youth</v>
      </c>
      <c r="G27" s="50"/>
      <c r="H27" s="50"/>
      <c r="I27" s="50"/>
      <c r="J27" s="50">
        <f>F66</f>
        <v>0</v>
      </c>
      <c r="K27" s="50" t="s">
        <v>64</v>
      </c>
      <c r="L27" s="51" t="s">
        <v>107</v>
      </c>
      <c r="R27" s="49"/>
    </row>
    <row r="28" spans="2:21" ht="15" customHeight="1">
      <c r="B28" s="50" t="s">
        <v>108</v>
      </c>
      <c r="C28" s="50"/>
      <c r="D28" s="50"/>
      <c r="E28" s="50"/>
      <c r="F28" s="52" t="str">
        <f>B67</f>
        <v>per 100 arrests</v>
      </c>
      <c r="G28" s="52"/>
      <c r="H28" s="52"/>
      <c r="I28" s="52"/>
      <c r="J28" s="52"/>
      <c r="K28" s="52" t="s">
        <v>60</v>
      </c>
      <c r="L28" s="53" t="s">
        <v>109</v>
      </c>
      <c r="R28" s="49"/>
    </row>
    <row r="29" spans="2:21" ht="15" customHeight="1">
      <c r="B29" s="52" t="s">
        <v>110</v>
      </c>
      <c r="C29" s="52"/>
      <c r="D29" s="52"/>
      <c r="E29" s="52"/>
      <c r="F29" s="52" t="str">
        <f>B68</f>
        <v>per 100 referrals</v>
      </c>
      <c r="G29" s="52"/>
      <c r="H29" s="52"/>
      <c r="I29" s="52"/>
      <c r="J29" s="52"/>
      <c r="K29" s="52"/>
      <c r="L29" s="53"/>
      <c r="R29" s="49"/>
    </row>
    <row r="30" spans="2:21" ht="15" customHeight="1">
      <c r="B30" s="52" t="s">
        <v>111</v>
      </c>
      <c r="C30" s="52"/>
      <c r="D30" s="52"/>
      <c r="E30" s="52"/>
      <c r="F30" s="52" t="str">
        <f>B68</f>
        <v>per 100 referrals</v>
      </c>
      <c r="G30" s="52"/>
      <c r="H30" s="52"/>
      <c r="I30" s="52"/>
      <c r="J30" s="52"/>
      <c r="K30" s="52"/>
      <c r="L30" s="53"/>
      <c r="N30" s="1" t="b">
        <f>ISNUMBER(J14)</f>
        <v>1</v>
      </c>
      <c r="R30" s="49"/>
    </row>
    <row r="31" spans="2:21" ht="15" customHeight="1">
      <c r="B31" s="52" t="s">
        <v>112</v>
      </c>
      <c r="C31" s="52"/>
      <c r="D31" s="52"/>
      <c r="E31" s="52"/>
      <c r="F31" s="52" t="str">
        <f>B68</f>
        <v>per 100 referrals</v>
      </c>
      <c r="G31" s="52"/>
      <c r="H31" s="52"/>
      <c r="I31" s="52"/>
      <c r="J31" s="52"/>
      <c r="K31" s="52"/>
      <c r="L31" s="53"/>
      <c r="R31" s="49"/>
    </row>
    <row r="32" spans="2:21" ht="15" customHeight="1">
      <c r="B32" s="52" t="s">
        <v>113</v>
      </c>
      <c r="C32" s="52"/>
      <c r="D32" s="52"/>
      <c r="E32" s="52"/>
      <c r="F32" s="52" t="str">
        <f>B69</f>
        <v>per 100 youth petitioned</v>
      </c>
      <c r="G32" s="52"/>
      <c r="H32" s="52"/>
      <c r="I32" s="52"/>
      <c r="J32" s="52"/>
      <c r="K32" s="52"/>
      <c r="L32" s="53"/>
      <c r="R32" s="49"/>
    </row>
    <row r="33" spans="2:18" ht="15" customHeight="1">
      <c r="B33" s="52" t="s">
        <v>114</v>
      </c>
      <c r="C33" s="52"/>
      <c r="D33" s="52"/>
      <c r="E33" s="52"/>
      <c r="F33" s="52" t="str">
        <f>B70</f>
        <v>per 100 youth found delinquent</v>
      </c>
      <c r="G33" s="52"/>
      <c r="H33" s="52"/>
      <c r="I33" s="52"/>
      <c r="J33" s="52"/>
      <c r="K33" s="52"/>
      <c r="L33" s="53"/>
      <c r="R33" s="49"/>
    </row>
    <row r="34" spans="2:18" ht="15" customHeight="1">
      <c r="B34" s="52" t="s">
        <v>115</v>
      </c>
      <c r="C34" s="52"/>
      <c r="D34" s="52"/>
      <c r="E34" s="52"/>
      <c r="F34" s="52" t="str">
        <f>B70</f>
        <v>per 100 youth found delinquent</v>
      </c>
      <c r="G34" s="52"/>
      <c r="H34" s="52"/>
      <c r="I34" s="52"/>
      <c r="J34" s="52"/>
      <c r="K34" s="52"/>
      <c r="L34" s="53"/>
      <c r="R34" s="49"/>
    </row>
    <row r="35" spans="2:18" ht="15" customHeight="1">
      <c r="B35" s="52" t="s">
        <v>116</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187" t="s">
        <v>117</v>
      </c>
      <c r="C40" s="187"/>
      <c r="D40" s="187"/>
      <c r="E40" s="187"/>
      <c r="F40" s="187"/>
      <c r="G40" s="187"/>
      <c r="H40" s="187"/>
      <c r="I40" s="187"/>
      <c r="J40" s="187"/>
      <c r="K40" s="8"/>
      <c r="R40" s="49"/>
    </row>
    <row r="41" spans="2:18" ht="15" hidden="1" customHeight="1">
      <c r="B41" s="54" t="s">
        <v>118</v>
      </c>
      <c r="C41" s="54" t="s">
        <v>119</v>
      </c>
      <c r="D41" s="55" t="s">
        <v>120</v>
      </c>
      <c r="E41" s="54" t="s">
        <v>121</v>
      </c>
      <c r="G41" s="54" t="s">
        <v>122</v>
      </c>
      <c r="H41" s="54"/>
      <c r="I41" s="54"/>
      <c r="L41" s="1" t="s">
        <v>123</v>
      </c>
      <c r="R41" s="49"/>
    </row>
    <row r="42" spans="2:18" ht="15" hidden="1" customHeight="1">
      <c r="B42" s="49" t="s">
        <v>124</v>
      </c>
      <c r="C42" s="56">
        <f>C6/1000</f>
        <v>679.73699999999997</v>
      </c>
      <c r="D42" s="56">
        <f>E6/1000</f>
        <v>7.6790000000000003</v>
      </c>
      <c r="E42" s="56">
        <f>MAX(C42:D42)</f>
        <v>679.73699999999997</v>
      </c>
      <c r="G42" s="1" t="str">
        <f>B42</f>
        <v>per 1000 youth</v>
      </c>
      <c r="L42" s="57">
        <v>1000</v>
      </c>
      <c r="M42" s="57"/>
      <c r="R42" s="49"/>
    </row>
    <row r="43" spans="2:18" ht="15" hidden="1" customHeight="1">
      <c r="B43" s="49" t="s">
        <v>125</v>
      </c>
      <c r="C43" s="56">
        <f>C7/100</f>
        <v>45.22</v>
      </c>
      <c r="D43" s="56">
        <f>E7/100</f>
        <v>0.48</v>
      </c>
      <c r="E43" s="56">
        <f>MAX(C43:D43,0)</f>
        <v>45.22</v>
      </c>
      <c r="G43" s="1" t="str">
        <f>B43</f>
        <v>per 100 arrests</v>
      </c>
      <c r="L43" s="57">
        <v>100</v>
      </c>
      <c r="M43" s="57"/>
      <c r="R43" s="49"/>
    </row>
    <row r="44" spans="2:18" ht="15" hidden="1" customHeight="1">
      <c r="B44" s="49" t="s">
        <v>126</v>
      </c>
      <c r="C44" s="56">
        <f>C8/100</f>
        <v>72.849999999999994</v>
      </c>
      <c r="D44" s="56">
        <f>E8/100</f>
        <v>1.41</v>
      </c>
      <c r="E44" s="56">
        <f>MAX(C44:D44,0)</f>
        <v>72.849999999999994</v>
      </c>
      <c r="G44" s="1" t="str">
        <f>B44</f>
        <v>per 100 referrals</v>
      </c>
      <c r="L44" s="57">
        <v>100</v>
      </c>
      <c r="M44" s="57"/>
      <c r="R44" s="49"/>
    </row>
    <row r="45" spans="2:18" ht="15" hidden="1" customHeight="1">
      <c r="B45" s="49" t="s">
        <v>127</v>
      </c>
      <c r="C45" s="49">
        <f>C11/100</f>
        <v>36.520000000000003</v>
      </c>
      <c r="D45" s="49">
        <f>E11/100</f>
        <v>0.72</v>
      </c>
      <c r="E45" s="56">
        <f>MAX(C45:D45,0)</f>
        <v>36.520000000000003</v>
      </c>
      <c r="G45" s="1" t="str">
        <f>B45</f>
        <v>per 100 youth petitioned</v>
      </c>
      <c r="L45" s="57">
        <v>100</v>
      </c>
      <c r="M45" s="57"/>
      <c r="R45" s="49"/>
    </row>
    <row r="46" spans="2:18" ht="15" hidden="1" customHeight="1">
      <c r="B46" s="49" t="s">
        <v>128</v>
      </c>
      <c r="C46" s="49">
        <f>C12/100</f>
        <v>23.46</v>
      </c>
      <c r="D46" s="49">
        <f>E12/100</f>
        <v>0.46</v>
      </c>
      <c r="E46" s="56">
        <f>MAX(C46:D46)</f>
        <v>23.46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7.6790000000000003</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45.22</v>
      </c>
      <c r="D49" s="49">
        <f t="shared" si="9"/>
        <v>0.48</v>
      </c>
      <c r="E49" s="49">
        <f>MAX(C49:D49)</f>
        <v>45.22</v>
      </c>
      <c r="G49" s="1" t="str">
        <f>G43</f>
        <v>per 100 arrests</v>
      </c>
      <c r="L49" s="58">
        <f>IF(($E43&gt;0),L43,L42)</f>
        <v>100</v>
      </c>
      <c r="M49" s="58"/>
      <c r="N49" s="21"/>
      <c r="O49" s="21"/>
      <c r="P49" s="21"/>
      <c r="Q49" s="21"/>
      <c r="R49" s="21"/>
    </row>
    <row r="50" spans="2:18" ht="15" hidden="1" customHeight="1">
      <c r="B50" s="49" t="str">
        <f t="shared" si="9"/>
        <v>per 100 referrals</v>
      </c>
      <c r="C50" s="49">
        <f t="shared" si="9"/>
        <v>72.849999999999994</v>
      </c>
      <c r="D50" s="49">
        <f t="shared" si="9"/>
        <v>1.41</v>
      </c>
      <c r="E50" s="49">
        <f>MAX(C50:D50)</f>
        <v>72.849999999999994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36.520000000000003</v>
      </c>
      <c r="D51" s="49">
        <f>IF(($E45&gt;0),D45,D44)</f>
        <v>0.72</v>
      </c>
      <c r="E51" s="49">
        <f>MAX(C51:D51)</f>
        <v>36.520000000000003</v>
      </c>
      <c r="G51" s="1" t="str">
        <f>G45</f>
        <v>per 100 youth petitioned</v>
      </c>
      <c r="L51" s="58">
        <f>IF(($E45&gt;0),L45,L44)</f>
        <v>100</v>
      </c>
      <c r="M51" s="58"/>
    </row>
    <row r="52" spans="2:18" ht="15" hidden="1" customHeight="1">
      <c r="B52" s="49" t="str">
        <f>IF(($E46&gt;0),B46,B45)</f>
        <v>per 100 youth found delinquent</v>
      </c>
      <c r="C52" s="49">
        <f>IF(($E46&gt;0),C46,C45)</f>
        <v>23.46</v>
      </c>
      <c r="D52" s="49">
        <f>IF(($E46&gt;0),D46,D45)</f>
        <v>0.46</v>
      </c>
      <c r="E52" s="56">
        <f>MAX(C52:D52)</f>
        <v>23.46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7.6790000000000003</v>
      </c>
      <c r="E54" s="56">
        <f>MAX(C54:D54)</f>
        <v>679.73699999999997</v>
      </c>
      <c r="G54" s="1" t="str">
        <f>G48</f>
        <v>per 1000 youth</v>
      </c>
      <c r="L54" s="58">
        <f>L48</f>
        <v>1000</v>
      </c>
      <c r="M54" s="58"/>
    </row>
    <row r="55" spans="2:18" ht="15" hidden="1" customHeight="1">
      <c r="B55" s="49" t="str">
        <f t="shared" ref="B55:D56" si="10">IF(($E49&gt;0),B49,B48)</f>
        <v>per 100 arrests</v>
      </c>
      <c r="C55" s="49">
        <f t="shared" si="10"/>
        <v>45.22</v>
      </c>
      <c r="D55" s="49">
        <f t="shared" si="10"/>
        <v>0.48</v>
      </c>
      <c r="E55" s="49">
        <f>MAX(C55:D55)</f>
        <v>45.22</v>
      </c>
      <c r="G55" s="1" t="str">
        <f>G49</f>
        <v>per 100 arrests</v>
      </c>
      <c r="L55" s="58">
        <f>IF(($E49&gt;0),L49,L48)</f>
        <v>100</v>
      </c>
      <c r="M55" s="58"/>
    </row>
    <row r="56" spans="2:18" ht="15" hidden="1" customHeight="1">
      <c r="B56" s="49" t="str">
        <f t="shared" si="10"/>
        <v>per 100 referrals</v>
      </c>
      <c r="C56" s="49">
        <f t="shared" si="10"/>
        <v>72.849999999999994</v>
      </c>
      <c r="D56" s="49">
        <f t="shared" si="10"/>
        <v>1.41</v>
      </c>
      <c r="E56" s="49">
        <f>MAX(C56:D56)</f>
        <v>72.849999999999994</v>
      </c>
      <c r="G56" s="1" t="str">
        <f>G50</f>
        <v>per 100 referrals</v>
      </c>
      <c r="L56" s="58">
        <f>IF(($E50&gt;0),L50,L49)</f>
        <v>100</v>
      </c>
      <c r="M56" s="58"/>
    </row>
    <row r="57" spans="2:18" ht="15" hidden="1" customHeight="1">
      <c r="B57" s="49" t="str">
        <f>IF(($E51&gt;0),B51,B49)</f>
        <v>per 100 youth petitioned</v>
      </c>
      <c r="C57" s="49">
        <f>IF(($E51&gt;0),C51,C50)</f>
        <v>36.520000000000003</v>
      </c>
      <c r="D57" s="49">
        <f>IF(($E51&gt;0),D51,D50)</f>
        <v>0.72</v>
      </c>
      <c r="E57" s="49">
        <f>MAX(C57:D57)</f>
        <v>36.520000000000003</v>
      </c>
      <c r="G57" s="1" t="str">
        <f>G51</f>
        <v>per 100 youth petitioned</v>
      </c>
      <c r="L57" s="58">
        <f>IF(($E51&gt;0),L51,L50)</f>
        <v>100</v>
      </c>
      <c r="M57" s="58"/>
    </row>
    <row r="58" spans="2:18" ht="15" hidden="1" customHeight="1">
      <c r="B58" s="49" t="str">
        <f>IF(($E52&gt;0),B52,B51)</f>
        <v>per 100 youth found delinquent</v>
      </c>
      <c r="C58" s="49">
        <f>IF(($E52&gt;0),C52,C51)</f>
        <v>23.46</v>
      </c>
      <c r="D58" s="49">
        <f>IF(($E52&gt;0),D52,D51)</f>
        <v>0.46</v>
      </c>
      <c r="E58" s="56">
        <f>MAX(C58:D58)</f>
        <v>23.46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7.6790000000000003</v>
      </c>
      <c r="E60" s="56">
        <f>MAX(C60:D60)</f>
        <v>679.73699999999997</v>
      </c>
      <c r="G60" s="1" t="str">
        <f>G54</f>
        <v>per 1000 youth</v>
      </c>
      <c r="L60" s="58">
        <f>L54</f>
        <v>1000</v>
      </c>
      <c r="M60" s="58"/>
    </row>
    <row r="61" spans="2:18" ht="15" hidden="1" customHeight="1">
      <c r="B61" s="49" t="str">
        <f t="shared" ref="B61:D62" si="11">IF(($E55&gt;0),B55,B54)</f>
        <v>per 100 arrests</v>
      </c>
      <c r="C61" s="49">
        <f t="shared" si="11"/>
        <v>45.22</v>
      </c>
      <c r="D61" s="49">
        <f t="shared" si="11"/>
        <v>0.48</v>
      </c>
      <c r="E61" s="49">
        <f>MAX(C61:D61)</f>
        <v>45.22</v>
      </c>
      <c r="G61" s="1" t="str">
        <f>G55</f>
        <v>per 100 arrests</v>
      </c>
      <c r="L61" s="58">
        <f>IF(($E55&gt;0),L55,L54)</f>
        <v>100</v>
      </c>
      <c r="M61" s="58"/>
    </row>
    <row r="62" spans="2:18" ht="15" hidden="1" customHeight="1">
      <c r="B62" s="49" t="str">
        <f t="shared" si="11"/>
        <v>per 100 referrals</v>
      </c>
      <c r="C62" s="49">
        <f t="shared" si="11"/>
        <v>72.849999999999994</v>
      </c>
      <c r="D62" s="49">
        <f t="shared" si="11"/>
        <v>1.41</v>
      </c>
      <c r="E62" s="49">
        <f>MAX(C62:D62)</f>
        <v>72.849999999999994</v>
      </c>
      <c r="G62" s="1" t="str">
        <f>G56</f>
        <v>per 100 referrals</v>
      </c>
      <c r="L62" s="58">
        <f>IF(($E56&gt;0),L56,L55)</f>
        <v>100</v>
      </c>
      <c r="M62" s="58"/>
    </row>
    <row r="63" spans="2:18" ht="15" hidden="1" customHeight="1">
      <c r="B63" s="49" t="str">
        <f>IF(($E57&gt;0),B57,B55)</f>
        <v>per 100 youth petitioned</v>
      </c>
      <c r="C63" s="49">
        <f>IF(($E57&gt;0),C57,C56)</f>
        <v>36.520000000000003</v>
      </c>
      <c r="D63" s="49">
        <f>IF(($E57&gt;0),D57,D56)</f>
        <v>0.72</v>
      </c>
      <c r="E63" s="49">
        <f>MAX(C63:D63)</f>
        <v>36.520000000000003</v>
      </c>
      <c r="G63" s="1" t="str">
        <f>G57</f>
        <v>per 100 youth petitioned</v>
      </c>
      <c r="L63" s="58">
        <f>IF(($E57&gt;0),L57,L56)</f>
        <v>100</v>
      </c>
      <c r="M63" s="58"/>
    </row>
    <row r="64" spans="2:18" ht="15" hidden="1" customHeight="1">
      <c r="B64" s="49" t="str">
        <f>IF(($E58&gt;0),B58,B57)</f>
        <v>per 100 youth found delinquent</v>
      </c>
      <c r="C64" s="49">
        <f>IF(($E58&gt;0),C58,C57)</f>
        <v>23.46</v>
      </c>
      <c r="D64" s="49">
        <f>IF(($E58&gt;0),D58,D57)</f>
        <v>0.46</v>
      </c>
      <c r="E64" s="56">
        <f>MAX(C64:D64)</f>
        <v>23.46</v>
      </c>
      <c r="G64" s="1" t="str">
        <f>G58</f>
        <v>per 100 youth found delinquent</v>
      </c>
      <c r="L64" s="58">
        <f>IF(($E58&gt;0),L58,L57)</f>
        <v>100</v>
      </c>
      <c r="M64" s="58"/>
    </row>
    <row r="65" spans="2:13" ht="15" hidden="1" customHeight="1">
      <c r="B65" s="59" t="s">
        <v>129</v>
      </c>
      <c r="L65" s="57"/>
      <c r="M65" s="57"/>
    </row>
    <row r="66" spans="2:13" ht="15" hidden="1" customHeight="1">
      <c r="B66" s="49" t="str">
        <f>B60</f>
        <v>per 1000 youth</v>
      </c>
      <c r="C66" s="56">
        <f>C60</f>
        <v>679.73699999999997</v>
      </c>
      <c r="D66" s="56">
        <f>D60</f>
        <v>7.6790000000000003</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45.22</v>
      </c>
      <c r="D67" s="49">
        <f t="shared" si="12"/>
        <v>0.48</v>
      </c>
      <c r="E67" s="49">
        <f>MAX(C67:D67)</f>
        <v>45.22</v>
      </c>
      <c r="G67" s="1" t="str">
        <f>G61</f>
        <v>per 100 arrests</v>
      </c>
      <c r="L67" s="58">
        <f>IF(($E61&gt;0),L61,L60)</f>
        <v>100</v>
      </c>
      <c r="M67" s="58">
        <f>IF((B67=G67),1,2)</f>
        <v>1</v>
      </c>
    </row>
    <row r="68" spans="2:13" ht="15" hidden="1" customHeight="1">
      <c r="B68" s="49" t="str">
        <f t="shared" si="12"/>
        <v>per 100 referrals</v>
      </c>
      <c r="C68" s="49">
        <f t="shared" si="12"/>
        <v>72.849999999999994</v>
      </c>
      <c r="D68" s="49">
        <f t="shared" si="12"/>
        <v>1.41</v>
      </c>
      <c r="E68" s="49">
        <f>MAX(C68:D68)</f>
        <v>72.849999999999994</v>
      </c>
      <c r="G68" s="1" t="str">
        <f>G62</f>
        <v>per 100 referrals</v>
      </c>
      <c r="L68" s="58">
        <f>IF(($E62&gt;0),L62,L61)</f>
        <v>100</v>
      </c>
      <c r="M68" s="58">
        <f>IF((B68=G68),1,2)</f>
        <v>1</v>
      </c>
    </row>
    <row r="69" spans="2:13" ht="15" hidden="1" customHeight="1">
      <c r="B69" s="49" t="str">
        <f>IF(($E63&gt;0),B63,B61)</f>
        <v>per 100 youth petitioned</v>
      </c>
      <c r="C69" s="49">
        <f>IF(($E63&gt;0),C63,C62)</f>
        <v>36.520000000000003</v>
      </c>
      <c r="D69" s="49">
        <f>IF(($E63&gt;0),D63,D62)</f>
        <v>0.72</v>
      </c>
      <c r="E69" s="49">
        <f>MAX(C69:D69)</f>
        <v>36.520000000000003</v>
      </c>
      <c r="G69" s="1" t="str">
        <f>G63</f>
        <v>per 100 youth petitioned</v>
      </c>
      <c r="L69" s="58">
        <f>IF(($E63&gt;0),L63,L62)</f>
        <v>100</v>
      </c>
      <c r="M69" s="58">
        <f>IF((B69=G69),1,2)</f>
        <v>1</v>
      </c>
    </row>
    <row r="70" spans="2:13" ht="15" hidden="1" customHeight="1">
      <c r="B70" s="49" t="str">
        <f>IF(($E64&gt;0),B64,B63)</f>
        <v>per 100 youth found delinquent</v>
      </c>
      <c r="C70" s="49">
        <f>IF(($E64&gt;0),C64,C63)</f>
        <v>23.46</v>
      </c>
      <c r="D70" s="49">
        <f>IF(($E64&gt;0),D64,D63)</f>
        <v>0.46</v>
      </c>
      <c r="E70" s="56">
        <f>MAX(C70:D70)</f>
        <v>23.46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oddHeader>&amp;C&amp;"Calibri"&amp;10&amp;K000000 MPHI Internal Use Only&amp;1#_x000D_</oddHeader>
    <oddFooter>&amp;C_x000D_&amp;1#&amp;"Calibri"&amp;10&amp;K000000 MPHI 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fa5c112cbc95732ef4c36314c99845e5">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9c7a45df696f81fa15c79ed5f8cb39b0"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U47JMPN4QEAR-1806752177-35064</_dlc_DocId>
    <_dlc_DocIdUrl xmlns="ac3811b5-0f3e-49e2-ba69-f2ffa0c782af">
      <Url>https://michiganphi.sharepoint.com/sites/CMDMC/_layouts/15/DocIdRedir.aspx?ID=U47JMPN4QEAR-1806752177-35064</Url>
      <Description>U47JMPN4QEAR-1806752177-35064</Description>
    </_dlc_DocIdUrl>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AB3D44D-4C06-4CFE-83FB-4B2FE6C0C5AF}"/>
</file>

<file path=customXml/itemProps2.xml><?xml version="1.0" encoding="utf-8"?>
<ds:datastoreItem xmlns:ds="http://schemas.openxmlformats.org/officeDocument/2006/customXml" ds:itemID="{D46D3DE1-E411-48FA-8A9B-C7658B081275}"/>
</file>

<file path=customXml/itemProps3.xml><?xml version="1.0" encoding="utf-8"?>
<ds:datastoreItem xmlns:ds="http://schemas.openxmlformats.org/officeDocument/2006/customXml" ds:itemID="{6E50E9D0-F2B8-4810-B6C7-7B2BB861CB7E}"/>
</file>

<file path=customXml/itemProps4.xml><?xml version="1.0" encoding="utf-8"?>
<ds:datastoreItem xmlns:ds="http://schemas.openxmlformats.org/officeDocument/2006/customXml" ds:itemID="{21123679-5419-4324-BF1E-0EFB98F14537}"/>
</file>

<file path=docMetadata/LabelInfo.xml><?xml version="1.0" encoding="utf-8"?>
<clbl:labelList xmlns:clbl="http://schemas.microsoft.com/office/2020/mipLabelMetadata">
  <clbl:label id="{db2905b3-1aab-4b06-a6d6-e70a48a06319}" enabled="1" method="Privileged" siteId="{a4405b41-6d4f-4d51-90dd-22ba251725f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OGSR  - Portland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subject/>
  <dc:creator>Daniel Fitzpatrick</dc:creator>
  <cp:keywords/>
  <dc:description/>
  <cp:lastModifiedBy/>
  <cp:revision/>
  <dcterms:created xsi:type="dcterms:W3CDTF">2002-11-18T06:04:28Z</dcterms:created>
  <dcterms:modified xsi:type="dcterms:W3CDTF">2025-09-03T15:40:30Z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f7b55804-aefc-4712-9b5b-0638cf51d8f6</vt:lpwstr>
  </property>
</Properties>
</file>