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https://michiganphi.sharepoint.com/sites/CMDMC/Shared Documents/DMC/2022 Matrices/"/>
    </mc:Choice>
  </mc:AlternateContent>
  <xr:revisionPtr revIDLastSave="3" documentId="8_{72659CD0-68BC-497A-A6B6-B46BECDF5289}" xr6:coauthVersionLast="47" xr6:coauthVersionMax="47" xr10:uidLastSave="{F6557621-3724-4740-8674-843135A44A86}"/>
  <bookViews>
    <workbookView xWindow="-28920" yWindow="-15"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3" l="1"/>
  <c r="B4" i="16" l="1"/>
  <c r="B7" i="16" l="1"/>
  <c r="B6" i="17"/>
  <c r="B7" i="13" l="1"/>
  <c r="A5" i="17" l="1"/>
  <c r="G6" i="17" l="1"/>
  <c r="C6" i="17"/>
  <c r="D6" i="17"/>
  <c r="E6" i="17"/>
  <c r="F6" i="17"/>
  <c r="I6" i="17"/>
  <c r="E30" i="16" l="1"/>
  <c r="B30" i="16"/>
  <c r="E29" i="16"/>
  <c r="B29" i="16"/>
  <c r="E28" i="16"/>
  <c r="B28" i="16"/>
  <c r="E27" i="16"/>
  <c r="B27" i="16"/>
  <c r="E26" i="16"/>
  <c r="B26" i="16"/>
  <c r="B25" i="16"/>
  <c r="J5" i="16"/>
  <c r="H4" i="16"/>
  <c r="H3" i="16"/>
  <c r="B3" i="16"/>
  <c r="E26" i="13" l="1"/>
  <c r="B27" i="13"/>
  <c r="E27" i="13"/>
  <c r="B28" i="13"/>
  <c r="E28" i="13"/>
  <c r="B29" i="13"/>
  <c r="E29" i="13"/>
  <c r="B30" i="13"/>
  <c r="E30" i="13"/>
  <c r="B25" i="13"/>
  <c r="L5" i="13" l="1"/>
  <c r="N5" i="13"/>
  <c r="P5" i="13"/>
  <c r="B4" i="13" l="1"/>
  <c r="N4" i="13"/>
  <c r="B3" i="13"/>
  <c r="N3" i="13"/>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B10" i="4"/>
  <c r="B11" i="4"/>
  <c r="B12" i="4"/>
  <c r="B13" i="4"/>
  <c r="B14" i="4"/>
  <c r="B15" i="4"/>
  <c r="B48" i="4"/>
  <c r="B54" i="4" s="1"/>
  <c r="B60" i="4" s="1"/>
  <c r="B66" i="4" s="1"/>
  <c r="J27" i="4"/>
  <c r="G42" i="4"/>
  <c r="G48" i="4"/>
  <c r="G54" i="4" s="1"/>
  <c r="G60" i="4" s="1"/>
  <c r="G66" i="4" s="1"/>
  <c r="G43" i="4"/>
  <c r="G49" i="4"/>
  <c r="G55" i="4" s="1"/>
  <c r="G61" i="4" s="1"/>
  <c r="G67" i="4" s="1"/>
  <c r="G44" i="4"/>
  <c r="G50" i="4" s="1"/>
  <c r="G56" i="4" s="1"/>
  <c r="G62" i="4" s="1"/>
  <c r="G68" i="4" s="1"/>
  <c r="G45" i="4"/>
  <c r="G51" i="4"/>
  <c r="G46" i="4"/>
  <c r="L48" i="4"/>
  <c r="L54" i="4" s="1"/>
  <c r="L60" i="4" s="1"/>
  <c r="L66" i="4" s="1"/>
  <c r="G52" i="4"/>
  <c r="G58" i="4"/>
  <c r="G64" i="4" s="1"/>
  <c r="G70" i="4" s="1"/>
  <c r="G57" i="4"/>
  <c r="G63" i="4" s="1"/>
  <c r="G69"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51" i="5" s="1"/>
  <c r="G57" i="5" s="1"/>
  <c r="G63" i="5" s="1"/>
  <c r="G69" i="5" s="1"/>
  <c r="G46" i="5"/>
  <c r="G52" i="5" s="1"/>
  <c r="G58" i="5" s="1"/>
  <c r="G64" i="5" s="1"/>
  <c r="G70" i="5" s="1"/>
  <c r="G48" i="5"/>
  <c r="G54" i="5" s="1"/>
  <c r="G60" i="5" s="1"/>
  <c r="G66" i="5" s="1"/>
  <c r="L48" i="5"/>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s="1"/>
  <c r="G57" i="7" s="1"/>
  <c r="G63" i="7" s="1"/>
  <c r="G69" i="7" s="1"/>
  <c r="G46" i="7"/>
  <c r="L48" i="7"/>
  <c r="L54" i="7" s="1"/>
  <c r="L60" i="7" s="1"/>
  <c r="L66" i="7" s="1"/>
  <c r="G50" i="7"/>
  <c r="G56" i="7"/>
  <c r="G62" i="7" s="1"/>
  <c r="G68" i="7" s="1"/>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L54" i="8"/>
  <c r="L60" i="8"/>
  <c r="L66" i="8" s="1"/>
  <c r="G56" i="8"/>
  <c r="G62" i="8" s="1"/>
  <c r="G68" i="8" s="1"/>
  <c r="G58" i="8"/>
  <c r="G64" i="8" s="1"/>
  <c r="G70" i="8" s="1"/>
  <c r="E3" i="9"/>
  <c r="B4" i="9"/>
  <c r="E4" i="9"/>
  <c r="B5" i="9"/>
  <c r="D6" i="9"/>
  <c r="E6" i="9"/>
  <c r="G6" i="9"/>
  <c r="H6" i="9"/>
  <c r="I6" i="9"/>
  <c r="B18" i="9"/>
  <c r="E2" i="10"/>
  <c r="D18" i="10" s="1"/>
  <c r="F2" i="10"/>
  <c r="G2" i="10"/>
  <c r="F18" i="10" s="1"/>
  <c r="H2" i="10"/>
  <c r="G18" i="10" s="1"/>
  <c r="I2" i="10"/>
  <c r="H18" i="10" s="1"/>
  <c r="J2" i="10"/>
  <c r="I18" i="10" s="1"/>
  <c r="B3" i="10"/>
  <c r="F15" i="10"/>
  <c r="B16" i="10"/>
  <c r="F16" i="10"/>
  <c r="B17" i="10"/>
  <c r="C18" i="10"/>
  <c r="E18" i="10"/>
  <c r="J18" i="10"/>
  <c r="B30" i="10"/>
  <c r="A15" i="11"/>
  <c r="F27" i="8" l="1"/>
  <c r="M66" i="8"/>
  <c r="F27" i="2"/>
  <c r="M66" i="2"/>
  <c r="F27" i="6"/>
  <c r="M66" i="6"/>
  <c r="M66" i="5"/>
  <c r="F27" i="5"/>
  <c r="M66" i="3"/>
  <c r="F27" i="3"/>
  <c r="F27" i="7"/>
  <c r="M66" i="7"/>
  <c r="F27" i="4"/>
  <c r="M66" i="4"/>
  <c r="H5" i="16"/>
  <c r="H5" i="13"/>
  <c r="F5" i="16"/>
  <c r="F5" i="13"/>
  <c r="F6" i="9"/>
  <c r="D5" i="16"/>
  <c r="D5" i="13"/>
  <c r="D8" i="16" l="1"/>
  <c r="D8" i="13"/>
  <c r="E7" i="2"/>
  <c r="C8" i="16"/>
  <c r="C8" i="13"/>
  <c r="C7" i="2"/>
  <c r="C7" i="6"/>
  <c r="C7" i="3"/>
  <c r="C7" i="4"/>
  <c r="C7" i="7"/>
  <c r="C7" i="5"/>
  <c r="C7" i="8"/>
  <c r="P7" i="13" l="1"/>
  <c r="L7" i="13"/>
  <c r="E6" i="6"/>
  <c r="I3" i="10"/>
  <c r="D7" i="16"/>
  <c r="D7" i="13"/>
  <c r="E6" i="2"/>
  <c r="E3" i="10"/>
  <c r="P7" i="7"/>
  <c r="C43" i="7"/>
  <c r="C43" i="2"/>
  <c r="P7" i="2"/>
  <c r="D43" i="2"/>
  <c r="N7" i="2"/>
  <c r="N7" i="13"/>
  <c r="J3" i="10"/>
  <c r="E6" i="7"/>
  <c r="J7" i="13"/>
  <c r="H3" i="10"/>
  <c r="E6" i="5"/>
  <c r="P7" i="4"/>
  <c r="C43" i="4"/>
  <c r="H7" i="16"/>
  <c r="H7" i="13"/>
  <c r="G3" i="10"/>
  <c r="E6" i="3"/>
  <c r="C43" i="8"/>
  <c r="P7" i="8"/>
  <c r="P7" i="3"/>
  <c r="C43" i="3"/>
  <c r="F7" i="13"/>
  <c r="F7" i="16"/>
  <c r="F3" i="10"/>
  <c r="E6" i="4"/>
  <c r="C43" i="5"/>
  <c r="P7" i="5"/>
  <c r="P7" i="6"/>
  <c r="C43" i="6"/>
  <c r="K3" i="10" l="1"/>
  <c r="E6" i="8"/>
  <c r="D42" i="8" s="1"/>
  <c r="D48" i="8" s="1"/>
  <c r="D54" i="8" s="1"/>
  <c r="D60" i="8" s="1"/>
  <c r="D66" i="8" s="1"/>
  <c r="J7" i="16"/>
  <c r="C7" i="16"/>
  <c r="C7" i="13"/>
  <c r="D3" i="10"/>
  <c r="C6" i="2"/>
  <c r="C6" i="3"/>
  <c r="C6" i="8"/>
  <c r="C6" i="6"/>
  <c r="C6" i="7"/>
  <c r="C6" i="5"/>
  <c r="C6" i="4"/>
  <c r="D42" i="3"/>
  <c r="D48" i="3" s="1"/>
  <c r="D54" i="3" s="1"/>
  <c r="D60" i="3" s="1"/>
  <c r="D66" i="3" s="1"/>
  <c r="D42" i="7"/>
  <c r="D48" i="7" s="1"/>
  <c r="D54" i="7" s="1"/>
  <c r="D60" i="7" s="1"/>
  <c r="D66" i="7" s="1"/>
  <c r="D42" i="4"/>
  <c r="D48" i="4" s="1"/>
  <c r="D54" i="4" s="1"/>
  <c r="D60" i="4" s="1"/>
  <c r="D66" i="4" s="1"/>
  <c r="J10" i="10"/>
  <c r="J8" i="10"/>
  <c r="J12" i="10"/>
  <c r="J9" i="10"/>
  <c r="J5" i="10"/>
  <c r="J4" i="10"/>
  <c r="J6" i="10"/>
  <c r="J7" i="10"/>
  <c r="J11" i="10"/>
  <c r="E43" i="2"/>
  <c r="D42" i="5"/>
  <c r="D48" i="5" s="1"/>
  <c r="D54" i="5" s="1"/>
  <c r="D60" i="5" s="1"/>
  <c r="D66" i="5" s="1"/>
  <c r="E4" i="10"/>
  <c r="D42" i="6"/>
  <c r="D48" i="6" s="1"/>
  <c r="D54" i="6" s="1"/>
  <c r="D60" i="6" s="1"/>
  <c r="D66" i="6" s="1"/>
  <c r="H9" i="10"/>
  <c r="H7" i="10"/>
  <c r="H11" i="10"/>
  <c r="H4" i="10"/>
  <c r="H12" i="10"/>
  <c r="H8" i="10"/>
  <c r="H6" i="10"/>
  <c r="H5" i="10"/>
  <c r="H10" i="10"/>
  <c r="D42" i="2"/>
  <c r="D48" i="2" s="1"/>
  <c r="D54" i="2" s="1"/>
  <c r="D60" i="2" s="1"/>
  <c r="D66" i="2" s="1"/>
  <c r="F7" i="2" s="1"/>
  <c r="O7" i="2"/>
  <c r="G12" i="10"/>
  <c r="I14" i="17"/>
  <c r="I11" i="10"/>
  <c r="G11" i="10"/>
  <c r="F11" i="10"/>
  <c r="I10" i="10"/>
  <c r="F10" i="10"/>
  <c r="F9" i="10"/>
  <c r="I7" i="10"/>
  <c r="G7" i="10"/>
  <c r="I5" i="10"/>
  <c r="I4" i="10"/>
  <c r="F4" i="10"/>
  <c r="E8" i="10" l="1"/>
  <c r="E11" i="10"/>
  <c r="E10" i="10"/>
  <c r="C16" i="1"/>
  <c r="C17" i="16" s="1"/>
  <c r="E7" i="7"/>
  <c r="F7" i="7" s="1"/>
  <c r="N8" i="13"/>
  <c r="D11" i="16"/>
  <c r="D11" i="13"/>
  <c r="E10" i="2"/>
  <c r="C13" i="16"/>
  <c r="C13" i="13"/>
  <c r="C12" i="4"/>
  <c r="C12" i="8"/>
  <c r="C12" i="6"/>
  <c r="C12" i="2"/>
  <c r="C12" i="7"/>
  <c r="C12" i="3"/>
  <c r="C12" i="5"/>
  <c r="E13" i="7"/>
  <c r="N13" i="7" s="1"/>
  <c r="N14" i="13"/>
  <c r="E8" i="5"/>
  <c r="J9" i="13"/>
  <c r="H14" i="16"/>
  <c r="E13" i="3"/>
  <c r="N13" i="3" s="1"/>
  <c r="H14" i="13"/>
  <c r="C49" i="2"/>
  <c r="B49" i="2"/>
  <c r="L49" i="2"/>
  <c r="D49" i="2"/>
  <c r="C42" i="2"/>
  <c r="Q7" i="2"/>
  <c r="K7" i="2" s="1"/>
  <c r="H8" i="16"/>
  <c r="E7" i="3"/>
  <c r="F7" i="3" s="1"/>
  <c r="H8" i="13"/>
  <c r="C10" i="16"/>
  <c r="C10" i="13"/>
  <c r="C9" i="5"/>
  <c r="P9" i="5" s="1"/>
  <c r="C9" i="4"/>
  <c r="P9" i="4" s="1"/>
  <c r="C9" i="7"/>
  <c r="P9" i="7" s="1"/>
  <c r="C9" i="2"/>
  <c r="P9" i="2" s="1"/>
  <c r="C9" i="3"/>
  <c r="P9" i="3" s="1"/>
  <c r="C9" i="8"/>
  <c r="P9" i="8" s="1"/>
  <c r="C9" i="6"/>
  <c r="P9" i="6" s="1"/>
  <c r="E9" i="6"/>
  <c r="L10" i="13"/>
  <c r="F11" i="16"/>
  <c r="E10" i="4"/>
  <c r="F11" i="13"/>
  <c r="E11" i="6"/>
  <c r="L12" i="13"/>
  <c r="D13" i="16"/>
  <c r="D13" i="13"/>
  <c r="E12" i="2"/>
  <c r="E12" i="6"/>
  <c r="L13" i="13"/>
  <c r="F14" i="16"/>
  <c r="E13" i="4"/>
  <c r="N13" i="4" s="1"/>
  <c r="F14" i="13"/>
  <c r="E14" i="5"/>
  <c r="N14" i="5" s="1"/>
  <c r="J15" i="13"/>
  <c r="C16" i="16"/>
  <c r="C16" i="13"/>
  <c r="C15" i="5"/>
  <c r="P15" i="5" s="1"/>
  <c r="C15" i="7"/>
  <c r="P15" i="7" s="1"/>
  <c r="C15" i="4"/>
  <c r="P15" i="4" s="1"/>
  <c r="C15" i="6"/>
  <c r="P15" i="6" s="1"/>
  <c r="C15" i="2"/>
  <c r="P15" i="2" s="1"/>
  <c r="C15" i="3"/>
  <c r="P15" i="3" s="1"/>
  <c r="C15" i="8"/>
  <c r="P15" i="8" s="1"/>
  <c r="E15" i="7"/>
  <c r="N15" i="7" s="1"/>
  <c r="N16" i="13"/>
  <c r="E8" i="7"/>
  <c r="N9" i="13"/>
  <c r="F16" i="16"/>
  <c r="E15" i="4"/>
  <c r="N15" i="4" s="1"/>
  <c r="F16" i="13"/>
  <c r="E10" i="5"/>
  <c r="J11" i="13"/>
  <c r="E9" i="10"/>
  <c r="G10" i="10"/>
  <c r="C42" i="6"/>
  <c r="Q7" i="6"/>
  <c r="D6" i="10"/>
  <c r="D9" i="10"/>
  <c r="D12" i="10"/>
  <c r="D7" i="10"/>
  <c r="D8" i="10"/>
  <c r="D10" i="10"/>
  <c r="D5" i="10"/>
  <c r="D11" i="10"/>
  <c r="D4" i="10"/>
  <c r="E8" i="6"/>
  <c r="L9" i="13"/>
  <c r="E10" i="7"/>
  <c r="N11" i="13"/>
  <c r="E12" i="5"/>
  <c r="J13" i="13"/>
  <c r="H15" i="16"/>
  <c r="E14" i="3"/>
  <c r="N14" i="3" s="1"/>
  <c r="H15" i="13"/>
  <c r="E15" i="6"/>
  <c r="N15" i="6" s="1"/>
  <c r="L16" i="13"/>
  <c r="H9" i="16"/>
  <c r="E8" i="3"/>
  <c r="H9" i="13"/>
  <c r="D9" i="16"/>
  <c r="D9" i="13"/>
  <c r="E8" i="2"/>
  <c r="Q7" i="7"/>
  <c r="C42" i="7"/>
  <c r="J8" i="13"/>
  <c r="E7" i="5"/>
  <c r="C9" i="16"/>
  <c r="C9" i="13"/>
  <c r="C8" i="6"/>
  <c r="C8" i="8"/>
  <c r="C8" i="2"/>
  <c r="C8" i="3"/>
  <c r="C8" i="4"/>
  <c r="C8" i="7"/>
  <c r="C8" i="5"/>
  <c r="F10" i="16"/>
  <c r="F10" i="13"/>
  <c r="E9" i="4"/>
  <c r="E9" i="7"/>
  <c r="N10" i="13"/>
  <c r="H11" i="16"/>
  <c r="E10" i="3"/>
  <c r="H11" i="13"/>
  <c r="D12" i="16"/>
  <c r="D12" i="13"/>
  <c r="E11" i="2"/>
  <c r="E11" i="7"/>
  <c r="N12" i="13"/>
  <c r="F13" i="16"/>
  <c r="E12" i="4"/>
  <c r="F13" i="13"/>
  <c r="E12" i="7"/>
  <c r="N13" i="13"/>
  <c r="E13" i="5"/>
  <c r="N13" i="5" s="1"/>
  <c r="J14" i="13"/>
  <c r="C15" i="16"/>
  <c r="C15" i="13"/>
  <c r="C14" i="2"/>
  <c r="P14" i="2" s="1"/>
  <c r="C14" i="3"/>
  <c r="P14" i="3" s="1"/>
  <c r="C14" i="5"/>
  <c r="P14" i="5" s="1"/>
  <c r="C14" i="4"/>
  <c r="P14" i="4" s="1"/>
  <c r="C14" i="8"/>
  <c r="P14" i="8" s="1"/>
  <c r="C14" i="6"/>
  <c r="P14" i="6" s="1"/>
  <c r="C14" i="7"/>
  <c r="P14" i="7" s="1"/>
  <c r="E14" i="6"/>
  <c r="N14" i="6" s="1"/>
  <c r="L15" i="13"/>
  <c r="D16" i="16"/>
  <c r="D16" i="13"/>
  <c r="E15" i="2"/>
  <c r="N15" i="2" s="1"/>
  <c r="D10" i="16"/>
  <c r="D10" i="13"/>
  <c r="E9" i="2"/>
  <c r="H12" i="16"/>
  <c r="E11" i="3"/>
  <c r="H12" i="13"/>
  <c r="D15" i="16"/>
  <c r="D15" i="13"/>
  <c r="E14" i="2"/>
  <c r="N14" i="2" s="1"/>
  <c r="C11" i="16"/>
  <c r="C11" i="13"/>
  <c r="C10" i="5"/>
  <c r="P10" i="5" s="1"/>
  <c r="C10" i="7"/>
  <c r="P10" i="7" s="1"/>
  <c r="C10" i="3"/>
  <c r="P10" i="3" s="1"/>
  <c r="C10" i="2"/>
  <c r="P10" i="2" s="1"/>
  <c r="C10" i="8"/>
  <c r="P10" i="8" s="1"/>
  <c r="C10" i="6"/>
  <c r="P10" i="6" s="1"/>
  <c r="C10" i="4"/>
  <c r="P10" i="4" s="1"/>
  <c r="F12" i="10"/>
  <c r="F7" i="10"/>
  <c r="F6" i="10"/>
  <c r="E5" i="10"/>
  <c r="E6" i="10"/>
  <c r="I8" i="10"/>
  <c r="I12" i="10"/>
  <c r="G8" i="10"/>
  <c r="G4" i="10"/>
  <c r="Q7" i="4"/>
  <c r="C42" i="4"/>
  <c r="C42" i="8"/>
  <c r="Q7" i="8"/>
  <c r="F8" i="16"/>
  <c r="E7" i="4"/>
  <c r="F7" i="4" s="1"/>
  <c r="F8" i="13"/>
  <c r="G13" i="17"/>
  <c r="E9" i="5"/>
  <c r="J10" i="13"/>
  <c r="E11" i="5"/>
  <c r="J12" i="13"/>
  <c r="D14" i="16"/>
  <c r="D14" i="13"/>
  <c r="E13" i="2"/>
  <c r="N13" i="2" s="1"/>
  <c r="E7" i="6"/>
  <c r="F7" i="6" s="1"/>
  <c r="L8" i="13"/>
  <c r="F9" i="16"/>
  <c r="E8" i="4"/>
  <c r="F9" i="13"/>
  <c r="H10" i="16"/>
  <c r="E9" i="3"/>
  <c r="N9" i="3" s="1"/>
  <c r="H10" i="13"/>
  <c r="E10" i="6"/>
  <c r="L11" i="13"/>
  <c r="F12" i="16"/>
  <c r="E11" i="4"/>
  <c r="F12" i="13"/>
  <c r="H13" i="16"/>
  <c r="E12" i="3"/>
  <c r="H13" i="13"/>
  <c r="E13" i="6"/>
  <c r="N13" i="6" s="1"/>
  <c r="L14" i="13"/>
  <c r="F15" i="16"/>
  <c r="E14" i="4"/>
  <c r="N14" i="4" s="1"/>
  <c r="F15" i="13"/>
  <c r="E14" i="7"/>
  <c r="N14" i="7" s="1"/>
  <c r="N15" i="13"/>
  <c r="E15" i="5"/>
  <c r="N15" i="5" s="1"/>
  <c r="J16" i="13"/>
  <c r="B16" i="1"/>
  <c r="A14" i="17"/>
  <c r="K14" i="17" s="1"/>
  <c r="C3" i="10"/>
  <c r="L6" i="6"/>
  <c r="D16" i="1"/>
  <c r="I16" i="1"/>
  <c r="L6" i="5"/>
  <c r="F16" i="1"/>
  <c r="C14" i="17"/>
  <c r="J16" i="1"/>
  <c r="H16" i="1"/>
  <c r="G14" i="17"/>
  <c r="D14" i="17"/>
  <c r="L6" i="4"/>
  <c r="B14" i="17"/>
  <c r="L6" i="7"/>
  <c r="G16" i="1"/>
  <c r="L6" i="3"/>
  <c r="F14" i="17"/>
  <c r="L6" i="2"/>
  <c r="E14" i="17"/>
  <c r="L6" i="8"/>
  <c r="E16" i="1"/>
  <c r="C12" i="16"/>
  <c r="C12" i="13"/>
  <c r="C11" i="2"/>
  <c r="C11" i="5"/>
  <c r="C11" i="4"/>
  <c r="C11" i="8"/>
  <c r="C11" i="6"/>
  <c r="C11" i="3"/>
  <c r="C11" i="7"/>
  <c r="C14" i="16"/>
  <c r="C14" i="13"/>
  <c r="C13" i="3"/>
  <c r="P13" i="3" s="1"/>
  <c r="C13" i="8"/>
  <c r="P13" i="8" s="1"/>
  <c r="C13" i="5"/>
  <c r="P13" i="5" s="1"/>
  <c r="C13" i="2"/>
  <c r="P13" i="2" s="1"/>
  <c r="C13" i="4"/>
  <c r="P13" i="4" s="1"/>
  <c r="C13" i="6"/>
  <c r="P13" i="6" s="1"/>
  <c r="C13" i="7"/>
  <c r="P13" i="7" s="1"/>
  <c r="H16" i="16"/>
  <c r="E15" i="3"/>
  <c r="N15" i="3" s="1"/>
  <c r="H16" i="13"/>
  <c r="F8" i="10"/>
  <c r="F5" i="10"/>
  <c r="E12" i="10"/>
  <c r="E7" i="10"/>
  <c r="I9" i="10"/>
  <c r="I6" i="10"/>
  <c r="G9" i="10"/>
  <c r="G5" i="10"/>
  <c r="G6" i="10"/>
  <c r="C42" i="5"/>
  <c r="Q7" i="5"/>
  <c r="Q7" i="3"/>
  <c r="C42" i="3"/>
  <c r="A8" i="17"/>
  <c r="K8" i="17" s="1"/>
  <c r="A7" i="17"/>
  <c r="K7" i="17" s="1"/>
  <c r="A12" i="17"/>
  <c r="K12" i="17" s="1"/>
  <c r="A10" i="17"/>
  <c r="K10" i="17" s="1"/>
  <c r="A9" i="17"/>
  <c r="K9" i="17" s="1"/>
  <c r="A11" i="17"/>
  <c r="K11" i="17" s="1"/>
  <c r="C17" i="13" l="1"/>
  <c r="J13" i="16"/>
  <c r="P13" i="13"/>
  <c r="E12" i="8"/>
  <c r="K9" i="10"/>
  <c r="J24" i="10" s="1"/>
  <c r="P11" i="13"/>
  <c r="J11" i="16"/>
  <c r="E10" i="8"/>
  <c r="N10" i="8" s="1"/>
  <c r="K7" i="10"/>
  <c r="J22" i="10" s="1"/>
  <c r="J16" i="16"/>
  <c r="E15" i="8"/>
  <c r="N15" i="8" s="1"/>
  <c r="P16" i="13"/>
  <c r="K12" i="10"/>
  <c r="J27" i="10" s="1"/>
  <c r="E8" i="8"/>
  <c r="P9" i="13"/>
  <c r="J9" i="16"/>
  <c r="K5" i="10"/>
  <c r="J20" i="10" s="1"/>
  <c r="J15" i="16"/>
  <c r="E14" i="8"/>
  <c r="N14" i="8" s="1"/>
  <c r="P15" i="13"/>
  <c r="K11" i="10"/>
  <c r="J26" i="10" s="1"/>
  <c r="E11" i="8"/>
  <c r="P12" i="13"/>
  <c r="J12" i="16"/>
  <c r="K8" i="10"/>
  <c r="J23" i="10" s="1"/>
  <c r="J14" i="16"/>
  <c r="P14" i="13"/>
  <c r="E13" i="8"/>
  <c r="N13" i="8" s="1"/>
  <c r="K10" i="10"/>
  <c r="J25" i="10" s="1"/>
  <c r="J10" i="16"/>
  <c r="E9" i="8"/>
  <c r="N9" i="8" s="1"/>
  <c r="P10" i="13"/>
  <c r="K6" i="10"/>
  <c r="J21" i="10" s="1"/>
  <c r="J8" i="16"/>
  <c r="E7" i="8"/>
  <c r="P8" i="13"/>
  <c r="K4" i="10"/>
  <c r="J19" i="10" s="1"/>
  <c r="R7" i="2"/>
  <c r="S7" i="2" s="1"/>
  <c r="E7" i="17"/>
  <c r="E49" i="2"/>
  <c r="C55" i="2" s="1"/>
  <c r="L14" i="17"/>
  <c r="E42" i="5"/>
  <c r="C48" i="5"/>
  <c r="D7" i="17"/>
  <c r="C45" i="6"/>
  <c r="P11" i="6"/>
  <c r="P11" i="2"/>
  <c r="C45" i="2"/>
  <c r="Q17" i="13"/>
  <c r="K17" i="16"/>
  <c r="O17" i="13"/>
  <c r="H16" i="9"/>
  <c r="I28" i="10" s="1"/>
  <c r="C8" i="17"/>
  <c r="N12" i="3"/>
  <c r="D46" i="3"/>
  <c r="D45" i="4"/>
  <c r="N11" i="4"/>
  <c r="N10" i="6"/>
  <c r="C12" i="17"/>
  <c r="F13" i="17"/>
  <c r="D45" i="5"/>
  <c r="N11" i="5"/>
  <c r="C13" i="17"/>
  <c r="B8" i="17"/>
  <c r="D10" i="17"/>
  <c r="N9" i="2"/>
  <c r="N12" i="7"/>
  <c r="D46" i="7"/>
  <c r="B10" i="17"/>
  <c r="D11" i="17"/>
  <c r="P8" i="4"/>
  <c r="C44" i="4"/>
  <c r="P8" i="6"/>
  <c r="C44" i="6"/>
  <c r="N7" i="5"/>
  <c r="D43" i="5"/>
  <c r="E43" i="5" s="1"/>
  <c r="F7" i="5"/>
  <c r="O7" i="5"/>
  <c r="D44" i="3"/>
  <c r="N8" i="3"/>
  <c r="G11" i="17"/>
  <c r="D20" i="10"/>
  <c r="C20" i="10"/>
  <c r="G20" i="10"/>
  <c r="F20" i="10"/>
  <c r="I20" i="10"/>
  <c r="H20" i="10"/>
  <c r="E20" i="10"/>
  <c r="G27" i="10"/>
  <c r="C27" i="10"/>
  <c r="H27" i="10"/>
  <c r="I27" i="10"/>
  <c r="E27" i="10"/>
  <c r="D27" i="10"/>
  <c r="F27" i="10"/>
  <c r="C48" i="6"/>
  <c r="E42" i="6"/>
  <c r="C7" i="17"/>
  <c r="G12" i="17"/>
  <c r="E8" i="17"/>
  <c r="D46" i="6"/>
  <c r="N12" i="6"/>
  <c r="C11" i="17"/>
  <c r="E42" i="2"/>
  <c r="C48" i="2"/>
  <c r="P12" i="3"/>
  <c r="C46" i="3"/>
  <c r="C46" i="8"/>
  <c r="P12" i="8"/>
  <c r="B11" i="17"/>
  <c r="L7" i="17"/>
  <c r="L12" i="17"/>
  <c r="I10" i="17"/>
  <c r="P11" i="8"/>
  <c r="C45" i="8"/>
  <c r="K17" i="13"/>
  <c r="F16" i="9"/>
  <c r="G28" i="10" s="1"/>
  <c r="H14" i="17"/>
  <c r="E17" i="13"/>
  <c r="E17" i="16"/>
  <c r="C16" i="9"/>
  <c r="D28" i="10" s="1"/>
  <c r="G8" i="17"/>
  <c r="C48" i="8"/>
  <c r="E42" i="8"/>
  <c r="C9" i="17"/>
  <c r="G10" i="17"/>
  <c r="N11" i="2"/>
  <c r="D45" i="2"/>
  <c r="N9" i="7"/>
  <c r="I12" i="17"/>
  <c r="C44" i="3"/>
  <c r="P8" i="3"/>
  <c r="D8" i="17"/>
  <c r="E9" i="17"/>
  <c r="N8" i="6"/>
  <c r="D44" i="6"/>
  <c r="I25" i="10"/>
  <c r="E25" i="10"/>
  <c r="C25" i="10"/>
  <c r="D25" i="10"/>
  <c r="H25" i="10"/>
  <c r="G25" i="10"/>
  <c r="F25" i="10"/>
  <c r="F24" i="10"/>
  <c r="C24" i="10"/>
  <c r="E24" i="10"/>
  <c r="G24" i="10"/>
  <c r="D24" i="10"/>
  <c r="H24" i="10"/>
  <c r="I24" i="10"/>
  <c r="E11" i="17"/>
  <c r="B9" i="17"/>
  <c r="F10" i="17"/>
  <c r="N9" i="6"/>
  <c r="D43" i="3"/>
  <c r="E43" i="3" s="1"/>
  <c r="N7" i="3"/>
  <c r="O7" i="3"/>
  <c r="E12" i="17"/>
  <c r="C46" i="7"/>
  <c r="P12" i="7"/>
  <c r="C46" i="4"/>
  <c r="P12" i="4"/>
  <c r="N10" i="2"/>
  <c r="L9" i="17"/>
  <c r="L10" i="17"/>
  <c r="E42" i="3"/>
  <c r="C48" i="3"/>
  <c r="C10" i="17"/>
  <c r="F11" i="17"/>
  <c r="N7" i="6"/>
  <c r="D43" i="6"/>
  <c r="E43" i="6" s="1"/>
  <c r="O7" i="6"/>
  <c r="N9" i="5"/>
  <c r="E42" i="4"/>
  <c r="C48" i="4"/>
  <c r="I11" i="17"/>
  <c r="D45" i="3"/>
  <c r="N11" i="3"/>
  <c r="I8" i="17"/>
  <c r="G9" i="17"/>
  <c r="N10" i="3"/>
  <c r="N9" i="4"/>
  <c r="P8" i="5"/>
  <c r="C44" i="5"/>
  <c r="C44" i="2"/>
  <c r="P8" i="2"/>
  <c r="E42" i="7"/>
  <c r="C48" i="7"/>
  <c r="B12" i="17"/>
  <c r="D12" i="17"/>
  <c r="F7" i="17"/>
  <c r="N10" i="7"/>
  <c r="D19" i="10"/>
  <c r="I19" i="10"/>
  <c r="G19" i="10"/>
  <c r="F19" i="10"/>
  <c r="C19" i="10"/>
  <c r="E19" i="10"/>
  <c r="H19" i="10"/>
  <c r="C23" i="10"/>
  <c r="G23" i="10"/>
  <c r="F23" i="10"/>
  <c r="E23" i="10"/>
  <c r="D23" i="10"/>
  <c r="H23" i="10"/>
  <c r="I23" i="10"/>
  <c r="G21" i="10"/>
  <c r="E21" i="10"/>
  <c r="I21" i="10"/>
  <c r="F21" i="10"/>
  <c r="C21" i="10"/>
  <c r="D21" i="10"/>
  <c r="H21" i="10"/>
  <c r="N8" i="7"/>
  <c r="D44" i="7"/>
  <c r="I7" i="17"/>
  <c r="F9" i="17"/>
  <c r="D46" i="2"/>
  <c r="N12" i="2"/>
  <c r="N10" i="4"/>
  <c r="I9" i="17"/>
  <c r="C46" i="2"/>
  <c r="P12" i="2"/>
  <c r="N7" i="7"/>
  <c r="D43" i="7"/>
  <c r="E43" i="7" s="1"/>
  <c r="O7" i="7"/>
  <c r="L8" i="17"/>
  <c r="L11" i="17"/>
  <c r="P11" i="7"/>
  <c r="C45" i="7"/>
  <c r="C45" i="4"/>
  <c r="P11" i="4"/>
  <c r="I17" i="13"/>
  <c r="I17" i="16"/>
  <c r="E16" i="9"/>
  <c r="F28" i="10" s="1"/>
  <c r="D9" i="17"/>
  <c r="N8" i="4"/>
  <c r="D44" i="4"/>
  <c r="E10" i="17"/>
  <c r="D43" i="4"/>
  <c r="E43" i="4" s="1"/>
  <c r="N7" i="4"/>
  <c r="O7" i="4"/>
  <c r="C45" i="3"/>
  <c r="P11" i="3"/>
  <c r="C45" i="5"/>
  <c r="P11" i="5"/>
  <c r="G17" i="13"/>
  <c r="G17" i="16"/>
  <c r="D16" i="9"/>
  <c r="E28" i="10" s="1"/>
  <c r="M17" i="13"/>
  <c r="G16" i="9"/>
  <c r="H28" i="10" s="1"/>
  <c r="C10" i="10"/>
  <c r="C4" i="10"/>
  <c r="C11" i="10"/>
  <c r="C8" i="10"/>
  <c r="C7" i="10"/>
  <c r="C6" i="10"/>
  <c r="C5" i="10"/>
  <c r="C9" i="10"/>
  <c r="C12" i="10"/>
  <c r="A13" i="17"/>
  <c r="K13" i="17" s="1"/>
  <c r="B13" i="17"/>
  <c r="I13" i="17"/>
  <c r="B7" i="17"/>
  <c r="F8" i="17"/>
  <c r="D46" i="4"/>
  <c r="N12" i="4"/>
  <c r="D45" i="7"/>
  <c r="N11" i="7"/>
  <c r="P8" i="7"/>
  <c r="C44" i="7"/>
  <c r="C44" i="8"/>
  <c r="P8" i="8"/>
  <c r="E13" i="17"/>
  <c r="D44" i="2"/>
  <c r="N8" i="2"/>
  <c r="D46" i="5"/>
  <c r="N12" i="5"/>
  <c r="F12" i="17"/>
  <c r="F26" i="10"/>
  <c r="D26" i="10"/>
  <c r="I26" i="10"/>
  <c r="H26" i="10"/>
  <c r="E26" i="10"/>
  <c r="G26" i="10"/>
  <c r="C26" i="10"/>
  <c r="C22" i="10"/>
  <c r="D22" i="10"/>
  <c r="F22" i="10"/>
  <c r="E22" i="10"/>
  <c r="H22" i="10"/>
  <c r="I22" i="10"/>
  <c r="G22" i="10"/>
  <c r="N10" i="5"/>
  <c r="G7" i="17"/>
  <c r="D45" i="6"/>
  <c r="N11" i="6"/>
  <c r="D13" i="17"/>
  <c r="D44" i="5"/>
  <c r="N8" i="5"/>
  <c r="P12" i="5"/>
  <c r="C46" i="5"/>
  <c r="C46" i="6"/>
  <c r="P12" i="6"/>
  <c r="L13" i="17"/>
  <c r="T7" i="2"/>
  <c r="E45" i="4" l="1"/>
  <c r="C51" i="4" s="1"/>
  <c r="U7" i="2"/>
  <c r="J7" i="2" s="1"/>
  <c r="M7" i="2" s="1"/>
  <c r="E45" i="5"/>
  <c r="C51" i="5" s="1"/>
  <c r="E44" i="3"/>
  <c r="D50" i="3" s="1"/>
  <c r="E46" i="3"/>
  <c r="L52" i="3" s="1"/>
  <c r="E46" i="7"/>
  <c r="L52" i="7" s="1"/>
  <c r="E46" i="6"/>
  <c r="L52" i="6" s="1"/>
  <c r="E45" i="3"/>
  <c r="C51" i="3" s="1"/>
  <c r="E46" i="5"/>
  <c r="B52" i="5" s="1"/>
  <c r="D46" i="8"/>
  <c r="E46" i="8" s="1"/>
  <c r="N12" i="8"/>
  <c r="O25" i="8" s="1"/>
  <c r="F7" i="8"/>
  <c r="O7" i="8"/>
  <c r="N7" i="8"/>
  <c r="D43" i="8"/>
  <c r="E43" i="8" s="1"/>
  <c r="N11" i="8"/>
  <c r="D45" i="8"/>
  <c r="E45" i="8" s="1"/>
  <c r="N8" i="8"/>
  <c r="D44" i="8"/>
  <c r="E44" i="8" s="1"/>
  <c r="L55" i="2"/>
  <c r="B55" i="2"/>
  <c r="D55" i="2"/>
  <c r="E55" i="2" s="1"/>
  <c r="H9" i="17"/>
  <c r="H13" i="17"/>
  <c r="E45" i="7"/>
  <c r="E46" i="2"/>
  <c r="O25" i="2"/>
  <c r="E44" i="7"/>
  <c r="E46" i="4"/>
  <c r="T7" i="3"/>
  <c r="R7" i="3"/>
  <c r="S7" i="3" s="1"/>
  <c r="K7" i="3"/>
  <c r="C54" i="2"/>
  <c r="E48" i="2"/>
  <c r="R7" i="5"/>
  <c r="S7" i="5" s="1"/>
  <c r="E44" i="6"/>
  <c r="H11" i="17"/>
  <c r="E45" i="6"/>
  <c r="L51" i="5"/>
  <c r="B51" i="5"/>
  <c r="R7" i="4"/>
  <c r="S7" i="4" s="1"/>
  <c r="K7" i="4"/>
  <c r="T7" i="4"/>
  <c r="D49" i="7"/>
  <c r="B49" i="7"/>
  <c r="L49" i="7"/>
  <c r="C49" i="7"/>
  <c r="H12" i="17"/>
  <c r="E48" i="4"/>
  <c r="C54" i="4"/>
  <c r="C54" i="3"/>
  <c r="E48" i="3"/>
  <c r="L49" i="3"/>
  <c r="B49" i="3"/>
  <c r="C49" i="3"/>
  <c r="D49" i="3"/>
  <c r="H10" i="17"/>
  <c r="E45" i="2"/>
  <c r="H7" i="17"/>
  <c r="O25" i="4"/>
  <c r="B49" i="4"/>
  <c r="D49" i="4"/>
  <c r="C49" i="4"/>
  <c r="L49" i="4"/>
  <c r="R7" i="7"/>
  <c r="S7" i="7" s="1"/>
  <c r="U7" i="7" s="1"/>
  <c r="J7" i="7" s="1"/>
  <c r="K7" i="7"/>
  <c r="T7" i="7"/>
  <c r="E44" i="2"/>
  <c r="D49" i="6"/>
  <c r="L49" i="6"/>
  <c r="C49" i="6"/>
  <c r="B49" i="6"/>
  <c r="B52" i="7"/>
  <c r="D52" i="3"/>
  <c r="C52" i="3"/>
  <c r="D49" i="5"/>
  <c r="B49" i="5"/>
  <c r="L49" i="5"/>
  <c r="C49" i="5"/>
  <c r="E44" i="4"/>
  <c r="E48" i="5"/>
  <c r="C54" i="5"/>
  <c r="D52" i="6"/>
  <c r="B52" i="6"/>
  <c r="O25" i="5"/>
  <c r="L51" i="4"/>
  <c r="E48" i="7"/>
  <c r="C54" i="7"/>
  <c r="E44" i="5"/>
  <c r="T7" i="6"/>
  <c r="K7" i="6"/>
  <c r="R7" i="6"/>
  <c r="S7" i="6" s="1"/>
  <c r="H8" i="17"/>
  <c r="C54" i="8"/>
  <c r="E48" i="8"/>
  <c r="O25" i="6"/>
  <c r="E48" i="6"/>
  <c r="C54" i="6"/>
  <c r="T7" i="5"/>
  <c r="K7" i="5"/>
  <c r="O25" i="7"/>
  <c r="O25" i="3"/>
  <c r="C52" i="6" l="1"/>
  <c r="D51" i="5"/>
  <c r="B50" i="3"/>
  <c r="D51" i="4"/>
  <c r="E51" i="4" s="1"/>
  <c r="B51" i="4"/>
  <c r="L50" i="3"/>
  <c r="C50" i="3"/>
  <c r="E50" i="3" s="1"/>
  <c r="L7" i="2"/>
  <c r="T8" i="13" s="1"/>
  <c r="D52" i="7"/>
  <c r="B52" i="3"/>
  <c r="C52" i="7"/>
  <c r="U7" i="5"/>
  <c r="J7" i="5" s="1"/>
  <c r="M7" i="5" s="1"/>
  <c r="G7" i="5" s="1"/>
  <c r="D52" i="5"/>
  <c r="L52" i="5"/>
  <c r="C52" i="5"/>
  <c r="B51" i="3"/>
  <c r="L51" i="3"/>
  <c r="D51" i="3"/>
  <c r="E51" i="3" s="1"/>
  <c r="C52" i="8"/>
  <c r="D52" i="8"/>
  <c r="B52" i="8"/>
  <c r="L52" i="8"/>
  <c r="D51" i="8"/>
  <c r="C51" i="8"/>
  <c r="B51" i="8"/>
  <c r="L51" i="8"/>
  <c r="L50" i="8"/>
  <c r="B50" i="8"/>
  <c r="C50" i="8"/>
  <c r="D50" i="8"/>
  <c r="C49" i="8"/>
  <c r="B49" i="8"/>
  <c r="D49" i="8"/>
  <c r="L49" i="8"/>
  <c r="T7" i="8"/>
  <c r="R7" i="8"/>
  <c r="S7" i="8" s="1"/>
  <c r="K7" i="8"/>
  <c r="U7" i="6"/>
  <c r="J7" i="6" s="1"/>
  <c r="L7" i="6" s="1"/>
  <c r="E49" i="5"/>
  <c r="B55" i="5" s="1"/>
  <c r="E49" i="4"/>
  <c r="L55" i="4" s="1"/>
  <c r="E49" i="6"/>
  <c r="L55" i="6" s="1"/>
  <c r="E49" i="3"/>
  <c r="L55" i="3" s="1"/>
  <c r="E49" i="7"/>
  <c r="D55" i="7" s="1"/>
  <c r="E52" i="3"/>
  <c r="U7" i="3"/>
  <c r="J7" i="3" s="1"/>
  <c r="M7" i="3" s="1"/>
  <c r="E51" i="5"/>
  <c r="B57" i="5" s="1"/>
  <c r="C60" i="6"/>
  <c r="E54" i="6"/>
  <c r="E52" i="6"/>
  <c r="D50" i="4"/>
  <c r="C50" i="4"/>
  <c r="B50" i="4"/>
  <c r="L50" i="4"/>
  <c r="M7" i="7"/>
  <c r="G7" i="7" s="1"/>
  <c r="L7" i="7"/>
  <c r="L51" i="2"/>
  <c r="B51" i="2"/>
  <c r="D51" i="2"/>
  <c r="C51" i="2"/>
  <c r="D50" i="7"/>
  <c r="C50" i="7"/>
  <c r="L50" i="7"/>
  <c r="B50" i="7"/>
  <c r="L50" i="5"/>
  <c r="C50" i="5"/>
  <c r="B50" i="5"/>
  <c r="D50" i="5"/>
  <c r="B50" i="2"/>
  <c r="L50" i="2"/>
  <c r="C50" i="2"/>
  <c r="D50" i="2"/>
  <c r="C60" i="3"/>
  <c r="E54" i="3"/>
  <c r="U7" i="4"/>
  <c r="J7" i="4" s="1"/>
  <c r="E54" i="2"/>
  <c r="C60" i="2"/>
  <c r="B61" i="2"/>
  <c r="L61" i="2"/>
  <c r="D61" i="2"/>
  <c r="C61" i="2"/>
  <c r="E54" i="7"/>
  <c r="C60" i="7"/>
  <c r="C60" i="4"/>
  <c r="E54" i="4"/>
  <c r="L51" i="6"/>
  <c r="B51" i="6"/>
  <c r="C51" i="6"/>
  <c r="D51" i="6"/>
  <c r="B50" i="6"/>
  <c r="C50" i="6"/>
  <c r="L50" i="6"/>
  <c r="D50" i="6"/>
  <c r="B52" i="2"/>
  <c r="D52" i="2"/>
  <c r="C52" i="2"/>
  <c r="L52" i="2"/>
  <c r="N8" i="16"/>
  <c r="L7" i="9"/>
  <c r="E54" i="8"/>
  <c r="C60" i="8"/>
  <c r="C60" i="5"/>
  <c r="E54" i="5"/>
  <c r="B52" i="4"/>
  <c r="D52" i="4"/>
  <c r="L52" i="4"/>
  <c r="C52" i="4"/>
  <c r="L51" i="7"/>
  <c r="D51" i="7"/>
  <c r="C51" i="7"/>
  <c r="B51" i="7"/>
  <c r="E52" i="5" l="1"/>
  <c r="D58" i="5" s="1"/>
  <c r="E52" i="7"/>
  <c r="D58" i="7" s="1"/>
  <c r="L7" i="5"/>
  <c r="W8" i="13" s="1"/>
  <c r="E51" i="8"/>
  <c r="C57" i="8" s="1"/>
  <c r="B58" i="3"/>
  <c r="L58" i="3"/>
  <c r="D58" i="3"/>
  <c r="D57" i="3"/>
  <c r="C57" i="3"/>
  <c r="L57" i="3"/>
  <c r="B57" i="3"/>
  <c r="E52" i="8"/>
  <c r="C58" i="8" s="1"/>
  <c r="D55" i="3"/>
  <c r="D55" i="5"/>
  <c r="M7" i="6"/>
  <c r="G7" i="6" s="1"/>
  <c r="G7" i="9" s="1"/>
  <c r="E50" i="8"/>
  <c r="D56" i="8" s="1"/>
  <c r="U7" i="8"/>
  <c r="J7" i="8" s="1"/>
  <c r="M7" i="8" s="1"/>
  <c r="E49" i="8"/>
  <c r="B55" i="6"/>
  <c r="L7" i="3"/>
  <c r="N7" i="9" s="1"/>
  <c r="D55" i="4"/>
  <c r="C55" i="7"/>
  <c r="E55" i="7" s="1"/>
  <c r="D61" i="7" s="1"/>
  <c r="B55" i="4"/>
  <c r="C55" i="5"/>
  <c r="C55" i="4"/>
  <c r="L55" i="5"/>
  <c r="C58" i="3"/>
  <c r="D55" i="6"/>
  <c r="C55" i="6"/>
  <c r="L57" i="5"/>
  <c r="E52" i="4"/>
  <c r="B58" i="4" s="1"/>
  <c r="C58" i="5"/>
  <c r="E58" i="5" s="1"/>
  <c r="C55" i="3"/>
  <c r="B55" i="3"/>
  <c r="C57" i="5"/>
  <c r="L55" i="7"/>
  <c r="D57" i="5"/>
  <c r="B55" i="7"/>
  <c r="E51" i="7"/>
  <c r="B57" i="7" s="1"/>
  <c r="E50" i="7"/>
  <c r="B56" i="7" s="1"/>
  <c r="E52" i="2"/>
  <c r="E51" i="6"/>
  <c r="C66" i="4"/>
  <c r="E60" i="4"/>
  <c r="E61" i="2"/>
  <c r="M7" i="4"/>
  <c r="L7" i="4"/>
  <c r="E50" i="2"/>
  <c r="E51" i="2"/>
  <c r="Q7" i="9"/>
  <c r="Y8" i="13"/>
  <c r="S8" i="16"/>
  <c r="E50" i="4"/>
  <c r="E60" i="5"/>
  <c r="C66" i="5"/>
  <c r="E50" i="6"/>
  <c r="E50" i="5"/>
  <c r="H7" i="9"/>
  <c r="O8" i="13"/>
  <c r="E60" i="6"/>
  <c r="C66" i="6"/>
  <c r="K8" i="13"/>
  <c r="F7" i="9"/>
  <c r="C66" i="8"/>
  <c r="E60" i="8"/>
  <c r="C66" i="7"/>
  <c r="E60" i="7"/>
  <c r="E60" i="2"/>
  <c r="C66" i="2"/>
  <c r="C66" i="3"/>
  <c r="E60" i="3"/>
  <c r="C58" i="6"/>
  <c r="L58" i="6"/>
  <c r="D58" i="6"/>
  <c r="B58" i="6"/>
  <c r="C56" i="3"/>
  <c r="B56" i="3"/>
  <c r="L56" i="3"/>
  <c r="D56" i="3"/>
  <c r="D57" i="4"/>
  <c r="B57" i="4"/>
  <c r="C57" i="4"/>
  <c r="L57" i="4"/>
  <c r="R8" i="16"/>
  <c r="P7" i="9"/>
  <c r="X8" i="13"/>
  <c r="O7" i="9" l="1"/>
  <c r="Q8" i="16"/>
  <c r="B57" i="8"/>
  <c r="C58" i="7"/>
  <c r="E58" i="7" s="1"/>
  <c r="L57" i="8"/>
  <c r="L58" i="7"/>
  <c r="B58" i="5"/>
  <c r="B64" i="5" s="1"/>
  <c r="L58" i="5"/>
  <c r="L64" i="5" s="1"/>
  <c r="B58" i="7"/>
  <c r="D57" i="8"/>
  <c r="E57" i="8" s="1"/>
  <c r="E58" i="3"/>
  <c r="D64" i="3" s="1"/>
  <c r="E55" i="4"/>
  <c r="L61" i="4" s="1"/>
  <c r="B56" i="8"/>
  <c r="E55" i="5"/>
  <c r="D61" i="5" s="1"/>
  <c r="E57" i="3"/>
  <c r="D63" i="3" s="1"/>
  <c r="M8" i="13"/>
  <c r="P8" i="16"/>
  <c r="V8" i="13"/>
  <c r="D58" i="8"/>
  <c r="E58" i="8" s="1"/>
  <c r="B58" i="8"/>
  <c r="L57" i="7"/>
  <c r="L58" i="4"/>
  <c r="L58" i="8"/>
  <c r="E55" i="3"/>
  <c r="L61" i="3" s="1"/>
  <c r="C57" i="7"/>
  <c r="D58" i="4"/>
  <c r="C56" i="8"/>
  <c r="E56" i="8" s="1"/>
  <c r="C62" i="8" s="1"/>
  <c r="L7" i="8"/>
  <c r="Z8" i="13" s="1"/>
  <c r="L56" i="8"/>
  <c r="D55" i="8"/>
  <c r="B55" i="8"/>
  <c r="C55" i="8"/>
  <c r="L55" i="8"/>
  <c r="D57" i="7"/>
  <c r="C56" i="7"/>
  <c r="D56" i="7"/>
  <c r="E55" i="6"/>
  <c r="L61" i="6" s="1"/>
  <c r="L56" i="7"/>
  <c r="C58" i="4"/>
  <c r="L61" i="7"/>
  <c r="B61" i="7"/>
  <c r="C61" i="7"/>
  <c r="E61" i="7" s="1"/>
  <c r="E57" i="5"/>
  <c r="B63" i="5" s="1"/>
  <c r="E57" i="4"/>
  <c r="E56" i="3"/>
  <c r="B62" i="3" s="1"/>
  <c r="E66" i="3"/>
  <c r="D7" i="3"/>
  <c r="G7" i="3" s="1"/>
  <c r="E66" i="2"/>
  <c r="D7" i="2"/>
  <c r="G7" i="2" s="1"/>
  <c r="C56" i="4"/>
  <c r="D56" i="4"/>
  <c r="B56" i="4"/>
  <c r="L56" i="4"/>
  <c r="L57" i="2"/>
  <c r="D57" i="2"/>
  <c r="C57" i="2"/>
  <c r="B57" i="2"/>
  <c r="D64" i="5"/>
  <c r="C64" i="5"/>
  <c r="E58" i="6"/>
  <c r="E66" i="8"/>
  <c r="D7" i="8"/>
  <c r="G7" i="8" s="1"/>
  <c r="D7" i="5"/>
  <c r="E66" i="5"/>
  <c r="C67" i="2"/>
  <c r="D8" i="2" s="1"/>
  <c r="D67" i="2"/>
  <c r="B67" i="2"/>
  <c r="L67" i="2"/>
  <c r="D7" i="4"/>
  <c r="G7" i="4" s="1"/>
  <c r="E66" i="4"/>
  <c r="E66" i="7"/>
  <c r="D7" i="7"/>
  <c r="C56" i="2"/>
  <c r="L56" i="2"/>
  <c r="B56" i="2"/>
  <c r="D56" i="2"/>
  <c r="L57" i="6"/>
  <c r="D57" i="6"/>
  <c r="B57" i="6"/>
  <c r="C57" i="6"/>
  <c r="D7" i="6"/>
  <c r="E66" i="6"/>
  <c r="L56" i="5"/>
  <c r="C56" i="5"/>
  <c r="B56" i="5"/>
  <c r="D56" i="5"/>
  <c r="D58" i="2"/>
  <c r="L58" i="2"/>
  <c r="C58" i="2"/>
  <c r="B58" i="2"/>
  <c r="C56" i="6"/>
  <c r="L56" i="6"/>
  <c r="B56" i="6"/>
  <c r="D56" i="6"/>
  <c r="O8" i="16"/>
  <c r="U8" i="13"/>
  <c r="M7" i="9"/>
  <c r="D61" i="4" l="1"/>
  <c r="L64" i="3"/>
  <c r="B64" i="7"/>
  <c r="C64" i="7"/>
  <c r="C61" i="4"/>
  <c r="E61" i="4" s="1"/>
  <c r="L67" i="4" s="1"/>
  <c r="L64" i="7"/>
  <c r="D64" i="7"/>
  <c r="B64" i="3"/>
  <c r="C64" i="3"/>
  <c r="E64" i="3" s="1"/>
  <c r="B61" i="4"/>
  <c r="L64" i="8"/>
  <c r="B61" i="3"/>
  <c r="C61" i="5"/>
  <c r="E61" i="5" s="1"/>
  <c r="D67" i="5" s="1"/>
  <c r="D61" i="3"/>
  <c r="B61" i="5"/>
  <c r="L61" i="5"/>
  <c r="C61" i="6"/>
  <c r="B63" i="3"/>
  <c r="B61" i="6"/>
  <c r="C63" i="3"/>
  <c r="E63" i="3" s="1"/>
  <c r="D69" i="3" s="1"/>
  <c r="D61" i="6"/>
  <c r="L63" i="3"/>
  <c r="C61" i="3"/>
  <c r="T8" i="16"/>
  <c r="B64" i="8"/>
  <c r="C64" i="8"/>
  <c r="D64" i="8"/>
  <c r="E58" i="4"/>
  <c r="D64" i="4" s="1"/>
  <c r="L62" i="8"/>
  <c r="D62" i="8"/>
  <c r="E62" i="8" s="1"/>
  <c r="D68" i="8" s="1"/>
  <c r="B62" i="8"/>
  <c r="L63" i="4"/>
  <c r="E56" i="7"/>
  <c r="D62" i="7" s="1"/>
  <c r="L63" i="5"/>
  <c r="R7" i="9"/>
  <c r="E55" i="8"/>
  <c r="D61" i="8" s="1"/>
  <c r="E57" i="7"/>
  <c r="C63" i="7" s="1"/>
  <c r="B67" i="7"/>
  <c r="M67" i="7" s="1"/>
  <c r="C63" i="4"/>
  <c r="D63" i="4"/>
  <c r="B63" i="4"/>
  <c r="C63" i="5"/>
  <c r="D63" i="5"/>
  <c r="D62" i="3"/>
  <c r="C67" i="7"/>
  <c r="D8" i="7" s="1"/>
  <c r="L67" i="7"/>
  <c r="D67" i="7"/>
  <c r="F8" i="7" s="1"/>
  <c r="C62" i="3"/>
  <c r="L62" i="3"/>
  <c r="E56" i="4"/>
  <c r="L62" i="4" s="1"/>
  <c r="E56" i="6"/>
  <c r="B62" i="6" s="1"/>
  <c r="E58" i="2"/>
  <c r="B64" i="2" s="1"/>
  <c r="E67" i="2"/>
  <c r="O8" i="2"/>
  <c r="F8" i="2"/>
  <c r="L63" i="8"/>
  <c r="C63" i="8"/>
  <c r="B63" i="8"/>
  <c r="D63" i="8"/>
  <c r="G8" i="16"/>
  <c r="D7" i="9"/>
  <c r="G8" i="13"/>
  <c r="K8" i="16"/>
  <c r="I7" i="9"/>
  <c r="Q8" i="13"/>
  <c r="E8" i="16"/>
  <c r="E8" i="13"/>
  <c r="C7" i="9"/>
  <c r="E57" i="6"/>
  <c r="E56" i="2"/>
  <c r="Q8" i="2"/>
  <c r="E64" i="5"/>
  <c r="L70" i="5" s="1"/>
  <c r="E57" i="2"/>
  <c r="F28" i="2"/>
  <c r="M67" i="2"/>
  <c r="B64" i="6"/>
  <c r="L64" i="6"/>
  <c r="C64" i="6"/>
  <c r="D64" i="6"/>
  <c r="I8" i="16"/>
  <c r="I8" i="13"/>
  <c r="E7" i="9"/>
  <c r="E56" i="5"/>
  <c r="E64" i="7" l="1"/>
  <c r="B70" i="3"/>
  <c r="M70" i="3" s="1"/>
  <c r="E61" i="6"/>
  <c r="C67" i="6" s="1"/>
  <c r="D8" i="6" s="1"/>
  <c r="E61" i="3"/>
  <c r="D67" i="3" s="1"/>
  <c r="F8" i="3" s="1"/>
  <c r="C64" i="4"/>
  <c r="E64" i="4" s="1"/>
  <c r="L64" i="4"/>
  <c r="B64" i="4"/>
  <c r="B67" i="5"/>
  <c r="F28" i="5" s="1"/>
  <c r="C67" i="5"/>
  <c r="D8" i="5" s="1"/>
  <c r="L67" i="5"/>
  <c r="O8" i="5" s="1"/>
  <c r="D62" i="4"/>
  <c r="B62" i="4"/>
  <c r="E64" i="8"/>
  <c r="L70" i="8" s="1"/>
  <c r="L62" i="7"/>
  <c r="C62" i="7"/>
  <c r="E62" i="7" s="1"/>
  <c r="C64" i="2"/>
  <c r="E62" i="3"/>
  <c r="B68" i="3" s="1"/>
  <c r="L61" i="8"/>
  <c r="F28" i="7"/>
  <c r="L68" i="8"/>
  <c r="O11" i="8" s="1"/>
  <c r="E63" i="4"/>
  <c r="B69" i="4" s="1"/>
  <c r="M69" i="4" s="1"/>
  <c r="B62" i="7"/>
  <c r="B61" i="8"/>
  <c r="B63" i="7"/>
  <c r="B70" i="7"/>
  <c r="F33" i="7" s="1"/>
  <c r="C61" i="8"/>
  <c r="E61" i="8" s="1"/>
  <c r="B69" i="3"/>
  <c r="M69" i="3" s="1"/>
  <c r="D63" i="7"/>
  <c r="E63" i="7" s="1"/>
  <c r="L63" i="7"/>
  <c r="L70" i="7" s="1"/>
  <c r="C70" i="7"/>
  <c r="L64" i="2"/>
  <c r="L70" i="3"/>
  <c r="C69" i="3"/>
  <c r="D12" i="3" s="1"/>
  <c r="E63" i="5"/>
  <c r="L69" i="5" s="1"/>
  <c r="Q8" i="7"/>
  <c r="D64" i="2"/>
  <c r="L69" i="3"/>
  <c r="O12" i="3" s="1"/>
  <c r="B68" i="8"/>
  <c r="F30" i="8" s="1"/>
  <c r="D70" i="3"/>
  <c r="B70" i="5"/>
  <c r="F33" i="5" s="1"/>
  <c r="O8" i="7"/>
  <c r="C68" i="8"/>
  <c r="C62" i="4"/>
  <c r="C70" i="3"/>
  <c r="D13" i="3" s="1"/>
  <c r="E67" i="7"/>
  <c r="D62" i="6"/>
  <c r="D67" i="4"/>
  <c r="C67" i="4"/>
  <c r="Q8" i="4" s="1"/>
  <c r="B67" i="4"/>
  <c r="M67" i="4" s="1"/>
  <c r="C62" i="6"/>
  <c r="L62" i="6"/>
  <c r="C63" i="6"/>
  <c r="L63" i="6"/>
  <c r="D63" i="6"/>
  <c r="B63" i="6"/>
  <c r="C62" i="5"/>
  <c r="B62" i="5"/>
  <c r="L62" i="5"/>
  <c r="D62" i="5"/>
  <c r="F8" i="5"/>
  <c r="F10" i="8"/>
  <c r="F9" i="8"/>
  <c r="F11" i="8"/>
  <c r="C62" i="2"/>
  <c r="L62" i="2"/>
  <c r="B62" i="2"/>
  <c r="D62" i="2"/>
  <c r="F15" i="3"/>
  <c r="F12" i="3"/>
  <c r="E63" i="8"/>
  <c r="E64" i="6"/>
  <c r="C63" i="2"/>
  <c r="L63" i="2"/>
  <c r="B63" i="2"/>
  <c r="D63" i="2"/>
  <c r="D70" i="5"/>
  <c r="C70" i="5"/>
  <c r="F33" i="3"/>
  <c r="F34" i="3"/>
  <c r="R8" i="2"/>
  <c r="S8" i="2" s="1"/>
  <c r="K8" i="2"/>
  <c r="T8" i="2"/>
  <c r="B67" i="3" l="1"/>
  <c r="F28" i="3" s="1"/>
  <c r="B67" i="6"/>
  <c r="M67" i="6" s="1"/>
  <c r="D67" i="6"/>
  <c r="E67" i="6" s="1"/>
  <c r="L67" i="6"/>
  <c r="Q8" i="6" s="1"/>
  <c r="C67" i="3"/>
  <c r="D8" i="3" s="1"/>
  <c r="L67" i="3"/>
  <c r="O8" i="3" s="1"/>
  <c r="E67" i="5"/>
  <c r="M67" i="5"/>
  <c r="L68" i="3"/>
  <c r="C68" i="3"/>
  <c r="D9" i="3" s="1"/>
  <c r="E62" i="4"/>
  <c r="D68" i="4" s="1"/>
  <c r="D68" i="3"/>
  <c r="Q8" i="5"/>
  <c r="K8" i="5" s="1"/>
  <c r="B69" i="5"/>
  <c r="F35" i="5" s="1"/>
  <c r="D70" i="8"/>
  <c r="F13" i="8" s="1"/>
  <c r="E64" i="2"/>
  <c r="D70" i="2" s="1"/>
  <c r="B70" i="8"/>
  <c r="F29" i="8"/>
  <c r="L68" i="7"/>
  <c r="C68" i="7"/>
  <c r="D11" i="7" s="1"/>
  <c r="B68" i="7"/>
  <c r="M68" i="7" s="1"/>
  <c r="Q11" i="8"/>
  <c r="T11" i="8" s="1"/>
  <c r="C70" i="8"/>
  <c r="D14" i="8" s="1"/>
  <c r="M70" i="5"/>
  <c r="D14" i="3"/>
  <c r="F35" i="4"/>
  <c r="F35" i="3"/>
  <c r="E70" i="3"/>
  <c r="Q14" i="3"/>
  <c r="D68" i="7"/>
  <c r="F10" i="7" s="1"/>
  <c r="F34" i="5"/>
  <c r="D15" i="3"/>
  <c r="O13" i="3"/>
  <c r="F14" i="3"/>
  <c r="O10" i="8"/>
  <c r="O9" i="8"/>
  <c r="Q9" i="8"/>
  <c r="F32" i="3"/>
  <c r="D69" i="4"/>
  <c r="F32" i="4"/>
  <c r="L69" i="4"/>
  <c r="M68" i="8"/>
  <c r="C69" i="4"/>
  <c r="D12" i="4" s="1"/>
  <c r="F34" i="7"/>
  <c r="M70" i="7"/>
  <c r="C69" i="5"/>
  <c r="D15" i="5" s="1"/>
  <c r="D69" i="5"/>
  <c r="O12" i="5" s="1"/>
  <c r="K8" i="7"/>
  <c r="D70" i="7"/>
  <c r="E70" i="7" s="1"/>
  <c r="O14" i="3"/>
  <c r="D69" i="7"/>
  <c r="F15" i="7" s="1"/>
  <c r="L69" i="7"/>
  <c r="C69" i="7"/>
  <c r="D12" i="7" s="1"/>
  <c r="B69" i="7"/>
  <c r="F32" i="7" s="1"/>
  <c r="Q14" i="7"/>
  <c r="D14" i="7"/>
  <c r="D13" i="7"/>
  <c r="Q13" i="7"/>
  <c r="Q15" i="3"/>
  <c r="Q13" i="3"/>
  <c r="F31" i="8"/>
  <c r="E69" i="3"/>
  <c r="R8" i="7"/>
  <c r="S8" i="7" s="1"/>
  <c r="D67" i="8"/>
  <c r="C67" i="8"/>
  <c r="B67" i="8"/>
  <c r="L67" i="8"/>
  <c r="Q12" i="3"/>
  <c r="T12" i="3" s="1"/>
  <c r="O15" i="3"/>
  <c r="T8" i="7"/>
  <c r="F8" i="6"/>
  <c r="F28" i="4"/>
  <c r="D8" i="4"/>
  <c r="F13" i="3"/>
  <c r="D9" i="8"/>
  <c r="E62" i="6"/>
  <c r="B68" i="6" s="1"/>
  <c r="E67" i="4"/>
  <c r="Q10" i="8"/>
  <c r="E68" i="8"/>
  <c r="D11" i="8"/>
  <c r="D10" i="8"/>
  <c r="F8" i="4"/>
  <c r="O8" i="4"/>
  <c r="R8" i="4" s="1"/>
  <c r="S8" i="4" s="1"/>
  <c r="E62" i="5"/>
  <c r="B68" i="5" s="1"/>
  <c r="E63" i="2"/>
  <c r="C69" i="2" s="1"/>
  <c r="E63" i="6"/>
  <c r="D69" i="6" s="1"/>
  <c r="E62" i="2"/>
  <c r="D68" i="2" s="1"/>
  <c r="U8" i="2"/>
  <c r="J8" i="2" s="1"/>
  <c r="M8" i="2" s="1"/>
  <c r="G8" i="2" s="1"/>
  <c r="L70" i="6"/>
  <c r="C70" i="6"/>
  <c r="B70" i="6"/>
  <c r="D70" i="6"/>
  <c r="L69" i="8"/>
  <c r="C69" i="8"/>
  <c r="B69" i="8"/>
  <c r="D69" i="8"/>
  <c r="M68" i="3"/>
  <c r="F31" i="3"/>
  <c r="F29" i="3"/>
  <c r="F30" i="3"/>
  <c r="Q14" i="5"/>
  <c r="E70" i="5"/>
  <c r="D14" i="5"/>
  <c r="Q13" i="5"/>
  <c r="D13" i="5"/>
  <c r="C68" i="4"/>
  <c r="B70" i="4"/>
  <c r="C70" i="4"/>
  <c r="D70" i="4"/>
  <c r="L70" i="4"/>
  <c r="F14" i="5"/>
  <c r="O13" i="5"/>
  <c r="F13" i="5"/>
  <c r="O14" i="5"/>
  <c r="F28" i="6" l="1"/>
  <c r="F29" i="7"/>
  <c r="B68" i="4"/>
  <c r="M67" i="3"/>
  <c r="Q8" i="3"/>
  <c r="K8" i="3" s="1"/>
  <c r="O8" i="6"/>
  <c r="T8" i="6" s="1"/>
  <c r="O11" i="3"/>
  <c r="K11" i="8"/>
  <c r="O10" i="3"/>
  <c r="L68" i="4"/>
  <c r="Q11" i="4" s="1"/>
  <c r="R11" i="8"/>
  <c r="S11" i="8" s="1"/>
  <c r="U11" i="8" s="1"/>
  <c r="J11" i="8" s="1"/>
  <c r="F10" i="3"/>
  <c r="E67" i="3"/>
  <c r="F32" i="5"/>
  <c r="D11" i="3"/>
  <c r="M69" i="5"/>
  <c r="O13" i="8"/>
  <c r="O9" i="3"/>
  <c r="O15" i="7"/>
  <c r="Q14" i="8"/>
  <c r="Q10" i="3"/>
  <c r="F11" i="3"/>
  <c r="F9" i="3"/>
  <c r="Q9" i="3"/>
  <c r="R14" i="3"/>
  <c r="S14" i="3" s="1"/>
  <c r="T8" i="5"/>
  <c r="D15" i="7"/>
  <c r="O9" i="7"/>
  <c r="E68" i="3"/>
  <c r="D10" i="3"/>
  <c r="Q11" i="3"/>
  <c r="D10" i="7"/>
  <c r="F9" i="7"/>
  <c r="M69" i="7"/>
  <c r="R13" i="3"/>
  <c r="S13" i="3" s="1"/>
  <c r="B70" i="2"/>
  <c r="F33" i="2" s="1"/>
  <c r="E68" i="7"/>
  <c r="Q10" i="7"/>
  <c r="F35" i="7"/>
  <c r="Q11" i="7"/>
  <c r="D9" i="7"/>
  <c r="C70" i="2"/>
  <c r="D13" i="2" s="1"/>
  <c r="R8" i="5"/>
  <c r="S8" i="5" s="1"/>
  <c r="F11" i="7"/>
  <c r="T8" i="3"/>
  <c r="L70" i="2"/>
  <c r="Q9" i="7"/>
  <c r="K10" i="8"/>
  <c r="Q15" i="5"/>
  <c r="C69" i="6"/>
  <c r="D12" i="6" s="1"/>
  <c r="F31" i="7"/>
  <c r="F12" i="7"/>
  <c r="F14" i="8"/>
  <c r="O14" i="8"/>
  <c r="F34" i="8"/>
  <c r="M70" i="8"/>
  <c r="F33" i="8"/>
  <c r="F30" i="7"/>
  <c r="R12" i="3"/>
  <c r="S12" i="3" s="1"/>
  <c r="U12" i="3" s="1"/>
  <c r="J12" i="3" s="1"/>
  <c r="M12" i="3" s="1"/>
  <c r="O10" i="7"/>
  <c r="D15" i="4"/>
  <c r="O11" i="7"/>
  <c r="D13" i="8"/>
  <c r="E70" i="8"/>
  <c r="E69" i="4"/>
  <c r="O12" i="7"/>
  <c r="Q13" i="8"/>
  <c r="F13" i="7"/>
  <c r="D12" i="5"/>
  <c r="Q12" i="5"/>
  <c r="K12" i="5" s="1"/>
  <c r="T13" i="3"/>
  <c r="K15" i="3"/>
  <c r="K13" i="3"/>
  <c r="K14" i="3"/>
  <c r="U8" i="7"/>
  <c r="J8" i="7" s="1"/>
  <c r="L8" i="7" s="1"/>
  <c r="Y9" i="13" s="1"/>
  <c r="Q12" i="7"/>
  <c r="E69" i="5"/>
  <c r="Q12" i="4"/>
  <c r="K12" i="3"/>
  <c r="T14" i="3"/>
  <c r="T9" i="8"/>
  <c r="K9" i="8"/>
  <c r="R9" i="8"/>
  <c r="S9" i="8" s="1"/>
  <c r="E69" i="7"/>
  <c r="R15" i="3"/>
  <c r="S15" i="3" s="1"/>
  <c r="O15" i="5"/>
  <c r="Q15" i="4"/>
  <c r="Q15" i="7"/>
  <c r="T15" i="3"/>
  <c r="F15" i="5"/>
  <c r="O15" i="4"/>
  <c r="O12" i="4"/>
  <c r="F12" i="4"/>
  <c r="F15" i="4"/>
  <c r="F12" i="5"/>
  <c r="F14" i="7"/>
  <c r="L8" i="2"/>
  <c r="N9" i="16" s="1"/>
  <c r="O13" i="7"/>
  <c r="T13" i="7" s="1"/>
  <c r="O14" i="7"/>
  <c r="T14" i="7" s="1"/>
  <c r="L68" i="6"/>
  <c r="M67" i="8"/>
  <c r="F28" i="8"/>
  <c r="D8" i="8"/>
  <c r="E67" i="8"/>
  <c r="Q8" i="8"/>
  <c r="O8" i="8"/>
  <c r="F8" i="8"/>
  <c r="C68" i="6"/>
  <c r="T10" i="8"/>
  <c r="R10" i="8"/>
  <c r="S10" i="8" s="1"/>
  <c r="D68" i="6"/>
  <c r="C68" i="2"/>
  <c r="D11" i="2" s="1"/>
  <c r="C68" i="5"/>
  <c r="D10" i="5" s="1"/>
  <c r="B68" i="2"/>
  <c r="F31" i="2" s="1"/>
  <c r="B69" i="2"/>
  <c r="M69" i="2" s="1"/>
  <c r="L69" i="2"/>
  <c r="Q12" i="2" s="1"/>
  <c r="K8" i="4"/>
  <c r="T8" i="4"/>
  <c r="U8" i="4" s="1"/>
  <c r="J8" i="4" s="1"/>
  <c r="L69" i="6"/>
  <c r="O12" i="6" s="1"/>
  <c r="L68" i="5"/>
  <c r="B69" i="6"/>
  <c r="M69" i="6" s="1"/>
  <c r="D68" i="5"/>
  <c r="F9" i="5" s="1"/>
  <c r="L68" i="2"/>
  <c r="D69" i="2"/>
  <c r="F12" i="2" s="1"/>
  <c r="F34" i="4"/>
  <c r="M70" i="4"/>
  <c r="F33" i="4"/>
  <c r="R14" i="5"/>
  <c r="S14" i="5" s="1"/>
  <c r="U14" i="5" s="1"/>
  <c r="J14" i="5" s="1"/>
  <c r="K14" i="5"/>
  <c r="T14" i="5"/>
  <c r="F14" i="4"/>
  <c r="O14" i="4"/>
  <c r="F13" i="4"/>
  <c r="O13" i="4"/>
  <c r="D11" i="4"/>
  <c r="D9" i="4"/>
  <c r="D10" i="4"/>
  <c r="E68" i="4"/>
  <c r="F9" i="2"/>
  <c r="F11" i="2"/>
  <c r="F10" i="2"/>
  <c r="Q15" i="8"/>
  <c r="Q12" i="8"/>
  <c r="D12" i="8"/>
  <c r="D15" i="8"/>
  <c r="E69" i="8"/>
  <c r="D15" i="2"/>
  <c r="D12" i="2"/>
  <c r="F31" i="6"/>
  <c r="F30" i="6"/>
  <c r="M68" i="6"/>
  <c r="F29" i="6"/>
  <c r="D13" i="4"/>
  <c r="E70" i="4"/>
  <c r="Q13" i="4"/>
  <c r="D14" i="4"/>
  <c r="Q14" i="4"/>
  <c r="F12" i="6"/>
  <c r="F15" i="6"/>
  <c r="F13" i="6"/>
  <c r="O14" i="6"/>
  <c r="O13" i="6"/>
  <c r="F14" i="6"/>
  <c r="R13" i="5"/>
  <c r="S13" i="5" s="1"/>
  <c r="K13" i="5"/>
  <c r="T13" i="5"/>
  <c r="F11" i="4"/>
  <c r="F10" i="4"/>
  <c r="F9" i="4"/>
  <c r="F14" i="2"/>
  <c r="F13" i="2"/>
  <c r="F15" i="8"/>
  <c r="F12" i="8"/>
  <c r="O12" i="8"/>
  <c r="O15" i="8"/>
  <c r="F29" i="4"/>
  <c r="F31" i="4"/>
  <c r="M68" i="4"/>
  <c r="F30" i="4"/>
  <c r="E9" i="16"/>
  <c r="C8" i="9"/>
  <c r="E9" i="13"/>
  <c r="F34" i="6"/>
  <c r="M70" i="6"/>
  <c r="F33" i="6"/>
  <c r="F30" i="5"/>
  <c r="F29" i="5"/>
  <c r="F31" i="5"/>
  <c r="M68" i="5"/>
  <c r="F35" i="8"/>
  <c r="M69" i="8"/>
  <c r="F32" i="8"/>
  <c r="Q14" i="6"/>
  <c r="Q13" i="6"/>
  <c r="D13" i="6"/>
  <c r="E70" i="6"/>
  <c r="D14" i="6"/>
  <c r="R8" i="3" l="1"/>
  <c r="S8" i="3" s="1"/>
  <c r="Q9" i="4"/>
  <c r="K11" i="3"/>
  <c r="U13" i="5"/>
  <c r="J13" i="5" s="1"/>
  <c r="L13" i="5" s="1"/>
  <c r="K8" i="6"/>
  <c r="D14" i="2"/>
  <c r="R8" i="6"/>
  <c r="S8" i="6" s="1"/>
  <c r="U8" i="6" s="1"/>
  <c r="J8" i="6" s="1"/>
  <c r="T14" i="8"/>
  <c r="R10" i="3"/>
  <c r="S10" i="3" s="1"/>
  <c r="T10" i="3"/>
  <c r="D15" i="6"/>
  <c r="O10" i="4"/>
  <c r="K10" i="3"/>
  <c r="O9" i="4"/>
  <c r="K9" i="4" s="1"/>
  <c r="O11" i="4"/>
  <c r="T11" i="4" s="1"/>
  <c r="M70" i="2"/>
  <c r="E70" i="2"/>
  <c r="U8" i="5"/>
  <c r="J8" i="5" s="1"/>
  <c r="M8" i="5" s="1"/>
  <c r="G8" i="5" s="1"/>
  <c r="R11" i="3"/>
  <c r="S11" i="3" s="1"/>
  <c r="Q10" i="4"/>
  <c r="T10" i="4" s="1"/>
  <c r="R15" i="7"/>
  <c r="S15" i="7" s="1"/>
  <c r="R9" i="3"/>
  <c r="S9" i="3" s="1"/>
  <c r="R10" i="7"/>
  <c r="S10" i="7" s="1"/>
  <c r="T9" i="13"/>
  <c r="R15" i="5"/>
  <c r="S15" i="5" s="1"/>
  <c r="T9" i="3"/>
  <c r="K9" i="3"/>
  <c r="Q10" i="6"/>
  <c r="T15" i="4"/>
  <c r="U8" i="3"/>
  <c r="J8" i="3" s="1"/>
  <c r="M8" i="3" s="1"/>
  <c r="G8" i="3" s="1"/>
  <c r="I9" i="13" s="1"/>
  <c r="R13" i="8"/>
  <c r="S13" i="8" s="1"/>
  <c r="T9" i="7"/>
  <c r="R12" i="7"/>
  <c r="S12" i="7" s="1"/>
  <c r="Q14" i="2"/>
  <c r="K15" i="5"/>
  <c r="O14" i="2"/>
  <c r="T11" i="3"/>
  <c r="E69" i="6"/>
  <c r="R14" i="8"/>
  <c r="S14" i="8" s="1"/>
  <c r="R11" i="7"/>
  <c r="S11" i="7" s="1"/>
  <c r="R12" i="5"/>
  <c r="S12" i="5" s="1"/>
  <c r="U12" i="5" s="1"/>
  <c r="J12" i="5" s="1"/>
  <c r="F34" i="2"/>
  <c r="D9" i="6"/>
  <c r="K15" i="4"/>
  <c r="L8" i="9"/>
  <c r="D9" i="5"/>
  <c r="O9" i="6"/>
  <c r="U13" i="3"/>
  <c r="J13" i="3" s="1"/>
  <c r="M13" i="3" s="1"/>
  <c r="G13" i="3" s="1"/>
  <c r="I14" i="13" s="1"/>
  <c r="K11" i="7"/>
  <c r="T15" i="7"/>
  <c r="K10" i="7"/>
  <c r="F29" i="2"/>
  <c r="T10" i="7"/>
  <c r="T12" i="5"/>
  <c r="R15" i="4"/>
  <c r="S15" i="4" s="1"/>
  <c r="T11" i="7"/>
  <c r="F30" i="2"/>
  <c r="K13" i="8"/>
  <c r="T12" i="7"/>
  <c r="F10" i="6"/>
  <c r="F9" i="6"/>
  <c r="O11" i="6"/>
  <c r="T13" i="8"/>
  <c r="Q11" i="6"/>
  <c r="R11" i="6" s="1"/>
  <c r="S11" i="6" s="1"/>
  <c r="R9" i="7"/>
  <c r="S9" i="7" s="1"/>
  <c r="Q8" i="9"/>
  <c r="O10" i="6"/>
  <c r="M68" i="2"/>
  <c r="F11" i="6"/>
  <c r="K15" i="7"/>
  <c r="Q9" i="6"/>
  <c r="T9" i="6" s="1"/>
  <c r="D11" i="6"/>
  <c r="O15" i="6"/>
  <c r="K9" i="7"/>
  <c r="Q13" i="2"/>
  <c r="M8" i="7"/>
  <c r="G8" i="7" s="1"/>
  <c r="O9" i="13" s="1"/>
  <c r="K12" i="7"/>
  <c r="K14" i="8"/>
  <c r="L8" i="3"/>
  <c r="P9" i="16" s="1"/>
  <c r="D10" i="6"/>
  <c r="O13" i="2"/>
  <c r="S9" i="16"/>
  <c r="U14" i="3"/>
  <c r="J14" i="3" s="1"/>
  <c r="N30" i="3" s="1"/>
  <c r="G12" i="3"/>
  <c r="E12" i="9" s="1"/>
  <c r="Q15" i="2"/>
  <c r="U15" i="3"/>
  <c r="J15" i="3" s="1"/>
  <c r="L15" i="3" s="1"/>
  <c r="P16" i="16" s="1"/>
  <c r="R12" i="4"/>
  <c r="S12" i="4" s="1"/>
  <c r="Q15" i="6"/>
  <c r="Q12" i="6"/>
  <c r="K12" i="6" s="1"/>
  <c r="T15" i="5"/>
  <c r="D11" i="5"/>
  <c r="F10" i="5"/>
  <c r="U9" i="8"/>
  <c r="J9" i="8" s="1"/>
  <c r="M9" i="8" s="1"/>
  <c r="G9" i="8" s="1"/>
  <c r="K10" i="16" s="1"/>
  <c r="E68" i="5"/>
  <c r="T12" i="4"/>
  <c r="K12" i="4"/>
  <c r="R13" i="7"/>
  <c r="S13" i="7" s="1"/>
  <c r="U13" i="7" s="1"/>
  <c r="J13" i="7" s="1"/>
  <c r="M13" i="7" s="1"/>
  <c r="G13" i="7" s="1"/>
  <c r="O14" i="13" s="1"/>
  <c r="K13" i="7"/>
  <c r="R14" i="7"/>
  <c r="S14" i="7" s="1"/>
  <c r="U14" i="7" s="1"/>
  <c r="J14" i="7" s="1"/>
  <c r="K14" i="7"/>
  <c r="O9" i="5"/>
  <c r="Q10" i="5"/>
  <c r="E68" i="6"/>
  <c r="U10" i="8"/>
  <c r="J10" i="8" s="1"/>
  <c r="L10" i="8" s="1"/>
  <c r="Z11" i="13" s="1"/>
  <c r="F11" i="5"/>
  <c r="Q11" i="5"/>
  <c r="R8" i="8"/>
  <c r="S8" i="8" s="1"/>
  <c r="K8" i="8"/>
  <c r="T8" i="8"/>
  <c r="O12" i="2"/>
  <c r="K12" i="2" s="1"/>
  <c r="O10" i="5"/>
  <c r="O11" i="5"/>
  <c r="F32" i="2"/>
  <c r="F15" i="2"/>
  <c r="E69" i="2"/>
  <c r="D9" i="2"/>
  <c r="O15" i="2"/>
  <c r="F35" i="2"/>
  <c r="E68" i="2"/>
  <c r="Q10" i="2"/>
  <c r="Q9" i="5"/>
  <c r="D10" i="2"/>
  <c r="O10" i="2"/>
  <c r="F32" i="6"/>
  <c r="U10" i="3"/>
  <c r="J10" i="3" s="1"/>
  <c r="F35" i="6"/>
  <c r="L12" i="3"/>
  <c r="N12" i="9" s="1"/>
  <c r="O9" i="2"/>
  <c r="Q9" i="2"/>
  <c r="O11" i="2"/>
  <c r="Q11" i="2"/>
  <c r="R12" i="8"/>
  <c r="S12" i="8" s="1"/>
  <c r="K12" i="8"/>
  <c r="T12" i="8"/>
  <c r="R14" i="6"/>
  <c r="S14" i="6" s="1"/>
  <c r="K14" i="6"/>
  <c r="T14" i="6"/>
  <c r="M8" i="4"/>
  <c r="G8" i="4" s="1"/>
  <c r="L8" i="4"/>
  <c r="U15" i="5"/>
  <c r="J15" i="5" s="1"/>
  <c r="T15" i="8"/>
  <c r="R15" i="8"/>
  <c r="S15" i="8" s="1"/>
  <c r="K15" i="8"/>
  <c r="K14" i="4"/>
  <c r="R14" i="4"/>
  <c r="S14" i="4" s="1"/>
  <c r="T14" i="4"/>
  <c r="M14" i="5"/>
  <c r="G14" i="5" s="1"/>
  <c r="N30" i="5"/>
  <c r="L14" i="5"/>
  <c r="T13" i="6"/>
  <c r="K13" i="6"/>
  <c r="R13" i="6"/>
  <c r="S13" i="6" s="1"/>
  <c r="R13" i="4"/>
  <c r="S13" i="4" s="1"/>
  <c r="T13" i="4"/>
  <c r="K13" i="4"/>
  <c r="L11" i="8"/>
  <c r="M11" i="8"/>
  <c r="G11" i="8" s="1"/>
  <c r="M8" i="6"/>
  <c r="G8" i="6" s="1"/>
  <c r="L8" i="6"/>
  <c r="L8" i="5"/>
  <c r="M13" i="5" l="1"/>
  <c r="G13" i="5" s="1"/>
  <c r="U14" i="8"/>
  <c r="J14" i="8" s="1"/>
  <c r="R10" i="4"/>
  <c r="S10" i="4" s="1"/>
  <c r="K10" i="4"/>
  <c r="U11" i="3"/>
  <c r="J11" i="3" s="1"/>
  <c r="M11" i="3" s="1"/>
  <c r="G11" i="3" s="1"/>
  <c r="E11" i="9" s="1"/>
  <c r="R10" i="6"/>
  <c r="S10" i="6" s="1"/>
  <c r="U15" i="4"/>
  <c r="J15" i="4" s="1"/>
  <c r="L15" i="4" s="1"/>
  <c r="M15" i="9" s="1"/>
  <c r="R14" i="2"/>
  <c r="S14" i="2" s="1"/>
  <c r="U10" i="7"/>
  <c r="J10" i="7" s="1"/>
  <c r="L10" i="7" s="1"/>
  <c r="U9" i="3"/>
  <c r="J9" i="3" s="1"/>
  <c r="R9" i="4"/>
  <c r="S9" i="4" s="1"/>
  <c r="T9" i="4"/>
  <c r="U9" i="4" s="1"/>
  <c r="J9" i="4" s="1"/>
  <c r="U15" i="7"/>
  <c r="J15" i="7" s="1"/>
  <c r="M15" i="7" s="1"/>
  <c r="G15" i="7" s="1"/>
  <c r="O16" i="13" s="1"/>
  <c r="R11" i="4"/>
  <c r="S11" i="4" s="1"/>
  <c r="U11" i="4" s="1"/>
  <c r="J11" i="4" s="1"/>
  <c r="K11" i="4"/>
  <c r="L10" i="3"/>
  <c r="P11" i="16" s="1"/>
  <c r="U12" i="4"/>
  <c r="J12" i="4" s="1"/>
  <c r="L12" i="4" s="1"/>
  <c r="M12" i="9" s="1"/>
  <c r="U9" i="7"/>
  <c r="J9" i="7" s="1"/>
  <c r="I9" i="16"/>
  <c r="T14" i="2"/>
  <c r="K14" i="2"/>
  <c r="U11" i="7"/>
  <c r="J11" i="7" s="1"/>
  <c r="M11" i="7" s="1"/>
  <c r="G11" i="7" s="1"/>
  <c r="H11" i="9" s="1"/>
  <c r="E8" i="9"/>
  <c r="U13" i="8"/>
  <c r="J13" i="8" s="1"/>
  <c r="M13" i="8" s="1"/>
  <c r="G13" i="8" s="1"/>
  <c r="U12" i="7"/>
  <c r="J12" i="7" s="1"/>
  <c r="L12" i="7" s="1"/>
  <c r="K10" i="6"/>
  <c r="M15" i="4"/>
  <c r="G15" i="4" s="1"/>
  <c r="G16" i="16" s="1"/>
  <c r="T10" i="5"/>
  <c r="M14" i="8"/>
  <c r="G14" i="8" s="1"/>
  <c r="N30" i="8"/>
  <c r="R12" i="6"/>
  <c r="S12" i="6" s="1"/>
  <c r="T15" i="6"/>
  <c r="T10" i="6"/>
  <c r="U10" i="6" s="1"/>
  <c r="J10" i="6" s="1"/>
  <c r="M10" i="6" s="1"/>
  <c r="G10" i="6" s="1"/>
  <c r="T15" i="2"/>
  <c r="T13" i="2"/>
  <c r="R9" i="6"/>
  <c r="S9" i="6" s="1"/>
  <c r="U9" i="6" s="1"/>
  <c r="J9" i="6" s="1"/>
  <c r="T12" i="6"/>
  <c r="I14" i="16"/>
  <c r="H8" i="9"/>
  <c r="L13" i="3"/>
  <c r="V14" i="13" s="1"/>
  <c r="L14" i="8"/>
  <c r="Z15" i="13" s="1"/>
  <c r="T11" i="6"/>
  <c r="U11" i="6" s="1"/>
  <c r="J11" i="6" s="1"/>
  <c r="E13" i="9"/>
  <c r="R10" i="5"/>
  <c r="S10" i="5" s="1"/>
  <c r="U10" i="5" s="1"/>
  <c r="J10" i="5" s="1"/>
  <c r="M10" i="3"/>
  <c r="G10" i="3" s="1"/>
  <c r="I11" i="16" s="1"/>
  <c r="K10" i="5"/>
  <c r="Q10" i="13"/>
  <c r="R13" i="2"/>
  <c r="S13" i="2" s="1"/>
  <c r="T12" i="2"/>
  <c r="K11" i="6"/>
  <c r="K9" i="6"/>
  <c r="K13" i="2"/>
  <c r="N8" i="9"/>
  <c r="V9" i="13"/>
  <c r="N15" i="9"/>
  <c r="T10" i="2"/>
  <c r="R15" i="2"/>
  <c r="S15" i="2" s="1"/>
  <c r="L9" i="8"/>
  <c r="Z10" i="13" s="1"/>
  <c r="V16" i="13"/>
  <c r="R15" i="6"/>
  <c r="S15" i="6" s="1"/>
  <c r="T11" i="16"/>
  <c r="L14" i="3"/>
  <c r="N14" i="9" s="1"/>
  <c r="M15" i="3"/>
  <c r="G15" i="3" s="1"/>
  <c r="E15" i="9" s="1"/>
  <c r="I13" i="16"/>
  <c r="I13" i="13"/>
  <c r="M10" i="8"/>
  <c r="G10" i="8" s="1"/>
  <c r="K11" i="16" s="1"/>
  <c r="R12" i="2"/>
  <c r="S12" i="2" s="1"/>
  <c r="K10" i="2"/>
  <c r="K9" i="5"/>
  <c r="K15" i="6"/>
  <c r="M14" i="3"/>
  <c r="G14" i="3" s="1"/>
  <c r="I15" i="13" s="1"/>
  <c r="H13" i="9"/>
  <c r="M12" i="4"/>
  <c r="G12" i="4" s="1"/>
  <c r="G13" i="13" s="1"/>
  <c r="R11" i="5"/>
  <c r="S11" i="5" s="1"/>
  <c r="L13" i="7"/>
  <c r="K11" i="5"/>
  <c r="I9" i="9"/>
  <c r="T11" i="5"/>
  <c r="R10" i="9"/>
  <c r="R10" i="2"/>
  <c r="S10" i="2" s="1"/>
  <c r="P13" i="16"/>
  <c r="T9" i="5"/>
  <c r="R9" i="5"/>
  <c r="S9" i="5" s="1"/>
  <c r="K15" i="2"/>
  <c r="L14" i="7"/>
  <c r="N30" i="7"/>
  <c r="M14" i="7"/>
  <c r="G14" i="7" s="1"/>
  <c r="U8" i="8"/>
  <c r="J8" i="8" s="1"/>
  <c r="V13" i="13"/>
  <c r="T11" i="2"/>
  <c r="T9" i="2"/>
  <c r="R11" i="2"/>
  <c r="S11" i="2" s="1"/>
  <c r="K11" i="2"/>
  <c r="K9" i="2"/>
  <c r="R9" i="2"/>
  <c r="S9" i="2" s="1"/>
  <c r="U14" i="4"/>
  <c r="J14" i="4" s="1"/>
  <c r="M14" i="4" s="1"/>
  <c r="G14" i="4" s="1"/>
  <c r="U13" i="4"/>
  <c r="J13" i="4" s="1"/>
  <c r="L13" i="4" s="1"/>
  <c r="U13" i="6"/>
  <c r="J13" i="6" s="1"/>
  <c r="M13" i="6" s="1"/>
  <c r="G13" i="6" s="1"/>
  <c r="U14" i="6"/>
  <c r="J14" i="6" s="1"/>
  <c r="L14" i="6" s="1"/>
  <c r="M9" i="3"/>
  <c r="G9" i="3" s="1"/>
  <c r="L9" i="3"/>
  <c r="F8" i="9"/>
  <c r="K9" i="13"/>
  <c r="G8" i="9"/>
  <c r="M9" i="13"/>
  <c r="Q14" i="16"/>
  <c r="W14" i="13"/>
  <c r="O13" i="9"/>
  <c r="M9" i="7"/>
  <c r="G9" i="7" s="1"/>
  <c r="L9" i="7"/>
  <c r="U15" i="8"/>
  <c r="J15" i="8" s="1"/>
  <c r="M12" i="5"/>
  <c r="G12" i="5" s="1"/>
  <c r="L12" i="5"/>
  <c r="G9" i="16"/>
  <c r="D8" i="9"/>
  <c r="G9" i="13"/>
  <c r="U12" i="8"/>
  <c r="J12" i="8" s="1"/>
  <c r="F14" i="9"/>
  <c r="K15" i="13"/>
  <c r="F13" i="9"/>
  <c r="K14" i="13"/>
  <c r="M12" i="7"/>
  <c r="G12" i="7" s="1"/>
  <c r="L15" i="5"/>
  <c r="M15" i="5"/>
  <c r="G15" i="5" s="1"/>
  <c r="K12" i="16"/>
  <c r="I11" i="9"/>
  <c r="Q12" i="13"/>
  <c r="Q9" i="16"/>
  <c r="O8" i="9"/>
  <c r="W9" i="13"/>
  <c r="R9" i="16"/>
  <c r="P8" i="9"/>
  <c r="X9" i="13"/>
  <c r="T12" i="16"/>
  <c r="R11" i="9"/>
  <c r="Z12" i="13"/>
  <c r="Q15" i="16"/>
  <c r="O14" i="9"/>
  <c r="W15" i="13"/>
  <c r="U10" i="4"/>
  <c r="J10" i="4" s="1"/>
  <c r="O9" i="16"/>
  <c r="M8" i="9"/>
  <c r="U9" i="13"/>
  <c r="I12" i="16"/>
  <c r="M10" i="7" l="1"/>
  <c r="G10" i="7" s="1"/>
  <c r="I12" i="13"/>
  <c r="L11" i="3"/>
  <c r="P12" i="16" s="1"/>
  <c r="U11" i="5"/>
  <c r="J11" i="5" s="1"/>
  <c r="M11" i="5" s="1"/>
  <c r="G11" i="5" s="1"/>
  <c r="U14" i="2"/>
  <c r="J14" i="2" s="1"/>
  <c r="N30" i="2" s="1"/>
  <c r="L15" i="7"/>
  <c r="S16" i="16" s="1"/>
  <c r="U9" i="2"/>
  <c r="J9" i="2" s="1"/>
  <c r="M9" i="2" s="1"/>
  <c r="G9" i="2" s="1"/>
  <c r="C9" i="9" s="1"/>
  <c r="O12" i="13"/>
  <c r="O16" i="16"/>
  <c r="V11" i="13"/>
  <c r="N10" i="9"/>
  <c r="U16" i="13"/>
  <c r="L11" i="7"/>
  <c r="Q11" i="9" s="1"/>
  <c r="I13" i="9"/>
  <c r="K14" i="16"/>
  <c r="L13" i="8"/>
  <c r="T14" i="16" s="1"/>
  <c r="G16" i="13"/>
  <c r="Q15" i="9"/>
  <c r="D15" i="9"/>
  <c r="Y16" i="13"/>
  <c r="U13" i="2"/>
  <c r="J13" i="2" s="1"/>
  <c r="M13" i="2" s="1"/>
  <c r="G13" i="2" s="1"/>
  <c r="R14" i="9"/>
  <c r="T15" i="16"/>
  <c r="U12" i="6"/>
  <c r="J12" i="6" s="1"/>
  <c r="M12" i="6" s="1"/>
  <c r="G12" i="6" s="1"/>
  <c r="T10" i="16"/>
  <c r="K15" i="16"/>
  <c r="Q15" i="13"/>
  <c r="I14" i="9"/>
  <c r="N13" i="9"/>
  <c r="G13" i="16"/>
  <c r="P14" i="16"/>
  <c r="U15" i="6"/>
  <c r="J15" i="6" s="1"/>
  <c r="M15" i="6" s="1"/>
  <c r="G15" i="6" s="1"/>
  <c r="G15" i="9" s="1"/>
  <c r="E10" i="9"/>
  <c r="O13" i="16"/>
  <c r="U15" i="2"/>
  <c r="J15" i="2" s="1"/>
  <c r="L15" i="2" s="1"/>
  <c r="D12" i="9"/>
  <c r="U12" i="2"/>
  <c r="J12" i="2" s="1"/>
  <c r="L12" i="2" s="1"/>
  <c r="L12" i="9" s="1"/>
  <c r="I11" i="13"/>
  <c r="L9" i="6"/>
  <c r="X10" i="13" s="1"/>
  <c r="I16" i="16"/>
  <c r="Q11" i="13"/>
  <c r="Q14" i="13"/>
  <c r="U9" i="5"/>
  <c r="J9" i="5" s="1"/>
  <c r="M9" i="5" s="1"/>
  <c r="G9" i="5" s="1"/>
  <c r="K10" i="13" s="1"/>
  <c r="V15" i="13"/>
  <c r="U10" i="2"/>
  <c r="J10" i="2" s="1"/>
  <c r="L10" i="2" s="1"/>
  <c r="R9" i="9"/>
  <c r="I16" i="13"/>
  <c r="P15" i="16"/>
  <c r="H15" i="9"/>
  <c r="U13" i="13"/>
  <c r="I10" i="9"/>
  <c r="I15" i="16"/>
  <c r="E14" i="9"/>
  <c r="Q13" i="9"/>
  <c r="Y14" i="13"/>
  <c r="S14" i="16"/>
  <c r="M14" i="6"/>
  <c r="G14" i="6" s="1"/>
  <c r="G14" i="9" s="1"/>
  <c r="O15" i="13"/>
  <c r="H14" i="9"/>
  <c r="S15" i="16"/>
  <c r="Y15" i="13"/>
  <c r="Q14" i="9"/>
  <c r="M8" i="8"/>
  <c r="G8" i="8" s="1"/>
  <c r="L8" i="8"/>
  <c r="M13" i="4"/>
  <c r="G13" i="4" s="1"/>
  <c r="D13" i="9" s="1"/>
  <c r="N30" i="6"/>
  <c r="L14" i="4"/>
  <c r="O15" i="16" s="1"/>
  <c r="N30" i="4"/>
  <c r="L13" i="6"/>
  <c r="X14" i="13" s="1"/>
  <c r="U11" i="2"/>
  <c r="J11" i="2" s="1"/>
  <c r="M11" i="2" s="1"/>
  <c r="G11" i="2" s="1"/>
  <c r="E12" i="16" s="1"/>
  <c r="V12" i="13"/>
  <c r="L10" i="6"/>
  <c r="X11" i="13" s="1"/>
  <c r="M9" i="6"/>
  <c r="G9" i="6" s="1"/>
  <c r="G9" i="9" s="1"/>
  <c r="L11" i="4"/>
  <c r="M11" i="4"/>
  <c r="G11" i="4" s="1"/>
  <c r="G15" i="16"/>
  <c r="G15" i="13"/>
  <c r="D14" i="9"/>
  <c r="H10" i="9"/>
  <c r="O11" i="13"/>
  <c r="Q16" i="16"/>
  <c r="W16" i="13"/>
  <c r="O15" i="9"/>
  <c r="L15" i="8"/>
  <c r="M15" i="8"/>
  <c r="G15" i="8" s="1"/>
  <c r="L11" i="5"/>
  <c r="I10" i="13"/>
  <c r="I10" i="16"/>
  <c r="E9" i="9"/>
  <c r="S11" i="16"/>
  <c r="Y11" i="13"/>
  <c r="Q10" i="9"/>
  <c r="O13" i="13"/>
  <c r="H12" i="9"/>
  <c r="O14" i="16"/>
  <c r="U14" i="13"/>
  <c r="M13" i="9"/>
  <c r="L12" i="8"/>
  <c r="M12" i="8"/>
  <c r="G12" i="8" s="1"/>
  <c r="S10" i="16"/>
  <c r="Q9" i="9"/>
  <c r="Y10" i="13"/>
  <c r="S13" i="16"/>
  <c r="Y13" i="13"/>
  <c r="Q12" i="9"/>
  <c r="M11" i="6"/>
  <c r="G11" i="6" s="1"/>
  <c r="L11" i="6"/>
  <c r="Q13" i="16"/>
  <c r="W13" i="13"/>
  <c r="O12" i="9"/>
  <c r="O10" i="13"/>
  <c r="H9" i="9"/>
  <c r="M9" i="4"/>
  <c r="G9" i="4" s="1"/>
  <c r="L9" i="4"/>
  <c r="L10" i="5"/>
  <c r="M10" i="5"/>
  <c r="G10" i="5" s="1"/>
  <c r="M10" i="4"/>
  <c r="G10" i="4" s="1"/>
  <c r="L10" i="4"/>
  <c r="G13" i="9"/>
  <c r="M14" i="13"/>
  <c r="R15" i="16"/>
  <c r="P14" i="9"/>
  <c r="X15" i="13"/>
  <c r="F15" i="9"/>
  <c r="K16" i="13"/>
  <c r="F12" i="9"/>
  <c r="K13" i="13"/>
  <c r="P10" i="16"/>
  <c r="V10" i="13"/>
  <c r="N9" i="9"/>
  <c r="M11" i="13"/>
  <c r="G10" i="9"/>
  <c r="N11" i="9" l="1"/>
  <c r="L12" i="6"/>
  <c r="R13" i="16" s="1"/>
  <c r="M14" i="2"/>
  <c r="G14" i="2" s="1"/>
  <c r="C14" i="9" s="1"/>
  <c r="L14" i="2"/>
  <c r="N15" i="16" s="1"/>
  <c r="L9" i="2"/>
  <c r="T10" i="13" s="1"/>
  <c r="L13" i="2"/>
  <c r="T14" i="13" s="1"/>
  <c r="M16" i="13"/>
  <c r="S12" i="16"/>
  <c r="Y12" i="13"/>
  <c r="R11" i="16"/>
  <c r="M15" i="2"/>
  <c r="G15" i="2" s="1"/>
  <c r="E16" i="13" s="1"/>
  <c r="R13" i="9"/>
  <c r="Z14" i="13"/>
  <c r="P9" i="9"/>
  <c r="E14" i="13"/>
  <c r="E14" i="16"/>
  <c r="F9" i="9"/>
  <c r="L9" i="5"/>
  <c r="W10" i="13" s="1"/>
  <c r="C13" i="9"/>
  <c r="L14" i="9"/>
  <c r="R10" i="16"/>
  <c r="L15" i="6"/>
  <c r="R16" i="16" s="1"/>
  <c r="N13" i="16"/>
  <c r="T13" i="13"/>
  <c r="M12" i="2"/>
  <c r="G12" i="2" s="1"/>
  <c r="M10" i="2"/>
  <c r="G10" i="2" s="1"/>
  <c r="E11" i="16" s="1"/>
  <c r="L10" i="9"/>
  <c r="N11" i="16"/>
  <c r="T11" i="13"/>
  <c r="R14" i="16"/>
  <c r="M15" i="13"/>
  <c r="P13" i="9"/>
  <c r="C11" i="9"/>
  <c r="E10" i="13"/>
  <c r="G14" i="16"/>
  <c r="U15" i="13"/>
  <c r="E10" i="16"/>
  <c r="R8" i="9"/>
  <c r="T9" i="16"/>
  <c r="Z9" i="13"/>
  <c r="K9" i="16"/>
  <c r="I8" i="9"/>
  <c r="Q9" i="13"/>
  <c r="P10" i="9"/>
  <c r="G14" i="13"/>
  <c r="M14" i="9"/>
  <c r="E12" i="13"/>
  <c r="L11" i="2"/>
  <c r="N12" i="16" s="1"/>
  <c r="N10" i="16"/>
  <c r="M10" i="13"/>
  <c r="G11" i="16"/>
  <c r="G11" i="13"/>
  <c r="D10" i="9"/>
  <c r="Q11" i="16"/>
  <c r="O10" i="9"/>
  <c r="W11" i="13"/>
  <c r="R12" i="16"/>
  <c r="X12" i="13"/>
  <c r="P11" i="9"/>
  <c r="O10" i="16"/>
  <c r="U10" i="13"/>
  <c r="M9" i="9"/>
  <c r="G11" i="9"/>
  <c r="M12" i="13"/>
  <c r="K13" i="16"/>
  <c r="Q13" i="13"/>
  <c r="I12" i="9"/>
  <c r="K16" i="16"/>
  <c r="I15" i="9"/>
  <c r="Q16" i="13"/>
  <c r="G10" i="16"/>
  <c r="G10" i="13"/>
  <c r="D9" i="9"/>
  <c r="T13" i="16"/>
  <c r="Z13" i="13"/>
  <c r="R12" i="9"/>
  <c r="T16" i="16"/>
  <c r="Z16" i="13"/>
  <c r="R15" i="9"/>
  <c r="G12" i="13"/>
  <c r="G12" i="16"/>
  <c r="D11" i="9"/>
  <c r="O11" i="16"/>
  <c r="M10" i="9"/>
  <c r="U11" i="13"/>
  <c r="F10" i="9"/>
  <c r="K11" i="13"/>
  <c r="Q12" i="16"/>
  <c r="W12" i="13"/>
  <c r="O11" i="9"/>
  <c r="O12" i="16"/>
  <c r="M11" i="9"/>
  <c r="U12" i="13"/>
  <c r="M13" i="13"/>
  <c r="G12" i="9"/>
  <c r="N16" i="16"/>
  <c r="T16" i="13"/>
  <c r="L15" i="9"/>
  <c r="F11" i="9"/>
  <c r="K12" i="13"/>
  <c r="T15" i="13" l="1"/>
  <c r="P12" i="9"/>
  <c r="X13" i="13"/>
  <c r="E15" i="13"/>
  <c r="E15" i="16"/>
  <c r="E16" i="16"/>
  <c r="L9" i="9"/>
  <c r="N14" i="16"/>
  <c r="L13" i="9"/>
  <c r="C15" i="9"/>
  <c r="Q10" i="16"/>
  <c r="O9" i="9"/>
  <c r="X16" i="13"/>
  <c r="C10" i="9"/>
  <c r="P15" i="9"/>
  <c r="C12" i="9"/>
  <c r="E13" i="16"/>
  <c r="E13" i="13"/>
  <c r="E11" i="13"/>
  <c r="L11" i="9"/>
  <c r="T12" i="13"/>
</calcChain>
</file>

<file path=xl/sharedStrings.xml><?xml version="1.0" encoding="utf-8"?>
<sst xmlns="http://schemas.openxmlformats.org/spreadsheetml/2006/main" count="661" uniqueCount="145">
  <si>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</si>
  <si>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</si>
  <si>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</si>
  <si>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</si>
  <si>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</si>
  <si>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</si>
  <si>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</si>
  <si>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</si>
  <si>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</si>
  <si>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</si>
  <si>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</si>
  <si>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</si>
  <si>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</si>
  <si>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</si>
  <si>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</si>
  <si>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</si>
  <si>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</si>
  <si>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</si>
  <si>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</si>
  <si>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</si>
  <si>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</si>
  <si>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</si>
  <si>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</si>
  <si>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</si>
  <si>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</si>
  <si>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</si>
  <si>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</si>
  <si>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</si>
  <si>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</si>
  <si>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</si>
  <si>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</si>
  <si>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</si>
  <si>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</si>
  <si>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</si>
  <si>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</si>
  <si>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</si>
  <si>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</si>
  <si>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</si>
  <si>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</si>
  <si>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</si>
  <si>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</si>
  <si>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</si>
  <si>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</si>
  <si>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</si>
  <si>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</si>
  <si>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</si>
  <si>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</si>
  <si>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</si>
  <si>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</si>
  <si>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</si>
  <si>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</si>
  <si>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release 10/17/05</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</si>
  <si>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</si>
  <si>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</si>
  <si>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</si>
  <si>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</si>
  <si>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</si>
  <si>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</si>
  <si>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</si>
  <si>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</si>
  <si>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</si>
  <si>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</si>
  <si>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</si>
  <si>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</si>
  <si>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</si>
  <si>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</si>
  <si>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</si>
  <si>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</si>
  <si>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</si>
  <si>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</si>
  <si>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</si>
  <si>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</si>
  <si>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</si>
  <si>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</si>
  <si>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</si>
  <si>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</si>
  <si>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</si>
  <si>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</si>
  <si>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</si>
  <si>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</si>
  <si>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</si>
  <si>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</si>
  <si>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</si>
  <si>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</si>
  <si>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</si>
  <si>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</si>
  <si>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</si>
  <si>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</si>
  <si>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</si>
  <si>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</si>
  <si>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</si>
  <si>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</si>
  <si>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</si>
  <si>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release 10/3/05</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</si>
  <si>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</si>
  <si>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</si>
  <si>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</si>
  <si>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</si>
  <si>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</si>
  <si>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</si>
  <si>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</si>
  <si>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</si>
  <si>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</si>
  <si>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</si>
  <si>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</si>
  <si>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</si>
  <si>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</si>
  <si>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</si>
  <si>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</si>
  <si>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</si>
  <si>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</si>
  <si>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</si>
  <si>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</si>
  <si>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</si>
  <si>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</si>
  <si>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</si>
  <si>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</si>
  <si>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</si>
  <si>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</si>
  <si>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</si>
  <si>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</si>
  <si>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</si>
  <si>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</si>
  <si>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</si>
  <si>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</si>
  <si>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</si>
  <si>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</si>
  <si>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</si>
  <si>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</si>
  <si>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</si>
  <si>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</si>
  <si>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</si>
  <si>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</si>
  <si>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</si>
  <si>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</si>
  <si>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</si>
  <si>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</si>
  <si>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</si>
  <si>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All Reporting Counties</t>
  </si>
  <si>
    <t>Note: The non-reporting counties for 2012 (for decision points 3-10) were Clinton, Emmet, Antrim, Lake, Tuscola, Berrien, Branch, Delta, Ingham, Kalamazoo, Kent, Macomb, Oakland, Ottawa, and Wayne.</t>
  </si>
  <si>
    <t>Item 2.Arrest: Michigan State Police</t>
  </si>
  <si>
    <t>2. Juvenile Arrests</t>
  </si>
  <si>
    <t xml:space="preserve">1. Population at Risk (age 10-17) </t>
  </si>
  <si>
    <t>10/1/21 through 9/30/22</t>
  </si>
  <si>
    <t>Item 1. Population: U.S. Census estimate (from C. Puzzanchera, A. Sladky, and W. Kang, " &amp; """Easy Access to Juvenile Populations: 1990-2020,""" &amp; "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</si>
</sst>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6">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3">
    <xf numFmtId="0" fontId="0" fillId="0" borderId="0"/>
    <xf numFmtId="0" fontId="16" fillId="4" borderId="0" applyNumberFormat="0" applyBorder="0" applyAlignment="0" applyProtection="0"/>
    <xf numFmtId="0" fontId="1" fillId="5" borderId="0" applyNumberFormat="0" applyBorder="0" applyAlignment="0" applyProtection="0"/>
  </cellStyleXfs>
  <cellXfs count="218">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30" fillId="0" borderId="1" xfId="0" applyNumberFormat="1" applyFont="1" applyBorder="1" applyAlignment="1">
      <alignment vertical="top" wrapText="1"/>
    </xf>
    <xf numFmtId="3" fontId="5" fillId="0" borderId="2" xfId="0" applyNumberFormat="1" applyFont="1" applyBorder="1" applyAlignment="1">
      <alignment horizontal="right" vertical="center"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2" fillId="0" borderId="0" xfId="0" applyNumberFormat="1" applyFont="1" applyAlignment="1">
      <alignment wrapText="1"/>
    </xf>
    <xf numFmtId="0" fontId="0" fillId="0" borderId="0" xfId="0"/>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cellXfs>
  <cellStyles count="3">
    <cellStyle name="40% - Accent1" xfId="2" builtinId="31"/>
    <cellStyle name="Accent1" xfId="1" builtinId="29"/>
    <cellStyle name="Normal" xfId="0" builtinId="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All Reporting Counties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N=46</c:v>
                </c:pt>
                <c:pt idx="1">
                  <c:v>Confinement, total N=948</c:v>
                </c:pt>
                <c:pt idx="2">
                  <c:v>Delinquent Findings, total N=4474</c:v>
                </c:pt>
                <c:pt idx="3">
                  <c:v>Petitions, total N=7848</c:v>
                </c:pt>
                <c:pt idx="4">
                  <c:v>Detentions, total N=2720</c:v>
                </c:pt>
                <c:pt idx="5">
                  <c:v>Referrals, total N=13353</c:v>
                </c:pt>
                <c:pt idx="6">
                  <c:v>Arrests, total N=8547</c:v>
                </c:pt>
                <c:pt idx="7">
                  <c:v>Population, total N=982665</c:v>
                </c:pt>
              </c:strCache>
            </c:strRef>
          </c:cat>
          <c:val>
            <c:numRef>
              <c:f>'Stacked 100%'!$B$7:$B$14</c:f>
              <c:numCache>
                <c:formatCode>0%</c:formatCode>
                <c:ptCount val="8"/>
                <c:pt idx="0">
                  <c:v>0.52173913043478259</c:v>
                </c:pt>
                <c:pt idx="1">
                  <c:v>0.25210970464135019</c:v>
                </c:pt>
                <c:pt idx="2">
                  <c:v>0.33929369691551187</c:v>
                </c:pt>
                <c:pt idx="3">
                  <c:v>0.38583078491335371</c:v>
                </c:pt>
                <c:pt idx="4">
                  <c:v>0.52683823529411766</c:v>
                </c:pt>
                <c:pt idx="5">
                  <c:v>0.33805137422302106</c:v>
                </c:pt>
                <c:pt idx="6">
                  <c:v>0.41090441090441088</c:v>
                </c:pt>
                <c:pt idx="7">
                  <c:v>0.17197010171319829</c:v>
                </c:pt>
              </c:numCache>
            </c:numRef>
          </c:val>
          <c:extLst>
            <c:ext xmlns:c16="http://schemas.microsoft.com/office/drawing/2014/chart" uri="{C3380CC4-5D6E-409C-BE32-E72D297353CC}">
              <c16:uniqueId val="{00000000-FA19-4927-880B-8FC4A6B96E0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N=46</c:v>
                </c:pt>
                <c:pt idx="1">
                  <c:v>Confinement, total N=948</c:v>
                </c:pt>
                <c:pt idx="2">
                  <c:v>Delinquent Findings, total N=4474</c:v>
                </c:pt>
                <c:pt idx="3">
                  <c:v>Petitions, total N=7848</c:v>
                </c:pt>
                <c:pt idx="4">
                  <c:v>Detentions, total N=2720</c:v>
                </c:pt>
                <c:pt idx="5">
                  <c:v>Referrals, total N=13353</c:v>
                </c:pt>
                <c:pt idx="6">
                  <c:v>Arrests, total N=8547</c:v>
                </c:pt>
                <c:pt idx="7">
                  <c:v>Population, total N=982665</c:v>
                </c:pt>
              </c:strCache>
            </c:strRef>
          </c:cat>
          <c:val>
            <c:numRef>
              <c:f>'Stacked 100%'!$C$7:$C$14</c:f>
              <c:numCache>
                <c:formatCode>0%</c:formatCode>
                <c:ptCount val="8"/>
                <c:pt idx="0">
                  <c:v>2.1739130434782608E-2</c:v>
                </c:pt>
                <c:pt idx="1">
                  <c:v>1.2658227848101266E-2</c:v>
                </c:pt>
                <c:pt idx="2">
                  <c:v>2.9727313366115334E-2</c:v>
                </c:pt>
                <c:pt idx="3">
                  <c:v>2.3318042813455658E-2</c:v>
                </c:pt>
                <c:pt idx="4">
                  <c:v>4.1544117647058822E-2</c:v>
                </c:pt>
                <c:pt idx="5">
                  <c:v>2.4264210289822511E-2</c:v>
                </c:pt>
                <c:pt idx="6">
                  <c:v>2.2113022113022112E-2</c:v>
                </c:pt>
                <c:pt idx="7">
                  <c:v>8.766975520650476E-2</c:v>
                </c:pt>
              </c:numCache>
            </c:numRef>
          </c:val>
          <c:extLst>
            <c:ext xmlns:c16="http://schemas.microsoft.com/office/drawing/2014/chart" uri="{C3380CC4-5D6E-409C-BE32-E72D297353CC}">
              <c16:uniqueId val="{00000001-FA19-4927-880B-8FC4A6B96E0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N=46</c:v>
                </c:pt>
                <c:pt idx="1">
                  <c:v>Confinement, total N=948</c:v>
                </c:pt>
                <c:pt idx="2">
                  <c:v>Delinquent Findings, total N=4474</c:v>
                </c:pt>
                <c:pt idx="3">
                  <c:v>Petitions, total N=7848</c:v>
                </c:pt>
                <c:pt idx="4">
                  <c:v>Detentions, total N=2720</c:v>
                </c:pt>
                <c:pt idx="5">
                  <c:v>Referrals, total N=13353</c:v>
                </c:pt>
                <c:pt idx="6">
                  <c:v>Arrests, total N=8547</c:v>
                </c:pt>
                <c:pt idx="7">
                  <c:v>Population, total N=982665</c:v>
                </c:pt>
              </c:strCache>
            </c:strRef>
          </c:cat>
          <c:val>
            <c:numRef>
              <c:f>'Stacked 100%'!$H$7:$H$14</c:f>
              <c:numCache>
                <c:formatCode>0%</c:formatCode>
                <c:ptCount val="8"/>
                <c:pt idx="0">
                  <c:v>0</c:v>
                </c:pt>
                <c:pt idx="1">
                  <c:v>5.3410244084815468E-5</c:v>
                </c:pt>
                <c:pt idx="2">
                  <c:v>1.2989169630362205E-5</c:v>
                </c:pt>
                <c:pt idx="3">
                  <c:v>6.7866943901508895E-6</c:v>
                </c:pt>
                <c:pt idx="4">
                  <c:v>2.7438365051903115E-5</c:v>
                </c:pt>
                <c:pt idx="5">
                  <c:v>3.8530002665300318E-6</c:v>
                </c:pt>
                <c:pt idx="6">
                  <c:v>1.3415246830480247E-6</c:v>
                </c:pt>
                <c:pt idx="7">
                  <c:v>4.8070146803610617E-8</c:v>
                </c:pt>
              </c:numCache>
            </c:numRef>
          </c:val>
          <c:extLst>
            <c:ext xmlns:c16="http://schemas.microsoft.com/office/drawing/2014/chart" uri="{C3380CC4-5D6E-409C-BE32-E72D297353CC}">
              <c16:uniqueId val="{00000002-FA19-4927-880B-8FC4A6B96E0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N=46</c:v>
                </c:pt>
                <c:pt idx="1">
                  <c:v>Confinement, total N=948</c:v>
                </c:pt>
                <c:pt idx="2">
                  <c:v>Delinquent Findings, total N=4474</c:v>
                </c:pt>
                <c:pt idx="3">
                  <c:v>Petitions, total N=7848</c:v>
                </c:pt>
                <c:pt idx="4">
                  <c:v>Detentions, total N=2720</c:v>
                </c:pt>
                <c:pt idx="5">
                  <c:v>Referrals, total N=13353</c:v>
                </c:pt>
                <c:pt idx="6">
                  <c:v>Arrests, total N=8547</c:v>
                </c:pt>
                <c:pt idx="7">
                  <c:v>Population, total N=982665</c:v>
                </c:pt>
              </c:strCache>
            </c:strRef>
          </c:cat>
          <c:val>
            <c:numRef>
              <c:f>'Stacked 100%'!$I$7:$I$14</c:f>
              <c:numCache>
                <c:formatCode>0%</c:formatCode>
                <c:ptCount val="8"/>
                <c:pt idx="0">
                  <c:v>0.30434782608695654</c:v>
                </c:pt>
                <c:pt idx="1">
                  <c:v>0.55063291139240511</c:v>
                </c:pt>
                <c:pt idx="2">
                  <c:v>0.43562807331247205</c:v>
                </c:pt>
                <c:pt idx="3">
                  <c:v>0.42456676860346587</c:v>
                </c:pt>
                <c:pt idx="4">
                  <c:v>0.27169117647058821</c:v>
                </c:pt>
                <c:pt idx="5">
                  <c:v>0.47105519358945558</c:v>
                </c:pt>
                <c:pt idx="6">
                  <c:v>0.50848250848250853</c:v>
                </c:pt>
                <c:pt idx="7">
                  <c:v>0.69312329227152691</c:v>
                </c:pt>
              </c:numCache>
            </c:numRef>
          </c:val>
          <c:extLst>
            <c:ext xmlns:c16="http://schemas.microsoft.com/office/drawing/2014/chart" uri="{C3380CC4-5D6E-409C-BE32-E72D297353CC}">
              <c16:uniqueId val="{00000003-FA19-4927-880B-8FC4A6B96E0C}"/>
            </c:ext>
          </c:extLst>
        </c:ser>
        <c:dLbls>
          <c:showLegendKey val="0"/>
          <c:showVal val="0"/>
          <c:showCatName val="0"/>
          <c:showSerName val="0"/>
          <c:showPercent val="0"/>
          <c:showBubbleSize val="0"/>
        </c:dLbls>
        <c:gapWidth val="150"/>
        <c:overlap val="100"/>
        <c:axId val="126325504"/>
        <c:axId val="1263270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N=46</c:v>
                </c:pt>
                <c:pt idx="1">
                  <c:v>Confinement, total N=948</c:v>
                </c:pt>
                <c:pt idx="2">
                  <c:v>Delinquent Findings, total N=4474</c:v>
                </c:pt>
                <c:pt idx="3">
                  <c:v>Petitions, total N=7848</c:v>
                </c:pt>
                <c:pt idx="4">
                  <c:v>Detentions, total N=2720</c:v>
                </c:pt>
                <c:pt idx="5">
                  <c:v>Referrals, total N=13353</c:v>
                </c:pt>
                <c:pt idx="6">
                  <c:v>Arrests, total N=8547</c:v>
                </c:pt>
                <c:pt idx="7">
                  <c:v>Population, total N=982665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19-4927-880B-8FC4A6B96E0C}"/>
            </c:ext>
          </c:extLst>
        </c:ser>
        <c:dLbls>
          <c:showLegendKey val="0"/>
          <c:showVal val="0"/>
          <c:showCatName val="0"/>
          <c:showSerName val="0"/>
          <c:showPercent val="0"/>
          <c:showBubbleSize val="0"/>
        </c:dLbls>
        <c:gapWidth val="150"/>
        <c:overlap val="100"/>
        <c:axId val="126330368"/>
        <c:axId val="126328832"/>
      </c:barChart>
      <c:catAx>
        <c:axId val="126325504"/>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26327040"/>
        <c:crosses val="autoZero"/>
        <c:auto val="1"/>
        <c:lblAlgn val="ctr"/>
        <c:lblOffset val="100"/>
        <c:noMultiLvlLbl val="0"/>
      </c:catAx>
      <c:valAx>
        <c:axId val="1263270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26325504"/>
        <c:crosses val="autoZero"/>
        <c:crossBetween val="between"/>
      </c:valAx>
      <c:valAx>
        <c:axId val="126328832"/>
        <c:scaling>
          <c:orientation val="minMax"/>
        </c:scaling>
        <c:delete val="1"/>
        <c:axPos val="t"/>
        <c:numFmt formatCode="0%" sourceLinked="1"/>
        <c:majorTickMark val="out"/>
        <c:minorTickMark val="none"/>
        <c:tickLblPos val="nextTo"/>
        <c:crossAx val="126330368"/>
        <c:crosses val="max"/>
        <c:crossBetween val="between"/>
      </c:valAx>
      <c:catAx>
        <c:axId val="126330368"/>
        <c:scaling>
          <c:orientation val="minMax"/>
        </c:scaling>
        <c:delete val="1"/>
        <c:axPos val="l"/>
        <c:numFmt formatCode="General" sourceLinked="1"/>
        <c:majorTickMark val="out"/>
        <c:minorTickMark val="none"/>
        <c:tickLblPos val="nextTo"/>
        <c:crossAx val="1263288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G9" sqref="G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124</v>
      </c>
      <c r="B2" s="4"/>
      <c r="C2" s="4"/>
      <c r="D2" s="4"/>
      <c r="E2" s="4"/>
      <c r="F2" s="4"/>
    </row>
    <row r="3" spans="1:11" ht="15" customHeight="1">
      <c r="A3" s="134" t="s">
        <v>138</v>
      </c>
      <c r="B3" s="4"/>
      <c r="C3" s="5" t="s">
        <v>109</v>
      </c>
      <c r="D3" s="6"/>
      <c r="E3" s="6"/>
      <c r="F3" s="6"/>
      <c r="G3" s="7"/>
      <c r="H3" s="7"/>
    </row>
    <row r="4" spans="1:11" ht="15" customHeight="1">
      <c r="A4" s="4"/>
      <c r="B4" s="4"/>
      <c r="C4" s="171" t="s">
        <v>143</v>
      </c>
      <c r="D4" s="171"/>
      <c r="E4" s="171"/>
      <c r="F4" s="171"/>
      <c r="G4" s="8"/>
    </row>
    <row r="5" spans="1:11" ht="65.25" customHeight="1" thickBot="1">
      <c r="A5" s="8"/>
      <c r="B5" s="9" t="s">
        <v>2</v>
      </c>
      <c r="C5" s="9" t="s">
        <v>3</v>
      </c>
      <c r="D5" s="9" t="s">
        <v>134</v>
      </c>
      <c r="E5" s="9" t="s">
        <v>4</v>
      </c>
      <c r="F5" s="9" t="s">
        <v>5</v>
      </c>
      <c r="G5" s="9" t="s">
        <v>137</v>
      </c>
      <c r="H5" s="9" t="s">
        <v>6</v>
      </c>
      <c r="I5" s="9" t="s">
        <v>126</v>
      </c>
      <c r="J5" s="9" t="s">
        <v>7</v>
      </c>
      <c r="K5" s="9" t="s">
        <v>118</v>
      </c>
    </row>
    <row r="6" spans="1:11" ht="15.75" customHeight="1" thickBot="1">
      <c r="A6" s="10" t="s">
        <v>142</v>
      </c>
      <c r="B6" s="11">
        <v>982665</v>
      </c>
      <c r="C6" s="11">
        <v>681108</v>
      </c>
      <c r="D6" s="11">
        <v>168989</v>
      </c>
      <c r="E6" s="11">
        <v>86150</v>
      </c>
      <c r="F6" s="11">
        <v>38549</v>
      </c>
      <c r="G6" s="11">
        <v>0</v>
      </c>
      <c r="H6" s="11">
        <v>7869</v>
      </c>
      <c r="I6" s="11">
        <v>0</v>
      </c>
      <c r="J6" s="168">
        <v>301557</v>
      </c>
      <c r="K6" s="11">
        <v>0</v>
      </c>
    </row>
    <row r="7" spans="1:11" ht="15.75" customHeight="1" thickBot="1">
      <c r="A7" s="167" t="s">
        <v>141</v>
      </c>
      <c r="B7" s="11">
        <v>8547</v>
      </c>
      <c r="C7" s="11">
        <v>4346</v>
      </c>
      <c r="D7" s="11">
        <v>3512</v>
      </c>
      <c r="E7" s="11">
        <v>189</v>
      </c>
      <c r="F7" s="11">
        <v>29</v>
      </c>
      <c r="G7" s="11">
        <v>2</v>
      </c>
      <c r="H7" s="11">
        <v>67</v>
      </c>
      <c r="I7" s="11">
        <v>0</v>
      </c>
      <c r="J7" s="168">
        <v>3799</v>
      </c>
      <c r="K7" s="11">
        <v>402</v>
      </c>
    </row>
    <row r="8" spans="1:11" ht="15.75" customHeight="1" thickBot="1">
      <c r="A8" s="10" t="s">
        <v>9</v>
      </c>
      <c r="B8" s="11">
        <v>13353</v>
      </c>
      <c r="C8" s="11">
        <v>6290</v>
      </c>
      <c r="D8" s="11">
        <v>4514</v>
      </c>
      <c r="E8" s="11">
        <v>324</v>
      </c>
      <c r="F8" s="11">
        <v>51</v>
      </c>
      <c r="G8" s="11">
        <v>2</v>
      </c>
      <c r="H8" s="11">
        <v>113</v>
      </c>
      <c r="I8" s="11">
        <v>521</v>
      </c>
      <c r="J8" s="168">
        <v>5525</v>
      </c>
      <c r="K8" s="11">
        <v>1538</v>
      </c>
    </row>
    <row r="9" spans="1:11" ht="15.75" customHeight="1" thickBot="1">
      <c r="A9" s="10" t="s">
        <v>10</v>
      </c>
      <c r="B9" s="11">
        <v>2938</v>
      </c>
      <c r="C9" s="11">
        <v>1473</v>
      </c>
      <c r="D9" s="11">
        <v>1023</v>
      </c>
      <c r="E9" s="11">
        <v>58</v>
      </c>
      <c r="F9" s="11">
        <v>9</v>
      </c>
      <c r="G9" s="11">
        <v>0</v>
      </c>
      <c r="H9" s="11">
        <v>11</v>
      </c>
      <c r="I9" s="11">
        <v>95</v>
      </c>
      <c r="J9" s="168">
        <v>1196</v>
      </c>
      <c r="K9" s="11">
        <v>269</v>
      </c>
    </row>
    <row r="10" spans="1:11" ht="15.75" customHeight="1" thickBot="1">
      <c r="A10" s="10" t="s">
        <v>11</v>
      </c>
      <c r="B10" s="11">
        <v>2720</v>
      </c>
      <c r="C10" s="11">
        <v>739</v>
      </c>
      <c r="D10" s="11">
        <v>1433</v>
      </c>
      <c r="E10" s="11">
        <v>113</v>
      </c>
      <c r="F10" s="11">
        <v>10</v>
      </c>
      <c r="G10" s="11">
        <v>0</v>
      </c>
      <c r="H10" s="11">
        <v>10</v>
      </c>
      <c r="I10" s="11">
        <v>183</v>
      </c>
      <c r="J10" s="168">
        <v>1749</v>
      </c>
      <c r="K10" s="11">
        <v>232</v>
      </c>
    </row>
    <row r="11" spans="1:11" ht="15.75" customHeight="1" thickBot="1">
      <c r="A11" s="10" t="s">
        <v>12</v>
      </c>
      <c r="B11" s="11">
        <v>7848</v>
      </c>
      <c r="C11" s="11">
        <v>3332</v>
      </c>
      <c r="D11" s="11">
        <v>3028</v>
      </c>
      <c r="E11" s="11">
        <v>183</v>
      </c>
      <c r="F11" s="11">
        <v>32</v>
      </c>
      <c r="G11" s="11">
        <v>0</v>
      </c>
      <c r="H11" s="11">
        <v>40</v>
      </c>
      <c r="I11" s="11">
        <v>346</v>
      </c>
      <c r="J11" s="168">
        <v>3629</v>
      </c>
      <c r="K11" s="11">
        <v>887</v>
      </c>
    </row>
    <row r="12" spans="1:11" ht="15.75" customHeight="1" thickBot="1">
      <c r="A12" s="10" t="s">
        <v>13</v>
      </c>
      <c r="B12" s="11">
        <v>4474</v>
      </c>
      <c r="C12" s="11">
        <v>1949</v>
      </c>
      <c r="D12" s="11">
        <v>1518</v>
      </c>
      <c r="E12" s="11">
        <v>133</v>
      </c>
      <c r="F12" s="11">
        <v>22</v>
      </c>
      <c r="G12" s="11">
        <v>0</v>
      </c>
      <c r="H12" s="11">
        <v>38</v>
      </c>
      <c r="I12" s="11">
        <v>200</v>
      </c>
      <c r="J12" s="168">
        <v>1911</v>
      </c>
      <c r="K12" s="11">
        <v>614</v>
      </c>
    </row>
    <row r="13" spans="1:11" ht="15.75" customHeight="1" thickBot="1">
      <c r="A13" s="10" t="s">
        <v>135</v>
      </c>
      <c r="B13" s="11">
        <v>3924</v>
      </c>
      <c r="C13" s="11">
        <v>1947</v>
      </c>
      <c r="D13" s="11">
        <v>1239</v>
      </c>
      <c r="E13" s="11">
        <v>122</v>
      </c>
      <c r="F13" s="11">
        <v>9</v>
      </c>
      <c r="G13" s="11">
        <v>3</v>
      </c>
      <c r="H13" s="11">
        <v>57</v>
      </c>
      <c r="I13" s="11">
        <v>171</v>
      </c>
      <c r="J13" s="168">
        <v>1601</v>
      </c>
      <c r="K13" s="11">
        <v>376</v>
      </c>
    </row>
    <row r="14" spans="1:11" ht="26.25" customHeight="1" thickBot="1">
      <c r="A14" s="10" t="s">
        <v>125</v>
      </c>
      <c r="B14" s="11">
        <v>948</v>
      </c>
      <c r="C14" s="11">
        <v>522</v>
      </c>
      <c r="D14" s="11">
        <v>239</v>
      </c>
      <c r="E14" s="11">
        <v>12</v>
      </c>
      <c r="F14" s="11">
        <v>1</v>
      </c>
      <c r="G14" s="11">
        <v>0</v>
      </c>
      <c r="H14" s="11">
        <v>7</v>
      </c>
      <c r="I14" s="11">
        <v>40</v>
      </c>
      <c r="J14" s="168">
        <v>299</v>
      </c>
      <c r="K14" s="11">
        <v>127</v>
      </c>
    </row>
    <row r="15" spans="1:11" ht="15.75" customHeight="1" thickBot="1">
      <c r="A15" s="10" t="s">
        <v>16</v>
      </c>
      <c r="B15" s="11">
        <v>46</v>
      </c>
      <c r="C15" s="11">
        <v>14</v>
      </c>
      <c r="D15" s="11">
        <v>24</v>
      </c>
      <c r="E15" s="11">
        <v>1</v>
      </c>
      <c r="F15" s="11">
        <v>0</v>
      </c>
      <c r="G15" s="11">
        <v>0</v>
      </c>
      <c r="H15" s="11">
        <v>0</v>
      </c>
      <c r="I15" s="11">
        <v>0</v>
      </c>
      <c r="J15" s="168">
        <v>25</v>
      </c>
      <c r="K15" s="11">
        <v>7</v>
      </c>
    </row>
    <row r="16" spans="1:11" s="14" customFormat="1" ht="15" customHeight="1">
      <c r="A16" s="12" t="s">
        <v>17</v>
      </c>
      <c r="B16" s="13" t="str">
        <f>IF((B6 &gt; ($B6/100)),"Yes","No")</f>
        <v>Yes</v>
      </c>
      <c r="C16" s="13" t="str">
        <f>IF((C6 &gt; ($B6/100)),"Yes","No")</f>
        <v>Yes</v>
      </c>
      <c r="D16" s="13" t="str">
        <f t="shared" ref="D16:J16" si="0">IF((D6 &gt; ($B6/100)),"Yes","No")</f>
        <v>Yes</v>
      </c>
      <c r="E16" s="13" t="str">
        <f t="shared" si="0"/>
        <v>Yes</v>
      </c>
      <c r="F16" s="13" t="str">
        <f t="shared" si="0"/>
        <v>Yes</v>
      </c>
      <c r="G16" s="13" t="str">
        <f t="shared" si="0"/>
        <v>No</v>
      </c>
      <c r="H16" s="13" t="str">
        <f t="shared" si="0"/>
        <v>No</v>
      </c>
      <c r="I16" s="13" t="str">
        <f t="shared" si="0"/>
        <v>No</v>
      </c>
      <c r="J16" s="13" t="str">
        <f t="shared" si="0"/>
        <v>Yes</v>
      </c>
    </row>
    <row r="17" spans="1:9" ht="15" customHeight="1">
      <c r="A17" s="15"/>
    </row>
    <row r="18" spans="1:9" ht="15" customHeight="1">
      <c r="A18" s="16" t="s">
        <v>18</v>
      </c>
      <c r="B18" s="16"/>
      <c r="C18" s="16"/>
      <c r="D18" s="16"/>
      <c r="E18" s="16"/>
      <c r="F18" s="16"/>
      <c r="G18" s="16"/>
    </row>
    <row r="19" spans="1:9" ht="15" customHeight="1">
      <c r="A19" s="169" t="s">
        <v>144</v>
      </c>
      <c r="B19" s="169"/>
      <c r="C19" s="8"/>
      <c r="D19" s="169" t="s">
        <v>140</v>
      </c>
      <c r="E19" s="169"/>
      <c r="F19" s="169"/>
      <c r="G19" s="169"/>
      <c r="H19" s="169"/>
      <c r="I19" s="169"/>
    </row>
    <row r="20" spans="1:9" ht="15" customHeight="1">
      <c r="A20" s="169" t="s">
        <v>110</v>
      </c>
      <c r="B20" s="169"/>
      <c r="C20" s="8"/>
      <c r="D20" s="169" t="s">
        <v>111</v>
      </c>
      <c r="E20" s="169"/>
      <c r="F20" s="169"/>
      <c r="G20" s="169"/>
      <c r="H20" s="169"/>
      <c r="I20" s="169"/>
    </row>
    <row r="21" spans="1:9" ht="15" customHeight="1">
      <c r="A21" s="169" t="s">
        <v>112</v>
      </c>
      <c r="B21" s="169"/>
      <c r="C21" s="8"/>
      <c r="D21" s="169" t="s">
        <v>113</v>
      </c>
      <c r="E21" s="169"/>
      <c r="F21" s="169"/>
      <c r="G21" s="169"/>
      <c r="H21" s="169"/>
      <c r="I21" s="169"/>
    </row>
    <row r="22" spans="1:9" ht="15" customHeight="1">
      <c r="A22" s="169" t="s">
        <v>114</v>
      </c>
      <c r="B22" s="169"/>
      <c r="C22" s="8"/>
      <c r="D22" s="169" t="s">
        <v>115</v>
      </c>
      <c r="E22" s="169"/>
      <c r="F22" s="169"/>
      <c r="G22" s="169"/>
      <c r="H22" s="169"/>
      <c r="I22" s="169"/>
    </row>
    <row r="23" spans="1:9" ht="15" customHeight="1">
      <c r="A23" s="169" t="s">
        <v>116</v>
      </c>
      <c r="B23" s="169"/>
      <c r="C23" s="8"/>
      <c r="D23" s="169" t="s">
        <v>117</v>
      </c>
      <c r="E23" s="169"/>
      <c r="F23" s="169"/>
      <c r="G23" s="169"/>
      <c r="H23" s="169"/>
      <c r="I23" s="169"/>
    </row>
    <row r="24" spans="1:9" ht="15" customHeight="1">
      <c r="A24" s="8"/>
      <c r="B24" s="8"/>
      <c r="C24" s="8"/>
      <c r="D24" s="8"/>
      <c r="E24" s="8"/>
      <c r="F24" s="8"/>
      <c r="G24" s="8"/>
      <c r="H24" s="8"/>
      <c r="I24" s="8"/>
    </row>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G11" sqref="G11"/>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4" t="str">
        <f>'Data Entry'!I5</f>
        <v>Biracial or Other</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681108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2. Juvenile Arrests</v>
      </c>
      <c r="C7" s="33">
        <f>'Data Entry'!C7</f>
        <v>4346</v>
      </c>
      <c r="D7" s="34">
        <f>IF((AND(C66&gt;0,C7&gt;0)),(C7/C66),0)</f>
        <v>6.3807795533160681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4346</v>
      </c>
      <c r="Q7" s="42">
        <f>C6-C7</f>
        <v>676762</v>
      </c>
      <c r="R7" s="42">
        <f t="shared" ref="R7:R15" si="5">SUM(N7:Q7)</f>
        <v>681108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6290</v>
      </c>
      <c r="D8" s="34">
        <f>IF((AND(C67&gt;0,C8&gt;0)),(C8/C67),0)</f>
        <v>144.73078693051082</v>
      </c>
      <c r="E8" s="33">
        <f>'Data Entry'!I8</f>
        <v>521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521</v>
      </c>
      <c r="O8" s="42">
        <f>((D67*L67)-E8)+0.05</f>
        <v>-520.95000000000005</v>
      </c>
      <c r="P8" s="42">
        <f t="shared" si="4"/>
        <v>6290</v>
      </c>
      <c r="Q8" s="42">
        <f>(C$67*L67)-C8</f>
        <v>-1944</v>
      </c>
      <c r="R8" s="42">
        <f t="shared" si="5"/>
        <v>4346.05</v>
      </c>
      <c r="S8" s="30">
        <f t="shared" si="6"/>
        <v>2.2275576683674604E+16</v>
      </c>
      <c r="T8" s="30">
        <f t="shared" si="7"/>
        <v>-3648200687.9816813</v>
      </c>
      <c r="U8" s="31">
        <f t="shared" si="8"/>
        <v>-6105907.7032295261</v>
      </c>
    </row>
    <row r="9" spans="2:21" ht="18" customHeight="1">
      <c r="B9" s="32" t="str">
        <f>'Data Entry'!A9</f>
        <v xml:space="preserve">4. Cases Diverted </v>
      </c>
      <c r="C9" s="33">
        <f>'Data Entry'!C9</f>
        <v>1473</v>
      </c>
      <c r="D9" s="34">
        <f>IF((AND(C68&gt;0,C9&gt;0)),((C9/C68)),0)</f>
        <v>23.418124006359299</v>
      </c>
      <c r="E9" s="33">
        <f>'Data Entry'!I9</f>
        <v>95</v>
      </c>
      <c r="F9" s="34">
        <f>IF((AND($E$9&gt;0,$D$68&gt;0)),(($E$9/$D$68)),0)</f>
        <v>18.234165067178502</v>
      </c>
      <c r="G9" s="39" t="str">
        <f t="shared" si="0"/>
        <v>*</v>
      </c>
      <c r="H9" s="40"/>
      <c r="I9" s="41"/>
      <c r="J9" s="40">
        <f>IF((ABS($U9)&gt;Defaults!D$7),1,2)</f>
        <v>1</v>
      </c>
      <c r="K9" s="39">
        <f>IF((AND(N9&gt;Defaults!B$12,(N9+O9)&gt;Defaults!B$13, P9 &gt; Defaults!B$12, (P9+Q9) &gt; Defaults!B$13)),1,20)</f>
        <v>1</v>
      </c>
      <c r="L9" s="1">
        <f t="shared" si="1"/>
        <v>100</v>
      </c>
      <c r="M9" s="1" t="b">
        <f t="shared" si="2"/>
        <v>1</v>
      </c>
      <c r="N9" s="42">
        <f t="shared" si="3"/>
        <v>95</v>
      </c>
      <c r="O9" s="42">
        <f>(D$68*L68)-E9</f>
        <v>426</v>
      </c>
      <c r="P9" s="42">
        <f t="shared" si="4"/>
        <v>1473</v>
      </c>
      <c r="Q9" s="42">
        <f>(C$68*L68)-C9</f>
        <v>4817</v>
      </c>
      <c r="R9" s="42">
        <f t="shared" si="5"/>
        <v>6811</v>
      </c>
      <c r="S9" s="30">
        <f t="shared" si="6"/>
        <v>196567051655779</v>
      </c>
      <c r="T9" s="30">
        <f t="shared" si="7"/>
        <v>26941035540160</v>
      </c>
      <c r="U9" s="31">
        <f t="shared" si="8"/>
        <v>7.2961951058920436</v>
      </c>
    </row>
    <row r="10" spans="2:21" ht="18" customHeight="1">
      <c r="B10" s="32" t="str">
        <f>'Data Entry'!A10</f>
        <v>5. Cases Involving Secure Detention</v>
      </c>
      <c r="C10" s="33">
        <f>'Data Entry'!C10</f>
        <v>739</v>
      </c>
      <c r="D10" s="34">
        <f>IF(((AND(C68&gt;0,C10&gt;0))),(C10/(C68)),0)</f>
        <v>11.748807631160572</v>
      </c>
      <c r="E10" s="33">
        <f>'Data Entry'!I10</f>
        <v>183</v>
      </c>
      <c r="F10" s="34">
        <f>IF(((AND($E$10&gt;0,$D$68&gt;0))),($E$10/($D$68)),0)</f>
        <v>35.124760076775431</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183</v>
      </c>
      <c r="O10" s="42">
        <f>(D$68*L68)-E10</f>
        <v>338</v>
      </c>
      <c r="P10" s="42">
        <f t="shared" si="4"/>
        <v>739</v>
      </c>
      <c r="Q10" s="42">
        <f>(C$68*L68)-C10</f>
        <v>5551</v>
      </c>
      <c r="R10" s="42">
        <f t="shared" si="5"/>
        <v>6811</v>
      </c>
      <c r="S10" s="30">
        <f t="shared" si="6"/>
        <v>3996927290767411</v>
      </c>
      <c r="T10" s="30">
        <f t="shared" si="7"/>
        <v>17793477935220</v>
      </c>
      <c r="U10" s="31">
        <f t="shared" si="8"/>
        <v>224.62878282249616</v>
      </c>
    </row>
    <row r="11" spans="2:21" ht="18" customHeight="1">
      <c r="B11" s="32" t="str">
        <f>'Data Entry'!A11</f>
        <v>6. Cases Petitioned (Charge Filed)</v>
      </c>
      <c r="C11" s="33">
        <f>'Data Entry'!C11</f>
        <v>3332</v>
      </c>
      <c r="D11" s="34">
        <f>IF(((AND(C68&gt;0,C11&gt;0))),(C11/(C68)),0)</f>
        <v>52.972972972972975</v>
      </c>
      <c r="E11" s="33">
        <f>'Data Entry'!I11</f>
        <v>346</v>
      </c>
      <c r="F11" s="34">
        <f>IF(((AND($E$11&gt;0,$D$68&gt;0))),($E$11/($D$68)),0)</f>
        <v>66.410748560460647</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346</v>
      </c>
      <c r="O11" s="42">
        <f>(D$68*L68)-E11</f>
        <v>175</v>
      </c>
      <c r="P11" s="42">
        <f t="shared" si="4"/>
        <v>3332</v>
      </c>
      <c r="Q11" s="42">
        <f>(C$68*L68)-C11</f>
        <v>2958</v>
      </c>
      <c r="R11" s="42">
        <f t="shared" si="5"/>
        <v>6811</v>
      </c>
      <c r="S11" s="30">
        <f t="shared" si="6"/>
        <v>1320816196612864</v>
      </c>
      <c r="T11" s="30">
        <f t="shared" si="7"/>
        <v>37762478283660</v>
      </c>
      <c r="U11" s="31">
        <f t="shared" si="8"/>
        <v>34.976946870152517</v>
      </c>
    </row>
    <row r="12" spans="2:21" ht="18" customHeight="1">
      <c r="B12" s="32" t="str">
        <f>'Data Entry'!A12</f>
        <v>7. Cases Resulting in Delinquent Findings</v>
      </c>
      <c r="C12" s="33">
        <f>'Data Entry'!C12</f>
        <v>1949</v>
      </c>
      <c r="D12" s="34">
        <f>IF(((AND(C69&gt;0,C12&gt;0))),(C12/(C69)),0)</f>
        <v>58.493397358943575</v>
      </c>
      <c r="E12" s="33">
        <f>'Data Entry'!I12</f>
        <v>200</v>
      </c>
      <c r="F12" s="34">
        <f>IF(((AND($D$69&gt;0,$E$12&gt;0))),(E12/(D69)),0)</f>
        <v>57.80346820809249</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200</v>
      </c>
      <c r="O12" s="42">
        <f>(D69*L69)-E12</f>
        <v>146</v>
      </c>
      <c r="P12" s="42">
        <f t="shared" si="4"/>
        <v>1949</v>
      </c>
      <c r="Q12" s="42">
        <f>(C69*L69)-C12</f>
        <v>1383</v>
      </c>
      <c r="R12" s="42">
        <f t="shared" si="5"/>
        <v>3678</v>
      </c>
      <c r="S12" s="30">
        <f t="shared" si="6"/>
        <v>232692774648</v>
      </c>
      <c r="T12" s="30">
        <f t="shared" si="7"/>
        <v>3788131027912</v>
      </c>
      <c r="U12" s="31">
        <f t="shared" si="8"/>
        <v>6.1426802012246963E-2</v>
      </c>
    </row>
    <row r="13" spans="2:21" ht="18" customHeight="1">
      <c r="B13" s="32" t="str">
        <f>'Data Entry'!A13</f>
        <v>8. Cases Resulting in Probation Placement</v>
      </c>
      <c r="C13" s="33">
        <f>'Data Entry'!C13</f>
        <v>1947</v>
      </c>
      <c r="D13" s="34">
        <f>IF(((AND(C70&gt;0,C13&gt;0))),(C13/(C70)),0)</f>
        <v>99.897383273473579</v>
      </c>
      <c r="E13" s="33">
        <f>'Data Entry'!I13</f>
        <v>171</v>
      </c>
      <c r="F13" s="34">
        <f>IF(((AND($D$70&gt;0,$E$13&gt;0))),($E$13/($D$70)),0)</f>
        <v>85.5</v>
      </c>
      <c r="G13" s="39" t="str">
        <f t="shared" si="0"/>
        <v>*</v>
      </c>
      <c r="H13" s="40"/>
      <c r="I13" s="41"/>
      <c r="J13" s="40">
        <f>IF((ABS($U13)&gt;Defaults!D$7),1,2)</f>
        <v>1</v>
      </c>
      <c r="K13" s="39">
        <f>IF((AND(N13&gt;Defaults!B$12,(N13+O13)&gt;Defaults!B$13, P13 &gt; Defaults!B$12, (P13+Q13) &gt; Defaults!B$13)),1,20)</f>
        <v>1</v>
      </c>
      <c r="L13" s="1">
        <f t="shared" si="1"/>
        <v>100</v>
      </c>
      <c r="M13" s="1" t="b">
        <f t="shared" si="2"/>
        <v>1</v>
      </c>
      <c r="N13" s="42">
        <f t="shared" si="3"/>
        <v>171</v>
      </c>
      <c r="O13" s="42">
        <f>(D70*L70)-E13</f>
        <v>29</v>
      </c>
      <c r="P13" s="42">
        <f t="shared" si="4"/>
        <v>1947</v>
      </c>
      <c r="Q13" s="42">
        <f>(C70*L70)-C13</f>
        <v>1.9999999999997726</v>
      </c>
      <c r="R13" s="42">
        <f t="shared" si="5"/>
        <v>2149</v>
      </c>
      <c r="S13" s="30">
        <f t="shared" si="6"/>
        <v>6768418711509.0088</v>
      </c>
      <c r="T13" s="30">
        <f t="shared" si="7"/>
        <v>25593488399.999809</v>
      </c>
      <c r="U13" s="31">
        <f t="shared" si="8"/>
        <v>264.45862344849633</v>
      </c>
    </row>
    <row r="14" spans="2:21" ht="30.75" customHeight="1">
      <c r="B14" s="32" t="str">
        <f>'Data Entry'!A14</f>
        <v xml:space="preserve">9. Cases Resulting in Confinement in Secure Juvenile Correctional Facilities </v>
      </c>
      <c r="C14" s="33">
        <f>'Data Entry'!C14</f>
        <v>522</v>
      </c>
      <c r="D14" s="34">
        <f>IF(((AND(C70&gt;0,C14&gt;0))), ((C14/(C70))),0)</f>
        <v>26.782965623396617</v>
      </c>
      <c r="E14" s="33">
        <f>'Data Entry'!I14</f>
        <v>40</v>
      </c>
      <c r="F14" s="34">
        <f>IF(((AND($D$70&gt;0,$E$14&gt;0))), (($E$14/($D$70))),0)</f>
        <v>20</v>
      </c>
      <c r="G14" s="39" t="str">
        <f t="shared" si="0"/>
        <v>*</v>
      </c>
      <c r="H14" s="40"/>
      <c r="I14" s="41"/>
      <c r="J14" s="40">
        <f>IF((ABS($U14)&gt;Defaults!D$7),1,2)</f>
        <v>1</v>
      </c>
      <c r="K14" s="39">
        <f>IF((AND(N14&gt;Defaults!B$12,(N14+O14)&gt;Defaults!B$13, P14 &gt; Defaults!B$12, (P14+Q14) &gt; Defaults!B$13)),1,20)</f>
        <v>1</v>
      </c>
      <c r="L14" s="1">
        <f t="shared" si="1"/>
        <v>100</v>
      </c>
      <c r="M14" s="1" t="b">
        <f t="shared" si="2"/>
        <v>1</v>
      </c>
      <c r="N14" s="42">
        <f t="shared" si="3"/>
        <v>40</v>
      </c>
      <c r="O14" s="42">
        <f>(D70*L70)-E14</f>
        <v>160</v>
      </c>
      <c r="P14" s="42">
        <f t="shared" si="4"/>
        <v>522</v>
      </c>
      <c r="Q14" s="42">
        <f>(C70*L70)-C14</f>
        <v>1426.9999999999998</v>
      </c>
      <c r="R14" s="42">
        <f t="shared" si="5"/>
        <v>2149</v>
      </c>
      <c r="S14" s="30">
        <f t="shared" si="6"/>
        <v>1502309166400.0007</v>
      </c>
      <c r="T14" s="30">
        <f t="shared" si="7"/>
        <v>347660281199.99988</v>
      </c>
      <c r="U14" s="31">
        <f t="shared" si="8"/>
        <v>4.3211987323215721</v>
      </c>
    </row>
    <row r="15" spans="2:21" ht="15.75" customHeight="1">
      <c r="B15" s="32" t="str">
        <f>'Data Entry'!A15</f>
        <v xml:space="preserve">10. Cases Transferred to Adult Court </v>
      </c>
      <c r="C15" s="33">
        <f>'Data Entry'!C15</f>
        <v>14</v>
      </c>
      <c r="D15" s="34">
        <f>IF(((AND(C69&gt;0,C15&gt;0))),((C15/(C69))),0)</f>
        <v>0.42016806722689076</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346</v>
      </c>
      <c r="P15" s="42">
        <f t="shared" si="4"/>
        <v>14</v>
      </c>
      <c r="Q15" s="42">
        <f>(C69*L69)-C15</f>
        <v>3318</v>
      </c>
      <c r="R15" s="42">
        <f t="shared" si="5"/>
        <v>3678</v>
      </c>
      <c r="S15" s="30">
        <f t="shared" si="6"/>
        <v>86301827808</v>
      </c>
      <c r="T15" s="30">
        <f t="shared" si="7"/>
        <v>59137722112</v>
      </c>
      <c r="U15" s="31">
        <f t="shared" si="8"/>
        <v>1.459336354629188</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681.10799999999995</v>
      </c>
      <c r="D42" s="56">
        <f>E6/1000</f>
        <v>0</v>
      </c>
      <c r="E42" s="56">
        <f>MAX(C42:D42)</f>
        <v>681.10799999999995</v>
      </c>
      <c r="G42" s="1" t="str">
        <f>B42</f>
        <v>per 1000 youth</v>
      </c>
      <c r="L42" s="57">
        <v>1000</v>
      </c>
      <c r="M42" s="57"/>
      <c r="R42" s="49"/>
    </row>
    <row r="43" spans="2:18" ht="15" hidden="1" customHeight="1">
      <c r="B43" s="49" t="s">
        <v>88</v>
      </c>
      <c r="C43" s="56">
        <f>C7/100</f>
        <v>43.46</v>
      </c>
      <c r="D43" s="56">
        <f>E7/100</f>
        <v>0</v>
      </c>
      <c r="E43" s="56">
        <f>MAX(C43:D43,0)</f>
        <v>43.46</v>
      </c>
      <c r="G43" s="1" t="str">
        <f>B43</f>
        <v>per 100 arrests</v>
      </c>
      <c r="L43" s="57">
        <v>100</v>
      </c>
      <c r="M43" s="57"/>
      <c r="R43" s="49"/>
    </row>
    <row r="44" spans="2:18" ht="15" hidden="1" customHeight="1">
      <c r="B44" s="49" t="s">
        <v>89</v>
      </c>
      <c r="C44" s="56">
        <f>C8/100</f>
        <v>62.9</v>
      </c>
      <c r="D44" s="56">
        <f>E8/100</f>
        <v>5.21</v>
      </c>
      <c r="E44" s="56">
        <f>MAX(C44:D44,0)</f>
        <v>62.9</v>
      </c>
      <c r="G44" s="1" t="str">
        <f>B44</f>
        <v>per 100 referrals</v>
      </c>
      <c r="L44" s="57">
        <v>100</v>
      </c>
      <c r="M44" s="57"/>
      <c r="R44" s="49"/>
    </row>
    <row r="45" spans="2:18" ht="15" hidden="1" customHeight="1">
      <c r="B45" s="49" t="s">
        <v>90</v>
      </c>
      <c r="C45" s="49">
        <f>C11/100</f>
        <v>33.32</v>
      </c>
      <c r="D45" s="49">
        <f>E11/100</f>
        <v>3.46</v>
      </c>
      <c r="E45" s="56">
        <f>MAX(C45:D45,0)</f>
        <v>33.32</v>
      </c>
      <c r="G45" s="1" t="str">
        <f>B45</f>
        <v>per 100 youth petitioned</v>
      </c>
      <c r="L45" s="57">
        <v>100</v>
      </c>
      <c r="M45" s="57"/>
      <c r="R45" s="49"/>
    </row>
    <row r="46" spans="2:18" ht="15" hidden="1" customHeight="1">
      <c r="B46" s="49" t="s">
        <v>91</v>
      </c>
      <c r="C46" s="49">
        <f>C12/100</f>
        <v>19.489999999999998</v>
      </c>
      <c r="D46" s="49">
        <f>E12/100</f>
        <v>2</v>
      </c>
      <c r="E46" s="56">
        <f>MAX(C46:D46)</f>
        <v>19.489999999999998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681.10799999999995</v>
      </c>
      <c r="D48" s="56">
        <f>D42</f>
        <v>0</v>
      </c>
      <c r="E48" s="56">
        <f>MAX(C48:D48)</f>
        <v>681.10799999999995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43.46</v>
      </c>
      <c r="D49" s="49">
        <f t="shared" si="9"/>
        <v>0</v>
      </c>
      <c r="E49" s="49">
        <f>MAX(C49:D49)</f>
        <v>43.46</v>
      </c>
      <c r="G49" s="1" t="str">
        <f>G43</f>
        <v>per 100 arrests</v>
      </c>
      <c r="L49" s="58">
        <f>IF(($E43&gt;0),L43,L42)</f>
        <v>100</v>
      </c>
      <c r="M49" s="58"/>
      <c r="N49" s="21"/>
      <c r="O49" s="21"/>
      <c r="P49" s="21"/>
      <c r="Q49" s="21"/>
      <c r="R49" s="21"/>
    </row>
    <row r="50" spans="2:18" ht="15" hidden="1" customHeight="1">
      <c r="B50" s="49" t="str">
        <f t="shared" si="9"/>
        <v>per 100 referrals</v>
      </c>
      <c r="C50" s="49">
        <f t="shared" si="9"/>
        <v>62.9</v>
      </c>
      <c r="D50" s="49">
        <f t="shared" si="9"/>
        <v>5.21</v>
      </c>
      <c r="E50" s="49">
        <f>MAX(C50:D50)</f>
        <v>62.9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33.32</v>
      </c>
      <c r="D51" s="49">
        <f>IF(($E45&gt;0),D45,D44)</f>
        <v>3.46</v>
      </c>
      <c r="E51" s="49">
        <f>MAX(C51:D51)</f>
        <v>33.32</v>
      </c>
      <c r="G51" s="1" t="str">
        <f>G45</f>
        <v>per 100 youth petitioned</v>
      </c>
      <c r="L51" s="58">
        <f>IF(($E45&gt;0),L45,L44)</f>
        <v>100</v>
      </c>
      <c r="M51" s="58"/>
    </row>
    <row r="52" spans="2:18" ht="15" hidden="1" customHeight="1">
      <c r="B52" s="49" t="str">
        <f>IF(($E46&gt;0),B46,B45)</f>
        <v>per 100 youth found delinquent</v>
      </c>
      <c r="C52" s="49">
        <f>IF(($E46&gt;0),C46,C45)</f>
        <v>19.489999999999998</v>
      </c>
      <c r="D52" s="49">
        <f>IF(($E46&gt;0),D46,D45)</f>
        <v>2</v>
      </c>
      <c r="E52" s="56">
        <f>MAX(C52:D52)</f>
        <v>19.489999999999998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681.10799999999995</v>
      </c>
      <c r="D54" s="56">
        <f>D48</f>
        <v>0</v>
      </c>
      <c r="E54" s="56">
        <f>MAX(C54:D54)</f>
        <v>681.10799999999995</v>
      </c>
      <c r="G54" s="1" t="str">
        <f>G48</f>
        <v>per 1000 youth</v>
      </c>
      <c r="L54" s="58">
        <f>L48</f>
        <v>1000</v>
      </c>
      <c r="M54" s="58"/>
    </row>
    <row r="55" spans="2:18" ht="15" hidden="1" customHeight="1">
      <c r="B55" s="49" t="str">
        <f t="shared" ref="B55:D56" si="10">IF(($E49&gt;0),B49,B48)</f>
        <v>per 100 arrests</v>
      </c>
      <c r="C55" s="49">
        <f t="shared" si="10"/>
        <v>43.46</v>
      </c>
      <c r="D55" s="49">
        <f t="shared" si="10"/>
        <v>0</v>
      </c>
      <c r="E55" s="49">
        <f>MAX(C55:D55)</f>
        <v>43.46</v>
      </c>
      <c r="G55" s="1" t="str">
        <f>G49</f>
        <v>per 100 arrests</v>
      </c>
      <c r="L55" s="58">
        <f>IF(($E49&gt;0),L49,L48)</f>
        <v>100</v>
      </c>
      <c r="M55" s="58"/>
    </row>
    <row r="56" spans="2:18" ht="15" hidden="1" customHeight="1">
      <c r="B56" s="49" t="str">
        <f t="shared" si="10"/>
        <v>per 100 referrals</v>
      </c>
      <c r="C56" s="49">
        <f t="shared" si="10"/>
        <v>62.9</v>
      </c>
      <c r="D56" s="49">
        <f t="shared" si="10"/>
        <v>5.21</v>
      </c>
      <c r="E56" s="49">
        <f>MAX(C56:D56)</f>
        <v>62.9</v>
      </c>
      <c r="G56" s="1" t="str">
        <f>G50</f>
        <v>per 100 referrals</v>
      </c>
      <c r="L56" s="58">
        <f>IF(($E50&gt;0),L50,L49)</f>
        <v>100</v>
      </c>
      <c r="M56" s="58"/>
    </row>
    <row r="57" spans="2:18" ht="15" hidden="1" customHeight="1">
      <c r="B57" s="49" t="str">
        <f>IF(($E51&gt;0),B51,B49)</f>
        <v>per 100 youth petitioned</v>
      </c>
      <c r="C57" s="49">
        <f>IF(($E51&gt;0),C51,C50)</f>
        <v>33.32</v>
      </c>
      <c r="D57" s="49">
        <f>IF(($E51&gt;0),D51,D50)</f>
        <v>3.46</v>
      </c>
      <c r="E57" s="49">
        <f>MAX(C57:D57)</f>
        <v>33.32</v>
      </c>
      <c r="G57" s="1" t="str">
        <f>G51</f>
        <v>per 100 youth petitioned</v>
      </c>
      <c r="L57" s="58">
        <f>IF(($E51&gt;0),L51,L50)</f>
        <v>100</v>
      </c>
      <c r="M57" s="58"/>
    </row>
    <row r="58" spans="2:18" ht="15" hidden="1" customHeight="1">
      <c r="B58" s="49" t="str">
        <f>IF(($E52&gt;0),B52,B51)</f>
        <v>per 100 youth found delinquent</v>
      </c>
      <c r="C58" s="49">
        <f>IF(($E52&gt;0),C52,C51)</f>
        <v>19.489999999999998</v>
      </c>
      <c r="D58" s="49">
        <f>IF(($E52&gt;0),D52,D51)</f>
        <v>2</v>
      </c>
      <c r="E58" s="56">
        <f>MAX(C58:D58)</f>
        <v>19.489999999999998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681.10799999999995</v>
      </c>
      <c r="D60" s="56">
        <f>D54</f>
        <v>0</v>
      </c>
      <c r="E60" s="56">
        <f>MAX(C60:D60)</f>
        <v>681.10799999999995</v>
      </c>
      <c r="G60" s="1" t="str">
        <f>G54</f>
        <v>per 1000 youth</v>
      </c>
      <c r="L60" s="58">
        <f>L54</f>
        <v>1000</v>
      </c>
      <c r="M60" s="58"/>
    </row>
    <row r="61" spans="2:18" ht="15" hidden="1" customHeight="1">
      <c r="B61" s="49" t="str">
        <f t="shared" ref="B61:D62" si="11">IF(($E55&gt;0),B55,B54)</f>
        <v>per 100 arrests</v>
      </c>
      <c r="C61" s="49">
        <f t="shared" si="11"/>
        <v>43.46</v>
      </c>
      <c r="D61" s="49">
        <f t="shared" si="11"/>
        <v>0</v>
      </c>
      <c r="E61" s="49">
        <f>MAX(C61:D61)</f>
        <v>43.46</v>
      </c>
      <c r="G61" s="1" t="str">
        <f>G55</f>
        <v>per 100 arrests</v>
      </c>
      <c r="L61" s="58">
        <f>IF(($E55&gt;0),L55,L54)</f>
        <v>100</v>
      </c>
      <c r="M61" s="58"/>
    </row>
    <row r="62" spans="2:18" ht="15" hidden="1" customHeight="1">
      <c r="B62" s="49" t="str">
        <f t="shared" si="11"/>
        <v>per 100 referrals</v>
      </c>
      <c r="C62" s="49">
        <f t="shared" si="11"/>
        <v>62.9</v>
      </c>
      <c r="D62" s="49">
        <f t="shared" si="11"/>
        <v>5.21</v>
      </c>
      <c r="E62" s="49">
        <f>MAX(C62:D62)</f>
        <v>62.9</v>
      </c>
      <c r="G62" s="1" t="str">
        <f>G56</f>
        <v>per 100 referrals</v>
      </c>
      <c r="L62" s="58">
        <f>IF(($E56&gt;0),L56,L55)</f>
        <v>100</v>
      </c>
      <c r="M62" s="58"/>
    </row>
    <row r="63" spans="2:18" ht="15" hidden="1" customHeight="1">
      <c r="B63" s="49" t="str">
        <f>IF(($E57&gt;0),B57,B55)</f>
        <v>per 100 youth petitioned</v>
      </c>
      <c r="C63" s="49">
        <f>IF(($E57&gt;0),C57,C56)</f>
        <v>33.32</v>
      </c>
      <c r="D63" s="49">
        <f>IF(($E57&gt;0),D57,D56)</f>
        <v>3.46</v>
      </c>
      <c r="E63" s="49">
        <f>MAX(C63:D63)</f>
        <v>33.32</v>
      </c>
      <c r="G63" s="1" t="str">
        <f>G57</f>
        <v>per 100 youth petitioned</v>
      </c>
      <c r="L63" s="58">
        <f>IF(($E57&gt;0),L57,L56)</f>
        <v>100</v>
      </c>
      <c r="M63" s="58"/>
    </row>
    <row r="64" spans="2:18" ht="15" hidden="1" customHeight="1">
      <c r="B64" s="49" t="str">
        <f>IF(($E58&gt;0),B58,B57)</f>
        <v>per 100 youth found delinquent</v>
      </c>
      <c r="C64" s="49">
        <f>IF(($E58&gt;0),C58,C57)</f>
        <v>19.489999999999998</v>
      </c>
      <c r="D64" s="49">
        <f>IF(($E58&gt;0),D58,D57)</f>
        <v>2</v>
      </c>
      <c r="E64" s="56">
        <f>MAX(C64:D64)</f>
        <v>19.489999999999998</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681.10799999999995</v>
      </c>
      <c r="D66" s="56">
        <f>D60</f>
        <v>0</v>
      </c>
      <c r="E66" s="56">
        <f>MAX(C66:D66)</f>
        <v>681.10799999999995</v>
      </c>
      <c r="G66" s="1" t="str">
        <f>G60</f>
        <v>per 1000 youth</v>
      </c>
      <c r="L66" s="58">
        <f>L60</f>
        <v>1000</v>
      </c>
      <c r="M66" s="58">
        <f>IF((B66=G66),1,2)</f>
        <v>1</v>
      </c>
    </row>
    <row r="67" spans="2:13" ht="15" hidden="1" customHeight="1">
      <c r="B67" s="49" t="str">
        <f t="shared" ref="B67:D68" si="12">IF(($E61&gt;0),B61,B60)</f>
        <v>per 100 arrests</v>
      </c>
      <c r="C67" s="49">
        <f t="shared" si="12"/>
        <v>43.46</v>
      </c>
      <c r="D67" s="49">
        <f t="shared" si="12"/>
        <v>0</v>
      </c>
      <c r="E67" s="49">
        <f>MAX(C67:D67)</f>
        <v>43.46</v>
      </c>
      <c r="G67" s="1" t="str">
        <f>G61</f>
        <v>per 100 arrests</v>
      </c>
      <c r="L67" s="58">
        <f>IF(($E61&gt;0),L61,L60)</f>
        <v>100</v>
      </c>
      <c r="M67" s="58">
        <f>IF((B67=G67),1,2)</f>
        <v>1</v>
      </c>
    </row>
    <row r="68" spans="2:13" ht="15" hidden="1" customHeight="1">
      <c r="B68" s="49" t="str">
        <f t="shared" si="12"/>
        <v>per 100 referrals</v>
      </c>
      <c r="C68" s="49">
        <f t="shared" si="12"/>
        <v>62.9</v>
      </c>
      <c r="D68" s="49">
        <f t="shared" si="12"/>
        <v>5.21</v>
      </c>
      <c r="E68" s="49">
        <f>MAX(C68:D68)</f>
        <v>62.9</v>
      </c>
      <c r="G68" s="1" t="str">
        <f>G62</f>
        <v>per 100 referrals</v>
      </c>
      <c r="L68" s="58">
        <f>IF(($E62&gt;0),L62,L61)</f>
        <v>100</v>
      </c>
      <c r="M68" s="58">
        <f>IF((B68=G68),1,2)</f>
        <v>1</v>
      </c>
    </row>
    <row r="69" spans="2:13" ht="15" hidden="1" customHeight="1">
      <c r="B69" s="49" t="str">
        <f>IF(($E63&gt;0),B63,B61)</f>
        <v>per 100 youth petitioned</v>
      </c>
      <c r="C69" s="49">
        <f>IF(($E63&gt;0),C63,C62)</f>
        <v>33.32</v>
      </c>
      <c r="D69" s="49">
        <f>IF(($E63&gt;0),D63,D62)</f>
        <v>3.46</v>
      </c>
      <c r="E69" s="49">
        <f>MAX(C69:D69)</f>
        <v>33.32</v>
      </c>
      <c r="G69" s="1" t="str">
        <f>G63</f>
        <v>per 100 youth petitioned</v>
      </c>
      <c r="L69" s="58">
        <f>IF(($E63&gt;0),L63,L62)</f>
        <v>100</v>
      </c>
      <c r="M69" s="58">
        <f>IF((B69=G69),1,2)</f>
        <v>1</v>
      </c>
    </row>
    <row r="70" spans="2:13" ht="15" hidden="1" customHeight="1">
      <c r="B70" s="49" t="str">
        <f>IF(($E64&gt;0),B64,B63)</f>
        <v>per 100 youth found delinquent</v>
      </c>
      <c r="C70" s="49">
        <f>IF(($E64&gt;0),C64,C63)</f>
        <v>19.489999999999998</v>
      </c>
      <c r="D70" s="49">
        <f>IF(($E64&gt;0),D64,D63)</f>
        <v>2</v>
      </c>
      <c r="E70" s="56">
        <f>MAX(C70:D70)</f>
        <v>19.489999999999998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4" t="str">
        <f>'Data Entry'!J5</f>
        <v>All Minorities</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681108</v>
      </c>
      <c r="D6" s="34"/>
      <c r="E6" s="33">
        <f>'Data Entry'!J6</f>
        <v>301557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2. Juvenile Arrests</v>
      </c>
      <c r="C7" s="33">
        <f>'Data Entry'!C7</f>
        <v>4346</v>
      </c>
      <c r="D7" s="34">
        <f>IF((AND(C66&gt;0,C7&gt;0)),(C7/C66),0)</f>
        <v>6.3807795533160681</v>
      </c>
      <c r="E7" s="33">
        <f>'Data Entry'!J7</f>
        <v>3799</v>
      </c>
      <c r="F7" s="34">
        <f>IF((AND($E$7&gt;0,$D$66&gt;0)),($E$7/$D$66),0)</f>
        <v>12.5979499729736</v>
      </c>
      <c r="G7" s="39">
        <f t="shared" ref="G7:G15" si="0">IF(L$6=100,"*",IF(M7=FALSE,"--",IF(K7=20,"**",($F7/$D7))))</f>
        <v>1.9743590681528076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3799</v>
      </c>
      <c r="O7" s="42">
        <f>E6-E7</f>
        <v>297758</v>
      </c>
      <c r="P7" s="42">
        <f t="shared" ref="P7:P15" si="4">C7</f>
        <v>4346</v>
      </c>
      <c r="Q7" s="42">
        <f>C6-C7</f>
        <v>676762</v>
      </c>
      <c r="R7" s="42">
        <f t="shared" ref="R7:R15" si="5">SUM(N7:Q7)</f>
        <v>982665</v>
      </c>
      <c r="S7" s="30">
        <f t="shared" ref="S7:S15" si="6">R7*((((N7*Q7)-(O7*P7))^2))</f>
        <v>1.602366375102192E+24</v>
      </c>
      <c r="T7" s="30">
        <f t="shared" ref="T7:T15" si="7">(N7+O7)*(P7+Q7)*(N7+P7)*(O7+Q7)</f>
        <v>1.6302989193319235E+21</v>
      </c>
      <c r="U7" s="31">
        <f t="shared" ref="U7:U15" si="8">IF((S7&gt;0),S7/T7,"- -")</f>
        <v>982.86661182283183</v>
      </c>
    </row>
    <row r="8" spans="2:21" ht="18" customHeight="1">
      <c r="B8" s="32" t="str">
        <f>'Data Entry'!A8</f>
        <v>3. Refer to Juvenile Court</v>
      </c>
      <c r="C8" s="33">
        <f>'Data Entry'!C8</f>
        <v>6290</v>
      </c>
      <c r="D8" s="34">
        <f>IF((AND(C67&gt;0,C8&gt;0)),(C8/C67),0)</f>
        <v>144.73078693051082</v>
      </c>
      <c r="E8" s="33">
        <f>'Data Entry'!J8</f>
        <v>5525</v>
      </c>
      <c r="F8" s="34">
        <f>IF((AND($E$8&gt;0,$D$67&gt;0)),($E8/$D67),0)</f>
        <v>145.43300868649644</v>
      </c>
      <c r="G8" s="39">
        <f t="shared" si="0"/>
        <v>1.0048519169340437</v>
      </c>
      <c r="H8" s="40"/>
      <c r="I8" s="41"/>
      <c r="J8" s="40">
        <f>IF((ABS($U8)&gt;Defaults!D$7),1,2)</f>
        <v>2</v>
      </c>
      <c r="K8" s="39">
        <f>IF((AND(N8&gt;Defaults!B$12,(N8+O8)&gt;Defaults!B$13, P8 &gt; Defaults!B$12, (P8+Q8) &gt; Defaults!B$13)),1,20)</f>
        <v>1</v>
      </c>
      <c r="L8" s="1">
        <f t="shared" si="1"/>
        <v>2</v>
      </c>
      <c r="M8" s="1" t="b">
        <f t="shared" si="2"/>
        <v>1</v>
      </c>
      <c r="N8" s="42">
        <f t="shared" si="3"/>
        <v>5525</v>
      </c>
      <c r="O8" s="42">
        <f>((D67*L67)-E8)+0.05</f>
        <v>-1725.95</v>
      </c>
      <c r="P8" s="42">
        <f t="shared" si="4"/>
        <v>6290</v>
      </c>
      <c r="Q8" s="42">
        <f>(C$67*L67)-C8</f>
        <v>-1944</v>
      </c>
      <c r="R8" s="42">
        <f t="shared" si="5"/>
        <v>8145.0499999999993</v>
      </c>
      <c r="S8" s="30">
        <f t="shared" si="6"/>
        <v>108893260621098.75</v>
      </c>
      <c r="T8" s="30">
        <f t="shared" si="7"/>
        <v>-715910290093794.5</v>
      </c>
      <c r="U8" s="31">
        <f t="shared" si="8"/>
        <v>-0.15210461719558768</v>
      </c>
    </row>
    <row r="9" spans="2:21" ht="18" customHeight="1">
      <c r="B9" s="32" t="str">
        <f>'Data Entry'!A9</f>
        <v xml:space="preserve">4. Cases Diverted </v>
      </c>
      <c r="C9" s="33">
        <f>'Data Entry'!C9</f>
        <v>1473</v>
      </c>
      <c r="D9" s="34">
        <f>IF((AND(C68&gt;0,C9&gt;0)),((C9/C68)),0)</f>
        <v>23.418124006359299</v>
      </c>
      <c r="E9" s="33">
        <f>'Data Entry'!J9</f>
        <v>1196</v>
      </c>
      <c r="F9" s="34">
        <f>IF((AND($E$9&gt;0,$D$68&gt;0)),(($E$9/$D$68)),0)</f>
        <v>21.647058823529413</v>
      </c>
      <c r="G9" s="39">
        <f t="shared" si="0"/>
        <v>0.92437202987101164</v>
      </c>
      <c r="H9" s="40"/>
      <c r="I9" s="41"/>
      <c r="J9" s="40">
        <f>IF((ABS($U9)&gt;Defaults!D$7),1,2)</f>
        <v>1</v>
      </c>
      <c r="K9" s="39">
        <f>IF((AND(N9&gt;Defaults!B$12,(N9+O9)&gt;Defaults!B$13, P9 &gt; Defaults!B$12, (P9+Q9) &gt; Defaults!B$13)),1,20)</f>
        <v>1</v>
      </c>
      <c r="L9" s="1">
        <f t="shared" si="1"/>
        <v>1</v>
      </c>
      <c r="M9" s="1" t="b">
        <f t="shared" si="2"/>
        <v>1</v>
      </c>
      <c r="N9" s="42">
        <f t="shared" si="3"/>
        <v>1196</v>
      </c>
      <c r="O9" s="42">
        <f>(D$68*L68)-E9</f>
        <v>4329</v>
      </c>
      <c r="P9" s="42">
        <f t="shared" si="4"/>
        <v>1473</v>
      </c>
      <c r="Q9" s="42">
        <f>(C$68*L68)-C9</f>
        <v>4817</v>
      </c>
      <c r="R9" s="42">
        <f t="shared" si="5"/>
        <v>11815</v>
      </c>
      <c r="S9" s="30">
        <f t="shared" si="6"/>
        <v>4475779392433375</v>
      </c>
      <c r="T9" s="30">
        <f t="shared" si="7"/>
        <v>848325845516500</v>
      </c>
      <c r="U9" s="31">
        <f t="shared" si="8"/>
        <v>5.2760144183846167</v>
      </c>
    </row>
    <row r="10" spans="2:21" ht="18" customHeight="1">
      <c r="B10" s="32" t="str">
        <f>'Data Entry'!A10</f>
        <v>5. Cases Involving Secure Detention</v>
      </c>
      <c r="C10" s="33">
        <f>'Data Entry'!C10</f>
        <v>739</v>
      </c>
      <c r="D10" s="34">
        <f>IF(((AND(C68&gt;0,C10&gt;0))),(C10/(C68)),0)</f>
        <v>11.748807631160572</v>
      </c>
      <c r="E10" s="33">
        <f>'Data Entry'!J10</f>
        <v>1749</v>
      </c>
      <c r="F10" s="34">
        <f>IF(((AND($E$10&gt;0,$D$68&gt;0))),($E$10/($D$68)),0)</f>
        <v>31.656108597285069</v>
      </c>
      <c r="G10" s="39">
        <f t="shared" si="0"/>
        <v>2.6944103258041014</v>
      </c>
      <c r="H10" s="40"/>
      <c r="I10" s="41"/>
      <c r="J10" s="40">
        <f>IF((ABS($U10)&gt;Defaults!D$7),1,2)</f>
        <v>1</v>
      </c>
      <c r="K10" s="39">
        <f>IF((AND(N10&gt;Defaults!B$12,(N10+O10)&gt;Defaults!B$13, P10 &gt; Defaults!B$12, (P10+Q10) &gt; Defaults!B$13)),1,20)</f>
        <v>1</v>
      </c>
      <c r="L10" s="1">
        <f t="shared" si="1"/>
        <v>1</v>
      </c>
      <c r="M10" s="1" t="b">
        <f t="shared" si="2"/>
        <v>1</v>
      </c>
      <c r="N10" s="42">
        <f t="shared" si="3"/>
        <v>1749</v>
      </c>
      <c r="O10" s="42">
        <f>(D$68*L68)-E10</f>
        <v>3776</v>
      </c>
      <c r="P10" s="42">
        <f t="shared" si="4"/>
        <v>739</v>
      </c>
      <c r="Q10" s="42">
        <f>(C$68*L68)-C10</f>
        <v>5551</v>
      </c>
      <c r="R10" s="42">
        <f t="shared" si="5"/>
        <v>11815</v>
      </c>
      <c r="S10" s="30">
        <f t="shared" si="6"/>
        <v>5.6548924071238336E+17</v>
      </c>
      <c r="T10" s="30">
        <f t="shared" si="7"/>
        <v>806445978546000</v>
      </c>
      <c r="U10" s="31">
        <f t="shared" si="8"/>
        <v>701.2115575700991</v>
      </c>
    </row>
    <row r="11" spans="2:21" ht="18" customHeight="1">
      <c r="B11" s="32" t="str">
        <f>'Data Entry'!A11</f>
        <v>6. Cases Petitioned (Charge Filed)</v>
      </c>
      <c r="C11" s="33">
        <f>'Data Entry'!C11</f>
        <v>3332</v>
      </c>
      <c r="D11" s="34">
        <f>IF(((AND(C68&gt;0,C11&gt;0))),(C11/(C68)),0)</f>
        <v>52.972972972972975</v>
      </c>
      <c r="E11" s="33">
        <f>'Data Entry'!J11</f>
        <v>3629</v>
      </c>
      <c r="F11" s="34">
        <f>IF(((AND($E$11&gt;0,$D$68&gt;0))),($E$11/($D$68)),0)</f>
        <v>65.68325791855203</v>
      </c>
      <c r="G11" s="39">
        <f t="shared" si="0"/>
        <v>1.2399390525440943</v>
      </c>
      <c r="H11" s="40"/>
      <c r="I11" s="41"/>
      <c r="J11" s="40">
        <f>IF((ABS($U11)&gt;Defaults!D$7),1,2)</f>
        <v>1</v>
      </c>
      <c r="K11" s="39">
        <f>IF((AND(N11&gt;Defaults!B$12,(N11+O11)&gt;Defaults!B$13, P11 &gt; Defaults!B$12, (P11+Q11) &gt; Defaults!B$13)),1,20)</f>
        <v>1</v>
      </c>
      <c r="L11" s="1">
        <f t="shared" si="1"/>
        <v>1</v>
      </c>
      <c r="M11" s="1" t="b">
        <f t="shared" si="2"/>
        <v>1</v>
      </c>
      <c r="N11" s="42">
        <f t="shared" si="3"/>
        <v>3629</v>
      </c>
      <c r="O11" s="42">
        <f>(D$68*L68)-E11</f>
        <v>1896</v>
      </c>
      <c r="P11" s="42">
        <f t="shared" si="4"/>
        <v>3332</v>
      </c>
      <c r="Q11" s="42">
        <f>(C$68*L68)-C11</f>
        <v>2958</v>
      </c>
      <c r="R11" s="42">
        <f t="shared" si="5"/>
        <v>11815</v>
      </c>
      <c r="S11" s="30">
        <f t="shared" si="6"/>
        <v>2.305208197860615E+17</v>
      </c>
      <c r="T11" s="30">
        <f t="shared" si="7"/>
        <v>1174233141061500</v>
      </c>
      <c r="U11" s="31">
        <f t="shared" si="8"/>
        <v>196.31605660326704</v>
      </c>
    </row>
    <row r="12" spans="2:21" ht="18" customHeight="1">
      <c r="B12" s="32" t="str">
        <f>'Data Entry'!A12</f>
        <v>7. Cases Resulting in Delinquent Findings</v>
      </c>
      <c r="C12" s="33">
        <f>'Data Entry'!C12</f>
        <v>1949</v>
      </c>
      <c r="D12" s="34">
        <f>IF(((AND(C69&gt;0,C12&gt;0))),(C12/(C69)),0)</f>
        <v>58.493397358943575</v>
      </c>
      <c r="E12" s="33">
        <f>'Data Entry'!J12</f>
        <v>1911</v>
      </c>
      <c r="F12" s="34">
        <f>IF(((AND($D$69&gt;0,$E$12&gt;0))),(E12/(D69)),0)</f>
        <v>52.659134747864428</v>
      </c>
      <c r="G12" s="39">
        <f t="shared" si="0"/>
        <v>0.90025775772131489</v>
      </c>
      <c r="H12" s="40"/>
      <c r="I12" s="41"/>
      <c r="J12" s="40">
        <f>IF((ABS($U12)&gt;Defaults!D$7),1,2)</f>
        <v>1</v>
      </c>
      <c r="K12" s="39">
        <f>IF((AND(N12&gt;Defaults!B$12,(N12+O12)&gt;Defaults!B$13, P12 &gt; Defaults!B$12, (P12+Q12) &gt; Defaults!B$13)),1,20)</f>
        <v>1</v>
      </c>
      <c r="L12" s="1">
        <f t="shared" si="1"/>
        <v>1</v>
      </c>
      <c r="M12" s="1" t="b">
        <f t="shared" si="2"/>
        <v>1</v>
      </c>
      <c r="N12" s="42">
        <f t="shared" si="3"/>
        <v>1911</v>
      </c>
      <c r="O12" s="42">
        <f>(D69*L69)-E12</f>
        <v>1718</v>
      </c>
      <c r="P12" s="42">
        <f t="shared" si="4"/>
        <v>1949</v>
      </c>
      <c r="Q12" s="42">
        <f>(C69*L69)-C12</f>
        <v>1383</v>
      </c>
      <c r="R12" s="42">
        <f t="shared" si="5"/>
        <v>6961</v>
      </c>
      <c r="S12" s="30">
        <f t="shared" si="6"/>
        <v>3464395795838521</v>
      </c>
      <c r="T12" s="30">
        <f t="shared" si="7"/>
        <v>144737488304080</v>
      </c>
      <c r="U12" s="31">
        <f t="shared" si="8"/>
        <v>23.935718634001358</v>
      </c>
    </row>
    <row r="13" spans="2:21" ht="18" customHeight="1">
      <c r="B13" s="32" t="str">
        <f>'Data Entry'!A13</f>
        <v>8. Cases Resulting in Probation Placement</v>
      </c>
      <c r="C13" s="33">
        <f>'Data Entry'!C13</f>
        <v>1947</v>
      </c>
      <c r="D13" s="34">
        <f>IF(((AND(C70&gt;0,C13&gt;0))),(C13/(C70)),0)</f>
        <v>99.897383273473579</v>
      </c>
      <c r="E13" s="33">
        <f>'Data Entry'!J13</f>
        <v>1601</v>
      </c>
      <c r="F13" s="34">
        <f>IF(((AND($D$70&gt;0,$E$13&gt;0))),($E$13/($D$70)),0)</f>
        <v>83.778126635269501</v>
      </c>
      <c r="G13" s="39">
        <f t="shared" si="0"/>
        <v>0.8386418531696983</v>
      </c>
      <c r="H13" s="40"/>
      <c r="I13" s="41"/>
      <c r="J13" s="40">
        <f>IF((ABS($U13)&gt;Defaults!D$7),1,2)</f>
        <v>1</v>
      </c>
      <c r="K13" s="39">
        <f>IF((AND(N13&gt;Defaults!B$12,(N13+O13)&gt;Defaults!B$13, P13 &gt; Defaults!B$12, (P13+Q13) &gt; Defaults!B$13)),1,20)</f>
        <v>1</v>
      </c>
      <c r="L13" s="1">
        <f t="shared" si="1"/>
        <v>1</v>
      </c>
      <c r="M13" s="1" t="b">
        <f t="shared" si="2"/>
        <v>1</v>
      </c>
      <c r="N13" s="42">
        <f t="shared" si="3"/>
        <v>1601</v>
      </c>
      <c r="O13" s="42">
        <f>(D70*L70)-E13</f>
        <v>310</v>
      </c>
      <c r="P13" s="42">
        <f t="shared" si="4"/>
        <v>1947</v>
      </c>
      <c r="Q13" s="42">
        <f>(C70*L70)-C13</f>
        <v>1.9999999999997726</v>
      </c>
      <c r="R13" s="42">
        <f t="shared" si="5"/>
        <v>3860</v>
      </c>
      <c r="S13" s="30">
        <f t="shared" si="6"/>
        <v>1391305098736641.8</v>
      </c>
      <c r="T13" s="30">
        <f t="shared" si="7"/>
        <v>4122975284063.9966</v>
      </c>
      <c r="U13" s="31">
        <f t="shared" si="8"/>
        <v>337.45171942074779</v>
      </c>
    </row>
    <row r="14" spans="2:21" ht="30.75" customHeight="1">
      <c r="B14" s="32" t="str">
        <f>'Data Entry'!A14</f>
        <v xml:space="preserve">9. Cases Resulting in Confinement in Secure Juvenile Correctional Facilities </v>
      </c>
      <c r="C14" s="33">
        <f>'Data Entry'!C14</f>
        <v>522</v>
      </c>
      <c r="D14" s="34">
        <f>IF(((AND(C70&gt;0,C14&gt;0))), ((C14/(C70))),0)</f>
        <v>26.782965623396617</v>
      </c>
      <c r="E14" s="33">
        <f>'Data Entry'!J14</f>
        <v>299</v>
      </c>
      <c r="F14" s="34">
        <f>IF(((AND($D$70&gt;0,$E$14&gt;0))), (($E$14/($D$70))),0)</f>
        <v>15.646258503401361</v>
      </c>
      <c r="G14" s="39">
        <f t="shared" si="0"/>
        <v>0.58418693147757184</v>
      </c>
      <c r="H14" s="40"/>
      <c r="I14" s="41"/>
      <c r="J14" s="40">
        <f>IF((ABS($U14)&gt;Defaults!D$7),1,2)</f>
        <v>1</v>
      </c>
      <c r="K14" s="39">
        <f>IF((AND(N14&gt;Defaults!B$12,(N14+O14)&gt;Defaults!B$13, P14 &gt; Defaults!B$12, (P14+Q14) &gt; Defaults!B$13)),1,20)</f>
        <v>1</v>
      </c>
      <c r="L14" s="1">
        <f t="shared" si="1"/>
        <v>1</v>
      </c>
      <c r="M14" s="1" t="b">
        <f t="shared" si="2"/>
        <v>1</v>
      </c>
      <c r="N14" s="42">
        <f t="shared" si="3"/>
        <v>299</v>
      </c>
      <c r="O14" s="42">
        <f>(D70*L70)-E14</f>
        <v>1612</v>
      </c>
      <c r="P14" s="42">
        <f t="shared" si="4"/>
        <v>522</v>
      </c>
      <c r="Q14" s="42">
        <f>(C70*L70)-C14</f>
        <v>1426.9999999999998</v>
      </c>
      <c r="R14" s="42">
        <f t="shared" si="5"/>
        <v>3860</v>
      </c>
      <c r="S14" s="30">
        <f t="shared" si="6"/>
        <v>664119074408660.25</v>
      </c>
      <c r="T14" s="30">
        <f t="shared" si="7"/>
        <v>9292795571240.998</v>
      </c>
      <c r="U14" s="31">
        <f t="shared" si="8"/>
        <v>71.466015723400986</v>
      </c>
    </row>
    <row r="15" spans="2:21" ht="15.75" customHeight="1">
      <c r="B15" s="32" t="str">
        <f>'Data Entry'!A15</f>
        <v xml:space="preserve">10. Cases Transferred to Adult Court </v>
      </c>
      <c r="C15" s="33">
        <f>'Data Entry'!C15</f>
        <v>14</v>
      </c>
      <c r="D15" s="34">
        <f>IF(((AND(C69&gt;0,C15&gt;0))),((C15/(C69))),0)</f>
        <v>0.42016806722689076</v>
      </c>
      <c r="E15" s="33">
        <f>'Data Entry'!J15</f>
        <v>25</v>
      </c>
      <c r="F15" s="34">
        <f>IF(((AND($D$69&gt;0,$E$15&gt;0))),(($E$15/($D$69))),0)</f>
        <v>0.6888950124001102</v>
      </c>
      <c r="G15" s="39">
        <f t="shared" si="0"/>
        <v>1.6395701295122622</v>
      </c>
      <c r="H15" s="40"/>
      <c r="I15" s="41"/>
      <c r="J15" s="40">
        <f>IF((ABS($U15)&gt;Defaults!D$7),1,2)</f>
        <v>2</v>
      </c>
      <c r="K15" s="39">
        <f>IF((AND(N15&gt;Defaults!B$12,(N15+O15)&gt;Defaults!B$13, P15 &gt; Defaults!B$12, (P15+Q15) &gt; Defaults!B$13)),1,20)</f>
        <v>1</v>
      </c>
      <c r="L15" s="1">
        <f t="shared" si="1"/>
        <v>2</v>
      </c>
      <c r="M15" s="1" t="b">
        <f t="shared" si="2"/>
        <v>1</v>
      </c>
      <c r="N15" s="42">
        <f t="shared" si="3"/>
        <v>25</v>
      </c>
      <c r="O15" s="42">
        <f>(D69*L69)-E15</f>
        <v>3604</v>
      </c>
      <c r="P15" s="42">
        <f t="shared" si="4"/>
        <v>14</v>
      </c>
      <c r="Q15" s="42">
        <f>(C69*L69)-C15</f>
        <v>3318</v>
      </c>
      <c r="R15" s="42">
        <f t="shared" si="5"/>
        <v>6961</v>
      </c>
      <c r="S15" s="30">
        <f t="shared" si="6"/>
        <v>7349841710596</v>
      </c>
      <c r="T15" s="30">
        <f t="shared" si="7"/>
        <v>3264285703224</v>
      </c>
      <c r="U15" s="31">
        <f t="shared" si="8"/>
        <v>2.2515926542020712</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681.10799999999995</v>
      </c>
      <c r="D42" s="56">
        <f>E6/1000</f>
        <v>301.55700000000002</v>
      </c>
      <c r="E42" s="56">
        <f>MAX(C42:D42)</f>
        <v>681.10799999999995</v>
      </c>
      <c r="G42" s="1" t="str">
        <f>B42</f>
        <v>per 1000 youth</v>
      </c>
      <c r="L42" s="57">
        <v>1000</v>
      </c>
      <c r="M42" s="57"/>
      <c r="R42" s="49"/>
    </row>
    <row r="43" spans="2:18" ht="15" hidden="1" customHeight="1">
      <c r="B43" s="49" t="s">
        <v>88</v>
      </c>
      <c r="C43" s="56">
        <f>C7/100</f>
        <v>43.46</v>
      </c>
      <c r="D43" s="56">
        <f>E7/100</f>
        <v>37.99</v>
      </c>
      <c r="E43" s="56">
        <f>MAX(C43:D43,0)</f>
        <v>43.46</v>
      </c>
      <c r="G43" s="1" t="str">
        <f>B43</f>
        <v>per 100 arrests</v>
      </c>
      <c r="L43" s="57">
        <v>100</v>
      </c>
      <c r="M43" s="57"/>
      <c r="R43" s="49"/>
    </row>
    <row r="44" spans="2:18" ht="15" hidden="1" customHeight="1">
      <c r="B44" s="49" t="s">
        <v>89</v>
      </c>
      <c r="C44" s="56">
        <f>C8/100</f>
        <v>62.9</v>
      </c>
      <c r="D44" s="56">
        <f>E8/100</f>
        <v>55.25</v>
      </c>
      <c r="E44" s="56">
        <f>MAX(C44:D44,0)</f>
        <v>62.9</v>
      </c>
      <c r="G44" s="1" t="str">
        <f>B44</f>
        <v>per 100 referrals</v>
      </c>
      <c r="L44" s="57">
        <v>100</v>
      </c>
      <c r="M44" s="57"/>
      <c r="R44" s="49"/>
    </row>
    <row r="45" spans="2:18" ht="15" hidden="1" customHeight="1">
      <c r="B45" s="49" t="s">
        <v>90</v>
      </c>
      <c r="C45" s="49">
        <f>C11/100</f>
        <v>33.32</v>
      </c>
      <c r="D45" s="49">
        <f>E11/100</f>
        <v>36.29</v>
      </c>
      <c r="E45" s="56">
        <f>MAX(C45:D45,0)</f>
        <v>36.29</v>
      </c>
      <c r="G45" s="1" t="str">
        <f>B45</f>
        <v>per 100 youth petitioned</v>
      </c>
      <c r="L45" s="57">
        <v>100</v>
      </c>
      <c r="M45" s="57"/>
      <c r="R45" s="49"/>
    </row>
    <row r="46" spans="2:18" ht="15" hidden="1" customHeight="1">
      <c r="B46" s="49" t="s">
        <v>91</v>
      </c>
      <c r="C46" s="49">
        <f>C12/100</f>
        <v>19.489999999999998</v>
      </c>
      <c r="D46" s="49">
        <f>E12/100</f>
        <v>19.11</v>
      </c>
      <c r="E46" s="56">
        <f>MAX(C46:D46)</f>
        <v>19.489999999999998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681.10799999999995</v>
      </c>
      <c r="D48" s="56">
        <f>D42</f>
        <v>301.55700000000002</v>
      </c>
      <c r="E48" s="56">
        <f>MAX(C48:D48)</f>
        <v>681.10799999999995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43.46</v>
      </c>
      <c r="D49" s="49">
        <f t="shared" si="9"/>
        <v>37.99</v>
      </c>
      <c r="E49" s="49">
        <f>MAX(C49:D49)</f>
        <v>43.46</v>
      </c>
      <c r="G49" s="1" t="str">
        <f>G43</f>
        <v>per 100 arrests</v>
      </c>
      <c r="L49" s="58">
        <f>IF(($E43&gt;0),L43,L42)</f>
        <v>100</v>
      </c>
      <c r="M49" s="58"/>
      <c r="N49" s="21"/>
      <c r="O49" s="21"/>
      <c r="P49" s="21"/>
      <c r="Q49" s="21"/>
      <c r="R49" s="21"/>
    </row>
    <row r="50" spans="2:18" ht="15" hidden="1" customHeight="1">
      <c r="B50" s="49" t="str">
        <f t="shared" si="9"/>
        <v>per 100 referrals</v>
      </c>
      <c r="C50" s="49">
        <f t="shared" si="9"/>
        <v>62.9</v>
      </c>
      <c r="D50" s="49">
        <f t="shared" si="9"/>
        <v>55.25</v>
      </c>
      <c r="E50" s="49">
        <f>MAX(C50:D50)</f>
        <v>62.9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33.32</v>
      </c>
      <c r="D51" s="49">
        <f>IF(($E45&gt;0),D45,D44)</f>
        <v>36.29</v>
      </c>
      <c r="E51" s="49">
        <f>MAX(C51:D51)</f>
        <v>36.29</v>
      </c>
      <c r="G51" s="1" t="str">
        <f>G45</f>
        <v>per 100 youth petitioned</v>
      </c>
      <c r="L51" s="58">
        <f>IF(($E45&gt;0),L45,L44)</f>
        <v>100</v>
      </c>
      <c r="M51" s="58"/>
    </row>
    <row r="52" spans="2:18" ht="15" hidden="1" customHeight="1">
      <c r="B52" s="49" t="str">
        <f>IF(($E46&gt;0),B46,B45)</f>
        <v>per 100 youth found delinquent</v>
      </c>
      <c r="C52" s="49">
        <f>IF(($E46&gt;0),C46,C45)</f>
        <v>19.489999999999998</v>
      </c>
      <c r="D52" s="49">
        <f>IF(($E46&gt;0),D46,D45)</f>
        <v>19.11</v>
      </c>
      <c r="E52" s="56">
        <f>MAX(C52:D52)</f>
        <v>19.489999999999998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681.10799999999995</v>
      </c>
      <c r="D54" s="56">
        <f>D48</f>
        <v>301.55700000000002</v>
      </c>
      <c r="E54" s="56">
        <f>MAX(C54:D54)</f>
        <v>681.10799999999995</v>
      </c>
      <c r="G54" s="1" t="str">
        <f>G48</f>
        <v>per 1000 youth</v>
      </c>
      <c r="L54" s="58">
        <f>L48</f>
        <v>1000</v>
      </c>
      <c r="M54" s="58"/>
    </row>
    <row r="55" spans="2:18" ht="15" hidden="1" customHeight="1">
      <c r="B55" s="49" t="str">
        <f t="shared" ref="B55:D56" si="10">IF(($E49&gt;0),B49,B48)</f>
        <v>per 100 arrests</v>
      </c>
      <c r="C55" s="49">
        <f t="shared" si="10"/>
        <v>43.46</v>
      </c>
      <c r="D55" s="49">
        <f t="shared" si="10"/>
        <v>37.99</v>
      </c>
      <c r="E55" s="49">
        <f>MAX(C55:D55)</f>
        <v>43.46</v>
      </c>
      <c r="G55" s="1" t="str">
        <f>G49</f>
        <v>per 100 arrests</v>
      </c>
      <c r="L55" s="58">
        <f>IF(($E49&gt;0),L49,L48)</f>
        <v>100</v>
      </c>
      <c r="M55" s="58"/>
    </row>
    <row r="56" spans="2:18" ht="15" hidden="1" customHeight="1">
      <c r="B56" s="49" t="str">
        <f t="shared" si="10"/>
        <v>per 100 referrals</v>
      </c>
      <c r="C56" s="49">
        <f t="shared" si="10"/>
        <v>62.9</v>
      </c>
      <c r="D56" s="49">
        <f t="shared" si="10"/>
        <v>55.25</v>
      </c>
      <c r="E56" s="49">
        <f>MAX(C56:D56)</f>
        <v>62.9</v>
      </c>
      <c r="G56" s="1" t="str">
        <f>G50</f>
        <v>per 100 referrals</v>
      </c>
      <c r="L56" s="58">
        <f>IF(($E50&gt;0),L50,L49)</f>
        <v>100</v>
      </c>
      <c r="M56" s="58"/>
    </row>
    <row r="57" spans="2:18" ht="15" hidden="1" customHeight="1">
      <c r="B57" s="49" t="str">
        <f>IF(($E51&gt;0),B51,B49)</f>
        <v>per 100 youth petitioned</v>
      </c>
      <c r="C57" s="49">
        <f>IF(($E51&gt;0),C51,C50)</f>
        <v>33.32</v>
      </c>
      <c r="D57" s="49">
        <f>IF(($E51&gt;0),D51,D50)</f>
        <v>36.29</v>
      </c>
      <c r="E57" s="49">
        <f>MAX(C57:D57)</f>
        <v>36.29</v>
      </c>
      <c r="G57" s="1" t="str">
        <f>G51</f>
        <v>per 100 youth petitioned</v>
      </c>
      <c r="L57" s="58">
        <f>IF(($E51&gt;0),L51,L50)</f>
        <v>100</v>
      </c>
      <c r="M57" s="58"/>
    </row>
    <row r="58" spans="2:18" ht="15" hidden="1" customHeight="1">
      <c r="B58" s="49" t="str">
        <f>IF(($E52&gt;0),B52,B51)</f>
        <v>per 100 youth found delinquent</v>
      </c>
      <c r="C58" s="49">
        <f>IF(($E52&gt;0),C52,C51)</f>
        <v>19.489999999999998</v>
      </c>
      <c r="D58" s="49">
        <f>IF(($E52&gt;0),D52,D51)</f>
        <v>19.11</v>
      </c>
      <c r="E58" s="56">
        <f>MAX(C58:D58)</f>
        <v>19.489999999999998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681.10799999999995</v>
      </c>
      <c r="D60" s="56">
        <f>D54</f>
        <v>301.55700000000002</v>
      </c>
      <c r="E60" s="56">
        <f>MAX(C60:D60)</f>
        <v>681.10799999999995</v>
      </c>
      <c r="G60" s="1" t="str">
        <f>G54</f>
        <v>per 1000 youth</v>
      </c>
      <c r="L60" s="58">
        <f>L54</f>
        <v>1000</v>
      </c>
      <c r="M60" s="58"/>
    </row>
    <row r="61" spans="2:18" ht="15" hidden="1" customHeight="1">
      <c r="B61" s="49" t="str">
        <f t="shared" ref="B61:D62" si="11">IF(($E55&gt;0),B55,B54)</f>
        <v>per 100 arrests</v>
      </c>
      <c r="C61" s="49">
        <f t="shared" si="11"/>
        <v>43.46</v>
      </c>
      <c r="D61" s="49">
        <f t="shared" si="11"/>
        <v>37.99</v>
      </c>
      <c r="E61" s="49">
        <f>MAX(C61:D61)</f>
        <v>43.46</v>
      </c>
      <c r="G61" s="1" t="str">
        <f>G55</f>
        <v>per 100 arrests</v>
      </c>
      <c r="L61" s="58">
        <f>IF(($E55&gt;0),L55,L54)</f>
        <v>100</v>
      </c>
      <c r="M61" s="58"/>
    </row>
    <row r="62" spans="2:18" ht="15" hidden="1" customHeight="1">
      <c r="B62" s="49" t="str">
        <f t="shared" si="11"/>
        <v>per 100 referrals</v>
      </c>
      <c r="C62" s="49">
        <f t="shared" si="11"/>
        <v>62.9</v>
      </c>
      <c r="D62" s="49">
        <f t="shared" si="11"/>
        <v>55.25</v>
      </c>
      <c r="E62" s="49">
        <f>MAX(C62:D62)</f>
        <v>62.9</v>
      </c>
      <c r="G62" s="1" t="str">
        <f>G56</f>
        <v>per 100 referrals</v>
      </c>
      <c r="L62" s="58">
        <f>IF(($E56&gt;0),L56,L55)</f>
        <v>100</v>
      </c>
      <c r="M62" s="58"/>
    </row>
    <row r="63" spans="2:18" ht="15" hidden="1" customHeight="1">
      <c r="B63" s="49" t="str">
        <f>IF(($E57&gt;0),B57,B55)</f>
        <v>per 100 youth petitioned</v>
      </c>
      <c r="C63" s="49">
        <f>IF(($E57&gt;0),C57,C56)</f>
        <v>33.32</v>
      </c>
      <c r="D63" s="49">
        <f>IF(($E57&gt;0),D57,D56)</f>
        <v>36.29</v>
      </c>
      <c r="E63" s="49">
        <f>MAX(C63:D63)</f>
        <v>36.29</v>
      </c>
      <c r="G63" s="1" t="str">
        <f>G57</f>
        <v>per 100 youth petitioned</v>
      </c>
      <c r="L63" s="58">
        <f>IF(($E57&gt;0),L57,L56)</f>
        <v>100</v>
      </c>
      <c r="M63" s="58"/>
    </row>
    <row r="64" spans="2:18" ht="15" hidden="1" customHeight="1">
      <c r="B64" s="49" t="str">
        <f>IF(($E58&gt;0),B58,B57)</f>
        <v>per 100 youth found delinquent</v>
      </c>
      <c r="C64" s="49">
        <f>IF(($E58&gt;0),C58,C57)</f>
        <v>19.489999999999998</v>
      </c>
      <c r="D64" s="49">
        <f>IF(($E58&gt;0),D58,D57)</f>
        <v>19.11</v>
      </c>
      <c r="E64" s="56">
        <f>MAX(C64:D64)</f>
        <v>19.489999999999998</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681.10799999999995</v>
      </c>
      <c r="D66" s="56">
        <f>D60</f>
        <v>301.55700000000002</v>
      </c>
      <c r="E66" s="56">
        <f>MAX(C66:D66)</f>
        <v>681.10799999999995</v>
      </c>
      <c r="G66" s="1" t="str">
        <f>G60</f>
        <v>per 1000 youth</v>
      </c>
      <c r="L66" s="58">
        <f>L60</f>
        <v>1000</v>
      </c>
      <c r="M66" s="58">
        <f>IF((B66=G66),1,2)</f>
        <v>1</v>
      </c>
    </row>
    <row r="67" spans="2:13" ht="15" hidden="1" customHeight="1">
      <c r="B67" s="49" t="str">
        <f t="shared" ref="B67:D68" si="12">IF(($E61&gt;0),B61,B60)</f>
        <v>per 100 arrests</v>
      </c>
      <c r="C67" s="49">
        <f t="shared" si="12"/>
        <v>43.46</v>
      </c>
      <c r="D67" s="49">
        <f t="shared" si="12"/>
        <v>37.99</v>
      </c>
      <c r="E67" s="49">
        <f>MAX(C67:D67)</f>
        <v>43.46</v>
      </c>
      <c r="G67" s="1" t="str">
        <f>G61</f>
        <v>per 100 arrests</v>
      </c>
      <c r="L67" s="58">
        <f>IF(($E61&gt;0),L61,L60)</f>
        <v>100</v>
      </c>
      <c r="M67" s="58">
        <f>IF((B67=G67),1,2)</f>
        <v>1</v>
      </c>
    </row>
    <row r="68" spans="2:13" ht="15" hidden="1" customHeight="1">
      <c r="B68" s="49" t="str">
        <f t="shared" si="12"/>
        <v>per 100 referrals</v>
      </c>
      <c r="C68" s="49">
        <f t="shared" si="12"/>
        <v>62.9</v>
      </c>
      <c r="D68" s="49">
        <f t="shared" si="12"/>
        <v>55.25</v>
      </c>
      <c r="E68" s="49">
        <f>MAX(C68:D68)</f>
        <v>62.9</v>
      </c>
      <c r="G68" s="1" t="str">
        <f>G62</f>
        <v>per 100 referrals</v>
      </c>
      <c r="L68" s="58">
        <f>IF(($E62&gt;0),L62,L61)</f>
        <v>100</v>
      </c>
      <c r="M68" s="58">
        <f>IF((B68=G68),1,2)</f>
        <v>1</v>
      </c>
    </row>
    <row r="69" spans="2:13" ht="15" hidden="1" customHeight="1">
      <c r="B69" s="49" t="str">
        <f>IF(($E63&gt;0),B63,B61)</f>
        <v>per 100 youth petitioned</v>
      </c>
      <c r="C69" s="49">
        <f>IF(($E63&gt;0),C63,C62)</f>
        <v>33.32</v>
      </c>
      <c r="D69" s="49">
        <f>IF(($E63&gt;0),D63,D62)</f>
        <v>36.29</v>
      </c>
      <c r="E69" s="49">
        <f>MAX(C69:D69)</f>
        <v>36.29</v>
      </c>
      <c r="G69" s="1" t="str">
        <f>G63</f>
        <v>per 100 youth petitioned</v>
      </c>
      <c r="L69" s="58">
        <f>IF(($E63&gt;0),L63,L62)</f>
        <v>100</v>
      </c>
      <c r="M69" s="58">
        <f>IF((B69=G69),1,2)</f>
        <v>1</v>
      </c>
    </row>
    <row r="70" spans="2:13" ht="15" hidden="1" customHeight="1">
      <c r="B70" s="49" t="str">
        <f>IF(($E64&gt;0),B64,B63)</f>
        <v>per 100 youth found delinquent</v>
      </c>
      <c r="C70" s="49">
        <f>IF(($E64&gt;0),C64,C63)</f>
        <v>19.489999999999998</v>
      </c>
      <c r="D70" s="49">
        <f>IF(($E64&gt;0),D64,D63)</f>
        <v>19.11</v>
      </c>
      <c r="E70" s="56">
        <f>MAX(C70:D70)</f>
        <v>19.489999999999998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96</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All Reporting Counties</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3.2570342881860772</v>
      </c>
      <c r="D7" s="72">
        <f>Hispanic!G7</f>
        <v>0.34382130291588392</v>
      </c>
      <c r="E7" s="72">
        <f>Asian!G7</f>
        <v>0.11789927670423155</v>
      </c>
      <c r="F7" s="72" t="str">
        <f>Hawaiian!G7</f>
        <v>*</v>
      </c>
      <c r="G7" s="72" t="str">
        <f>'Am Indian'!G7</f>
        <v>*</v>
      </c>
      <c r="H7" s="72" t="str">
        <f>'Other - Mixed'!G7</f>
        <v>*</v>
      </c>
      <c r="I7" s="73">
        <f>'All Minorities'!G7</f>
        <v>1.9743590681528076</v>
      </c>
      <c r="L7" s="1">
        <f>'Black or African-American'!L7</f>
        <v>1</v>
      </c>
      <c r="M7" s="1">
        <f>Hispanic!L7</f>
        <v>1</v>
      </c>
      <c r="N7" s="1">
        <f>Asian!L7</f>
        <v>1</v>
      </c>
      <c r="O7" s="1" t="e">
        <f>Hawaiian!L7</f>
        <v>#DIV/0!</v>
      </c>
      <c r="P7" s="1">
        <f>'Am Indian'!L7</f>
        <v>100</v>
      </c>
      <c r="Q7" s="1" t="e">
        <f>'Other - Mixed'!L7</f>
        <v>#VALUE!</v>
      </c>
      <c r="R7" s="1">
        <f>'All Minorities'!L7</f>
        <v>1</v>
      </c>
    </row>
    <row r="8" spans="2:18" ht="15" customHeight="1">
      <c r="B8" s="71" t="s">
        <v>9</v>
      </c>
      <c r="C8" s="72">
        <f>'Black or African-American'!$G8</f>
        <v>0.88806780115235162</v>
      </c>
      <c r="D8" s="72">
        <f>Hispanic!G8</f>
        <v>1.184465137406314</v>
      </c>
      <c r="E8" s="72" t="str">
        <f>Asian!G8</f>
        <v>**</v>
      </c>
      <c r="F8" s="72" t="str">
        <f>Hawaiian!G8</f>
        <v>*</v>
      </c>
      <c r="G8" s="72" t="str">
        <f>'Am Indian'!G8</f>
        <v>*</v>
      </c>
      <c r="H8" s="72" t="str">
        <f>'Other - Mixed'!G8</f>
        <v>*</v>
      </c>
      <c r="I8" s="73">
        <f>'All Minorities'!G8</f>
        <v>1.0048519169340437</v>
      </c>
      <c r="L8" s="1">
        <f>'Black or African-American'!L8</f>
        <v>1</v>
      </c>
      <c r="M8" s="1">
        <f>Hispanic!L8</f>
        <v>1</v>
      </c>
      <c r="N8" s="1">
        <f>Asian!L8</f>
        <v>20</v>
      </c>
      <c r="O8" s="1">
        <f>Hawaiian!L8</f>
        <v>139</v>
      </c>
      <c r="P8" s="1">
        <f>'Am Indian'!L8</f>
        <v>100</v>
      </c>
      <c r="Q8" s="1">
        <f>'Other - Mixed'!L8</f>
        <v>119</v>
      </c>
      <c r="R8" s="1">
        <f>'All Minorities'!L8</f>
        <v>2</v>
      </c>
    </row>
    <row r="9" spans="2:18" ht="15" customHeight="1">
      <c r="B9" s="71" t="s">
        <v>10</v>
      </c>
      <c r="C9" s="72">
        <f>'Black or African-American'!$G9</f>
        <v>0.9677473206236854</v>
      </c>
      <c r="D9" s="72">
        <f>Hispanic!G9</f>
        <v>0.76441795948471669</v>
      </c>
      <c r="E9" s="72">
        <f>Asian!G9</f>
        <v>0.7535641547861508</v>
      </c>
      <c r="F9" s="72" t="str">
        <f>Hawaiian!G9</f>
        <v>*</v>
      </c>
      <c r="G9" s="72" t="str">
        <f>'Am Indian'!G9</f>
        <v>*</v>
      </c>
      <c r="H9" s="72" t="str">
        <f>'Other - Mixed'!G9</f>
        <v>*</v>
      </c>
      <c r="I9" s="73">
        <f>'All Minorities'!G9</f>
        <v>0.92437202987101164</v>
      </c>
      <c r="L9" s="1">
        <f>'Black or African-American'!L9</f>
        <v>2</v>
      </c>
      <c r="M9" s="1">
        <f>Hispanic!L9</f>
        <v>1</v>
      </c>
      <c r="N9" s="1">
        <f>Asian!L9</f>
        <v>2</v>
      </c>
      <c r="O9" s="1">
        <f>Hawaiian!L9</f>
        <v>139</v>
      </c>
      <c r="P9" s="1">
        <f>'Am Indian'!L9</f>
        <v>100</v>
      </c>
      <c r="Q9" s="1">
        <f>'Other - Mixed'!L9</f>
        <v>100</v>
      </c>
      <c r="R9" s="1">
        <f>'All Minorities'!L9</f>
        <v>1</v>
      </c>
    </row>
    <row r="10" spans="2:18" ht="15" customHeight="1">
      <c r="B10" s="71" t="s">
        <v>11</v>
      </c>
      <c r="C10" s="72">
        <f>'Black or African-American'!$G10</f>
        <v>2.7020342066150538</v>
      </c>
      <c r="D10" s="72">
        <f>Hispanic!G10</f>
        <v>2.9685176832222391</v>
      </c>
      <c r="E10" s="72">
        <f>Asian!G10</f>
        <v>1.6689219666215609</v>
      </c>
      <c r="F10" s="72" t="str">
        <f>Hawaiian!G10</f>
        <v>*</v>
      </c>
      <c r="G10" s="72" t="str">
        <f>'Am Indian'!G10</f>
        <v>*</v>
      </c>
      <c r="H10" s="72" t="str">
        <f>'Other - Mixed'!G10</f>
        <v>*</v>
      </c>
      <c r="I10" s="73">
        <f>'All Minorities'!G10</f>
        <v>2.6944103258041014</v>
      </c>
      <c r="L10" s="1">
        <f>'Black or African-American'!L10</f>
        <v>1</v>
      </c>
      <c r="M10" s="1">
        <f>Hispanic!L10</f>
        <v>1</v>
      </c>
      <c r="N10" s="1">
        <f>Asian!L10</f>
        <v>2</v>
      </c>
      <c r="O10" s="1">
        <f>Hawaiian!L10</f>
        <v>139</v>
      </c>
      <c r="P10" s="1">
        <f>'Am Indian'!L10</f>
        <v>101</v>
      </c>
      <c r="Q10" s="1">
        <f>'Other - Mixed'!L10</f>
        <v>100</v>
      </c>
      <c r="R10" s="1">
        <f>'All Minorities'!L10</f>
        <v>1</v>
      </c>
    </row>
    <row r="11" spans="2:18" ht="15" customHeight="1">
      <c r="B11" s="71" t="s">
        <v>97</v>
      </c>
      <c r="C11" s="72">
        <f>'Black or African-American'!$G11</f>
        <v>1.2663098026095685</v>
      </c>
      <c r="D11" s="72">
        <f>Hispanic!G11</f>
        <v>1.0662320483749055</v>
      </c>
      <c r="E11" s="72">
        <f>Asian!G11</f>
        <v>1.1844737895158062</v>
      </c>
      <c r="F11" s="72" t="str">
        <f>Hawaiian!G11</f>
        <v>*</v>
      </c>
      <c r="G11" s="72" t="str">
        <f>'Am Indian'!G11</f>
        <v>*</v>
      </c>
      <c r="H11" s="72" t="str">
        <f>'Other - Mixed'!G11</f>
        <v>*</v>
      </c>
      <c r="I11" s="73">
        <f>'All Minorities'!G11</f>
        <v>1.2399390525440943</v>
      </c>
      <c r="L11" s="1">
        <f>'Black or African-American'!L11</f>
        <v>1</v>
      </c>
      <c r="M11" s="1">
        <f>Hispanic!L11</f>
        <v>2</v>
      </c>
      <c r="N11" s="1">
        <f>Asian!L11</f>
        <v>2</v>
      </c>
      <c r="O11" s="1">
        <f>Hawaiian!L11</f>
        <v>139</v>
      </c>
      <c r="P11" s="1">
        <f>'Am Indian'!L11</f>
        <v>100</v>
      </c>
      <c r="Q11" s="1">
        <f>'Other - Mixed'!L11</f>
        <v>100</v>
      </c>
      <c r="R11" s="1">
        <f>'All Minorities'!L11</f>
        <v>1</v>
      </c>
    </row>
    <row r="12" spans="2:18" ht="15" customHeight="1">
      <c r="B12" s="71" t="s">
        <v>13</v>
      </c>
      <c r="C12" s="72">
        <f>'Black or African-American'!$G12</f>
        <v>0.85705571329130614</v>
      </c>
      <c r="D12" s="72">
        <f>Hispanic!G12</f>
        <v>1.2424922967361713</v>
      </c>
      <c r="E12" s="72">
        <f>Asian!G12</f>
        <v>1.1753463314520267</v>
      </c>
      <c r="F12" s="72" t="str">
        <f>Hawaiian!G12</f>
        <v>*</v>
      </c>
      <c r="G12" s="72" t="str">
        <f>'Am Indian'!G12</f>
        <v>*</v>
      </c>
      <c r="H12" s="72" t="str">
        <f>'Other - Mixed'!G12</f>
        <v>*</v>
      </c>
      <c r="I12" s="73">
        <f>'All Minorities'!G12</f>
        <v>0.90025775772131489</v>
      </c>
      <c r="L12" s="1">
        <f>'Black or African-American'!L12</f>
        <v>1</v>
      </c>
      <c r="M12" s="1">
        <f>Hispanic!L12</f>
        <v>1</v>
      </c>
      <c r="N12" s="1">
        <f>Asian!L12</f>
        <v>2</v>
      </c>
      <c r="O12" s="1" t="e">
        <f>Hawaiian!L12</f>
        <v>#VALUE!</v>
      </c>
      <c r="P12" s="1">
        <f>'Am Indian'!L12</f>
        <v>100</v>
      </c>
      <c r="Q12" s="1">
        <f>'Other - Mixed'!L12</f>
        <v>101</v>
      </c>
      <c r="R12" s="1">
        <f>'All Minorities'!L12</f>
        <v>1</v>
      </c>
    </row>
    <row r="13" spans="2:18" ht="15" customHeight="1">
      <c r="B13" s="71" t="s">
        <v>14</v>
      </c>
      <c r="C13" s="72">
        <f>'Black or African-American'!$G13</f>
        <v>0.81704395736016289</v>
      </c>
      <c r="D13" s="72">
        <f>Hispanic!G13</f>
        <v>0.91823549629080392</v>
      </c>
      <c r="E13" s="72" t="str">
        <f>Asian!G13</f>
        <v>**</v>
      </c>
      <c r="F13" s="72" t="str">
        <f>Hawaiian!G13</f>
        <v>*</v>
      </c>
      <c r="G13" s="72" t="str">
        <f>'Am Indian'!G13</f>
        <v>*</v>
      </c>
      <c r="H13" s="72" t="str">
        <f>'Other - Mixed'!G13</f>
        <v>*</v>
      </c>
      <c r="I13" s="73">
        <f>'All Minorities'!G13</f>
        <v>0.8386418531696983</v>
      </c>
      <c r="L13" s="1">
        <f>'Black or African-American'!L13</f>
        <v>1</v>
      </c>
      <c r="M13" s="1">
        <f>Hispanic!L13</f>
        <v>1</v>
      </c>
      <c r="N13" s="1">
        <f>Asian!L13</f>
        <v>20</v>
      </c>
      <c r="O13" s="1" t="e">
        <f>Hawaiian!L13</f>
        <v>#DIV/0!</v>
      </c>
      <c r="P13" s="1">
        <f>'Am Indian'!L13</f>
        <v>100</v>
      </c>
      <c r="Q13" s="1">
        <f>'Other - Mixed'!L13</f>
        <v>100</v>
      </c>
      <c r="R13" s="1">
        <f>'All Minorities'!L13</f>
        <v>1</v>
      </c>
    </row>
    <row r="14" spans="2:18" ht="25.5" customHeight="1">
      <c r="B14" s="71" t="s">
        <v>15</v>
      </c>
      <c r="C14" s="72">
        <f>'Black or African-American'!$G14</f>
        <v>0.58785127638201096</v>
      </c>
      <c r="D14" s="72">
        <f>Hispanic!G14</f>
        <v>0.33687667444473252</v>
      </c>
      <c r="E14" s="72" t="str">
        <f>Asian!G14</f>
        <v>**</v>
      </c>
      <c r="F14" s="72" t="str">
        <f>Hawaiian!G14</f>
        <v>*</v>
      </c>
      <c r="G14" s="72" t="str">
        <f>'Am Indian'!G14</f>
        <v>*</v>
      </c>
      <c r="H14" s="72" t="str">
        <f>'Other - Mixed'!G14</f>
        <v>*</v>
      </c>
      <c r="I14" s="73">
        <f>'All Minorities'!G14</f>
        <v>0.58418693147757184</v>
      </c>
      <c r="L14" s="1">
        <f>'Black or African-American'!L14</f>
        <v>1</v>
      </c>
      <c r="M14" s="1">
        <f>Hispanic!L14</f>
        <v>1</v>
      </c>
      <c r="N14" s="1">
        <f>Asian!L14</f>
        <v>20</v>
      </c>
      <c r="O14" s="1" t="e">
        <f>Hawaiian!L14</f>
        <v>#VALUE!</v>
      </c>
      <c r="P14" s="1">
        <f>'Am Indian'!L14</f>
        <v>101</v>
      </c>
      <c r="Q14" s="1">
        <f>'Other - Mixed'!L14</f>
        <v>100</v>
      </c>
      <c r="R14" s="1">
        <f>'All Minorities'!L14</f>
        <v>1</v>
      </c>
    </row>
    <row r="15" spans="2:18" ht="15" customHeight="1">
      <c r="B15" s="71" t="s">
        <v>16</v>
      </c>
      <c r="C15" s="72">
        <f>'Black or African-American'!$G15</f>
        <v>1.8863936591809773</v>
      </c>
      <c r="D15" s="72" t="str">
        <f>Hispanic!G15</f>
        <v>**</v>
      </c>
      <c r="E15" s="72" t="str">
        <f>Asian!G15</f>
        <v>**</v>
      </c>
      <c r="F15" s="72" t="str">
        <f>Hawaiian!G15</f>
        <v>*</v>
      </c>
      <c r="G15" s="72" t="str">
        <f>'Am Indian'!G15</f>
        <v>*</v>
      </c>
      <c r="H15" s="72" t="str">
        <f>'Other - Mixed'!G15</f>
        <v>*</v>
      </c>
      <c r="I15" s="73">
        <f>'All Minorities'!G15</f>
        <v>1.6395701295122622</v>
      </c>
      <c r="L15" s="1">
        <f>'Black or African-American'!L15</f>
        <v>2</v>
      </c>
      <c r="M15" s="1">
        <f>Hispanic!L15</f>
        <v>40</v>
      </c>
      <c r="N15" s="1">
        <f>Asian!L15</f>
        <v>40</v>
      </c>
      <c r="O15" s="1" t="e">
        <f>Hawaiian!L15</f>
        <v>#VALUE!</v>
      </c>
      <c r="P15" s="1">
        <f>'Am Indian'!L15</f>
        <v>139</v>
      </c>
      <c r="Q15" s="1">
        <f>'Other - Mixed'!L15</f>
        <v>139</v>
      </c>
      <c r="R15" s="1">
        <f>'All Minorities'!L15</f>
        <v>2</v>
      </c>
    </row>
    <row r="16" spans="2:18" ht="15" customHeight="1">
      <c r="B16" s="74" t="s">
        <v>98</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t="str">
        <f>'Black or African-American'!B16</f>
        <v>release 10/17/05</v>
      </c>
      <c r="C18" s="77"/>
      <c r="D18" s="77"/>
      <c r="E18" s="77"/>
      <c r="F18" s="77"/>
      <c r="G18" s="77"/>
      <c r="H18" s="77"/>
      <c r="I18" s="78"/>
    </row>
    <row r="20" spans="2:9" ht="15" customHeight="1">
      <c r="B20" s="1" t="s">
        <v>52</v>
      </c>
    </row>
    <row r="21" spans="2:9" ht="15" customHeight="1">
      <c r="B21" s="1" t="s">
        <v>53</v>
      </c>
      <c r="D21" s="45" t="s">
        <v>54</v>
      </c>
    </row>
    <row r="22" spans="2:9" ht="15" customHeight="1">
      <c r="B22" s="1" t="s">
        <v>55</v>
      </c>
      <c r="D22" s="1" t="s">
        <v>56</v>
      </c>
    </row>
    <row r="23" spans="2:9" ht="15" customHeight="1">
      <c r="B23" s="1" t="s">
        <v>57</v>
      </c>
      <c r="D23" s="1" t="s">
        <v>58</v>
      </c>
    </row>
    <row r="24" spans="2:9" ht="15" customHeight="1">
      <c r="B24" s="1" t="s">
        <v>59</v>
      </c>
      <c r="D24" s="1" t="s">
        <v>60</v>
      </c>
    </row>
    <row r="25" spans="2:9" ht="15" customHeight="1">
      <c r="B25" s="1" t="s">
        <v>61</v>
      </c>
      <c r="D25" s="1" t="s">
        <v>62</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99</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 xml:space="preserve">1. Population at Risk (age 10-17) </v>
      </c>
      <c r="C3" s="57">
        <f>'Data Entry'!B6</f>
        <v>982665</v>
      </c>
      <c r="D3" s="57">
        <f>'Data Entry'!C6</f>
        <v>681108</v>
      </c>
      <c r="E3" s="57">
        <f>'Data Entry'!D6</f>
        <v>168989</v>
      </c>
      <c r="F3" s="57">
        <f>'Data Entry'!E6</f>
        <v>86150</v>
      </c>
      <c r="G3" s="57">
        <f>'Data Entry'!F6</f>
        <v>38549</v>
      </c>
      <c r="H3" s="57">
        <f>'Data Entry'!G6</f>
        <v>0</v>
      </c>
      <c r="I3" s="57">
        <f>'Data Entry'!H6</f>
        <v>7869</v>
      </c>
      <c r="J3" s="57">
        <f>'Data Entry'!I6</f>
        <v>0</v>
      </c>
      <c r="K3" s="57">
        <f>'Data Entry'!J6</f>
        <v>301557</v>
      </c>
    </row>
    <row r="4" spans="2:11" ht="15" customHeight="1">
      <c r="B4" s="16" t="s">
        <v>8</v>
      </c>
      <c r="C4" s="1">
        <f>IF((C$3&gt;0),(1000*('Data Entry'!B7/'Data Entry'!B$6)), 0)</f>
        <v>8.6977759460243309</v>
      </c>
      <c r="D4" s="1">
        <f>IF((D$3&gt;0),(1000*('Data Entry'!C7/'Data Entry'!C$6)), 0)</f>
        <v>6.3807795533160672</v>
      </c>
      <c r="E4" s="1">
        <f>IF((E$3&gt;0),(1000*('Data Entry'!D7/'Data Entry'!D$6)), 0)</f>
        <v>20.782417790507075</v>
      </c>
      <c r="F4" s="1">
        <f>IF((F$3&gt;0),(1000*('Data Entry'!E7/'Data Entry'!E$6)), 0)</f>
        <v>2.1938479396401624</v>
      </c>
      <c r="G4" s="1">
        <f>IF((G$3&gt;0),(1000*('Data Entry'!F7/'Data Entry'!F$6)), 0)</f>
        <v>0.75228929414511403</v>
      </c>
      <c r="H4" s="1">
        <f>IF((H$3&gt;0),(1000*('Data Entry'!G7/'Data Entry'!G$6)), 0)</f>
        <v>0</v>
      </c>
      <c r="I4" s="1">
        <f>IF((I$3&gt;0),(1000*('Data Entry'!H7/'Data Entry'!H$6)), 0)</f>
        <v>8.5144236878891846</v>
      </c>
      <c r="J4" s="1">
        <f>IF((J$3&gt;0),(1000*('Data Entry'!I7/'Data Entry'!I$6)), 0)</f>
        <v>0</v>
      </c>
      <c r="K4" s="1">
        <f>IF((K$3&gt;0),(1000*('Data Entry'!J7/'Data Entry'!J$6)), 0)</f>
        <v>12.5979499729736</v>
      </c>
    </row>
    <row r="5" spans="2:11" ht="15" customHeight="1">
      <c r="B5" s="16" t="s">
        <v>9</v>
      </c>
      <c r="C5" s="1">
        <f>IF((C$3&gt;0),(1000*('Data Entry'!B8/'Data Entry'!B$6)), 0)</f>
        <v>13.588557646807406</v>
      </c>
      <c r="D5" s="1">
        <f>IF((D$3&gt;0),(1000*('Data Entry'!C8/'Data Entry'!C$6)), 0)</f>
        <v>9.2349524598154762</v>
      </c>
      <c r="E5" s="1">
        <f>IF((E$3&gt;0),(1000*('Data Entry'!D8/'Data Entry'!D$6)), 0)</f>
        <v>26.711797809324867</v>
      </c>
      <c r="F5" s="1">
        <f>IF((F$3&gt;0),(1000*('Data Entry'!E8/'Data Entry'!E$6)), 0)</f>
        <v>3.7608821822402785</v>
      </c>
      <c r="G5" s="1">
        <f>IF((G$3&gt;0),(1000*('Data Entry'!F8/'Data Entry'!F$6)), 0)</f>
        <v>1.3229915172896833</v>
      </c>
      <c r="H5" s="1">
        <f>IF((H$3&gt;0),(1000*('Data Entry'!G8/'Data Entry'!G$6)), 0)</f>
        <v>0</v>
      </c>
      <c r="I5" s="1">
        <f>IF((I$3&gt;0),(1000*('Data Entry'!H8/'Data Entry'!H$6)), 0)</f>
        <v>14.360147413902656</v>
      </c>
      <c r="J5" s="1">
        <f>IF((J$3&gt;0),(1000*('Data Entry'!I8/'Data Entry'!I$6)), 0)</f>
        <v>0</v>
      </c>
      <c r="K5" s="1">
        <f>IF((K$3&gt;0),(1000*('Data Entry'!J8/'Data Entry'!J$6)), 0)</f>
        <v>18.321577678515172</v>
      </c>
    </row>
    <row r="6" spans="2:11" ht="15" customHeight="1">
      <c r="B6" s="16" t="s">
        <v>10</v>
      </c>
      <c r="C6" s="1">
        <f>IF((C$3&gt;0),(1000*('Data Entry'!B9/'Data Entry'!B$6)), 0)</f>
        <v>2.9898286801707599</v>
      </c>
      <c r="D6" s="1">
        <f>IF((D$3&gt;0),(1000*('Data Entry'!C9/'Data Entry'!C$6)), 0)</f>
        <v>2.1626526189679169</v>
      </c>
      <c r="E6" s="1">
        <f>IF((E$3&gt;0),(1000*('Data Entry'!D9/'Data Entry'!D$6)), 0)</f>
        <v>6.0536484623259499</v>
      </c>
      <c r="F6" s="1">
        <f>IF((F$3&gt;0),(1000*('Data Entry'!E9/'Data Entry'!E$6)), 0)</f>
        <v>0.67324434126523502</v>
      </c>
      <c r="G6" s="1">
        <f>IF((G$3&gt;0),(1000*('Data Entry'!F9/'Data Entry'!F$6)), 0)</f>
        <v>0.23346909128641469</v>
      </c>
      <c r="H6" s="1">
        <f>IF((H$3&gt;0),(1000*('Data Entry'!G9/'Data Entry'!G$6)), 0)</f>
        <v>0</v>
      </c>
      <c r="I6" s="1">
        <f>IF((I$3&gt;0),(1000*('Data Entry'!H9/'Data Entry'!H$6)), 0)</f>
        <v>1.3978904562206125</v>
      </c>
      <c r="J6" s="1">
        <f>IF((J$3&gt;0),(1000*('Data Entry'!I9/'Data Entry'!I$6)), 0)</f>
        <v>0</v>
      </c>
      <c r="K6" s="1">
        <f>IF((K$3&gt;0),(1000*('Data Entry'!J9/'Data Entry'!J$6)), 0)</f>
        <v>3.9660826974668137</v>
      </c>
    </row>
    <row r="7" spans="2:11" ht="15" customHeight="1">
      <c r="B7" s="16" t="s">
        <v>11</v>
      </c>
      <c r="C7" s="1">
        <f>IF((C$3&gt;0),(1000*('Data Entry'!B10/'Data Entry'!B$6)), 0)</f>
        <v>2.7679829850457685</v>
      </c>
      <c r="D7" s="1">
        <f>IF((D$3&gt;0),(1000*('Data Entry'!C10/'Data Entry'!C$6)), 0)</f>
        <v>1.0849967993328518</v>
      </c>
      <c r="E7" s="1">
        <f>IF((E$3&gt;0),(1000*('Data Entry'!D10/'Data Entry'!D$6)), 0)</f>
        <v>8.4798418831994979</v>
      </c>
      <c r="F7" s="1">
        <f>IF((F$3&gt;0),(1000*('Data Entry'!E10/'Data Entry'!E$6)), 0)</f>
        <v>1.3116656993615787</v>
      </c>
      <c r="G7" s="1">
        <f>IF((G$3&gt;0),(1000*('Data Entry'!F10/'Data Entry'!F$6)), 0)</f>
        <v>0.25941010142934967</v>
      </c>
      <c r="H7" s="1">
        <f>IF((H$3&gt;0),(1000*('Data Entry'!G10/'Data Entry'!G$6)), 0)</f>
        <v>0</v>
      </c>
      <c r="I7" s="1">
        <f>IF((I$3&gt;0),(1000*('Data Entry'!H10/'Data Entry'!H$6)), 0)</f>
        <v>1.2708095056551023</v>
      </c>
      <c r="J7" s="1">
        <f>IF((J$3&gt;0),(1000*('Data Entry'!I10/'Data Entry'!I$6)), 0)</f>
        <v>0</v>
      </c>
      <c r="K7" s="1">
        <f>IF((K$3&gt;0),(1000*('Data Entry'!J10/'Data Entry'!J$6)), 0)</f>
        <v>5.7998985266467029</v>
      </c>
    </row>
    <row r="8" spans="2:11" ht="15" customHeight="1">
      <c r="B8" s="16" t="s">
        <v>97</v>
      </c>
      <c r="C8" s="1">
        <f>IF((C$3&gt;0),(1000*('Data Entry'!B11/'Data Entry'!B$6)), 0)</f>
        <v>7.9864450244997025</v>
      </c>
      <c r="D8" s="1">
        <f>IF((D$3&gt;0),(1000*('Data Entry'!C11/'Data Entry'!C$6)), 0)</f>
        <v>4.8920288706049559</v>
      </c>
      <c r="E8" s="1">
        <f>IF((E$3&gt;0),(1000*('Data Entry'!D11/'Data Entry'!D$6)), 0)</f>
        <v>17.918326044890495</v>
      </c>
      <c r="F8" s="1">
        <f>IF((F$3&gt;0),(1000*('Data Entry'!E11/'Data Entry'!E$6)), 0)</f>
        <v>2.1242019733023798</v>
      </c>
      <c r="G8" s="1">
        <f>IF((G$3&gt;0),(1000*('Data Entry'!F11/'Data Entry'!F$6)), 0)</f>
        <v>0.83011232457391892</v>
      </c>
      <c r="H8" s="1">
        <f>IF((H$3&gt;0),(1000*('Data Entry'!G11/'Data Entry'!G$6)), 0)</f>
        <v>0</v>
      </c>
      <c r="I8" s="1">
        <f>IF((I$3&gt;0),(1000*('Data Entry'!H11/'Data Entry'!H$6)), 0)</f>
        <v>5.0832380226204092</v>
      </c>
      <c r="J8" s="1">
        <f>IF((J$3&gt;0),(1000*('Data Entry'!I11/'Data Entry'!I$6)), 0)</f>
        <v>0</v>
      </c>
      <c r="K8" s="1">
        <f>IF((K$3&gt;0),(1000*('Data Entry'!J11/'Data Entry'!J$6)), 0)</f>
        <v>12.034209121326981</v>
      </c>
    </row>
    <row r="9" spans="2:11" ht="15" customHeight="1">
      <c r="B9" s="16" t="s">
        <v>13</v>
      </c>
      <c r="C9" s="1">
        <f>IF((C$3&gt;0),(1000*('Data Entry'!B12/'Data Entry'!B$6)), 0)</f>
        <v>4.5529249540789589</v>
      </c>
      <c r="D9" s="1">
        <f>IF((D$3&gt;0),(1000*('Data Entry'!C12/'Data Entry'!C$6)), 0)</f>
        <v>2.8615138861971965</v>
      </c>
      <c r="E9" s="1">
        <f>IF((E$3&gt;0),(1000*('Data Entry'!D12/'Data Entry'!D$6)), 0)</f>
        <v>8.9828332021610873</v>
      </c>
      <c r="F9" s="1">
        <f>IF((F$3&gt;0),(1000*('Data Entry'!E12/'Data Entry'!E$6)), 0)</f>
        <v>1.5438189204875217</v>
      </c>
      <c r="G9" s="1">
        <f>IF((G$3&gt;0),(1000*('Data Entry'!F12/'Data Entry'!F$6)), 0)</f>
        <v>0.5707022231445692</v>
      </c>
      <c r="H9" s="1">
        <f>IF((H$3&gt;0),(1000*('Data Entry'!G12/'Data Entry'!G$6)), 0)</f>
        <v>0</v>
      </c>
      <c r="I9" s="1">
        <f>IF((I$3&gt;0),(1000*('Data Entry'!H12/'Data Entry'!H$6)), 0)</f>
        <v>4.8290761214893889</v>
      </c>
      <c r="J9" s="1">
        <f>IF((J$3&gt;0),(1000*('Data Entry'!I12/'Data Entry'!I$6)), 0)</f>
        <v>0</v>
      </c>
      <c r="K9" s="1">
        <f>IF((K$3&gt;0),(1000*('Data Entry'!J12/'Data Entry'!J$6)), 0)</f>
        <v>6.3371103970393658</v>
      </c>
    </row>
    <row r="10" spans="2:11" ht="15" customHeight="1">
      <c r="B10" s="16" t="s">
        <v>14</v>
      </c>
      <c r="C10" s="1">
        <f>IF((C$3&gt;0),(1000*('Data Entry'!B13/'Data Entry'!B$6)), 0)</f>
        <v>3.9932225122498513</v>
      </c>
      <c r="D10" s="1">
        <f>IF((D$3&gt;0),(1000*('Data Entry'!C13/'Data Entry'!C$6)), 0)</f>
        <v>2.8585774943180819</v>
      </c>
      <c r="E10" s="1">
        <f>IF((E$3&gt;0),(1000*('Data Entry'!D13/'Data Entry'!D$6)), 0)</f>
        <v>7.3318381669812833</v>
      </c>
      <c r="F10" s="1">
        <f>IF((F$3&gt;0),(1000*('Data Entry'!E13/'Data Entry'!E$6)), 0)</f>
        <v>1.4161346488682531</v>
      </c>
      <c r="G10" s="1">
        <f>IF((G$3&gt;0),(1000*('Data Entry'!F13/'Data Entry'!F$6)), 0)</f>
        <v>0.23346909128641469</v>
      </c>
      <c r="H10" s="1">
        <f>IF((H$3&gt;0),(1000*('Data Entry'!G13/'Data Entry'!G$6)), 0)</f>
        <v>0</v>
      </c>
      <c r="I10" s="1">
        <f>IF((I$3&gt;0),(1000*('Data Entry'!H13/'Data Entry'!H$6)), 0)</f>
        <v>7.2436141822340838</v>
      </c>
      <c r="J10" s="1">
        <f>IF((J$3&gt;0),(1000*('Data Entry'!I13/'Data Entry'!I$6)), 0)</f>
        <v>0</v>
      </c>
      <c r="K10" s="1">
        <f>IF((K$3&gt;0),(1000*('Data Entry'!J13/'Data Entry'!J$6)), 0)</f>
        <v>5.3091123734484684</v>
      </c>
    </row>
    <row r="11" spans="2:11" ht="25.5" customHeight="1">
      <c r="B11" s="16" t="s">
        <v>15</v>
      </c>
      <c r="C11" s="1">
        <f>IF((C$3&gt;0),(1000*('Data Entry'!B14/'Data Entry'!B$6)), 0)</f>
        <v>0.96472348155271637</v>
      </c>
      <c r="D11" s="1">
        <f>IF((D$3&gt;0),(1000*('Data Entry'!C14/'Data Entry'!C$6)), 0)</f>
        <v>0.76639828044891556</v>
      </c>
      <c r="E11" s="1">
        <f>IF((E$3&gt;0),(1000*('Data Entry'!D14/'Data Entry'!D$6)), 0)</f>
        <v>1.4142932380214097</v>
      </c>
      <c r="F11" s="1">
        <f>IF((F$3&gt;0),(1000*('Data Entry'!E14/'Data Entry'!E$6)), 0)</f>
        <v>0.13929193267556586</v>
      </c>
      <c r="G11" s="1">
        <f>IF((G$3&gt;0),(1000*('Data Entry'!F14/'Data Entry'!F$6)), 0)</f>
        <v>2.5941010142934966E-2</v>
      </c>
      <c r="H11" s="1">
        <f>IF((H$3&gt;0),(1000*('Data Entry'!G14/'Data Entry'!G$6)), 0)</f>
        <v>0</v>
      </c>
      <c r="I11" s="1">
        <f>IF((I$3&gt;0),(1000*('Data Entry'!H14/'Data Entry'!H$6)), 0)</f>
        <v>0.8895666539585716</v>
      </c>
      <c r="J11" s="1">
        <f>IF((J$3&gt;0),(1000*('Data Entry'!I14/'Data Entry'!I$6)), 0)</f>
        <v>0</v>
      </c>
      <c r="K11" s="1">
        <f>IF((K$3&gt;0),(1000*('Data Entry'!J14/'Data Entry'!J$6)), 0)</f>
        <v>0.99152067436670344</v>
      </c>
    </row>
    <row r="12" spans="2:11" ht="15" customHeight="1">
      <c r="B12" s="16" t="s">
        <v>16</v>
      </c>
      <c r="C12" s="1">
        <f>IF((C$3&gt;0),(1000*('Data Entry'!B15/'Data Entry'!B$6)), 0)</f>
        <v>4.6811476952979908E-2</v>
      </c>
      <c r="D12" s="1">
        <f>IF((D$3&gt;0),(1000*('Data Entry'!C15/'Data Entry'!C$6)), 0)</f>
        <v>2.0554743153802336E-2</v>
      </c>
      <c r="E12" s="1">
        <f>IF((E$3&gt;0),(1000*('Data Entry'!D15/'Data Entry'!D$6)), 0)</f>
        <v>0.14202107829503693</v>
      </c>
      <c r="F12" s="1">
        <f>IF((F$3&gt;0),(1000*('Data Entry'!E15/'Data Entry'!E$6)), 0)</f>
        <v>1.1607661056297156E-2</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8.2903066418620691E-2</v>
      </c>
    </row>
    <row r="13" spans="2:11" ht="15.75" customHeight="1">
      <c r="B13" s="16"/>
    </row>
    <row r="14" spans="2:11" ht="15" customHeight="1">
      <c r="B14" s="215" t="s">
        <v>100</v>
      </c>
      <c r="C14" s="216"/>
      <c r="D14" s="216"/>
      <c r="E14" s="216"/>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All Reporting Counties</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3.2570342881860777</v>
      </c>
      <c r="E19" s="72">
        <f t="shared" si="1"/>
        <v>0.34382130291588398</v>
      </c>
      <c r="F19" s="72">
        <f t="shared" si="1"/>
        <v>0.11789927670423156</v>
      </c>
      <c r="G19" s="72" t="str">
        <f t="shared" si="1"/>
        <v>--</v>
      </c>
      <c r="H19" s="72">
        <f t="shared" si="1"/>
        <v>1.33438612269002</v>
      </c>
      <c r="I19" s="72" t="str">
        <f t="shared" si="1"/>
        <v>--</v>
      </c>
      <c r="J19" s="73">
        <f t="shared" si="1"/>
        <v>1.9743590681528078</v>
      </c>
    </row>
    <row r="20" spans="2:10" ht="15" customHeight="1">
      <c r="B20" s="71" t="s">
        <v>9</v>
      </c>
      <c r="C20" s="72">
        <f t="shared" ref="C20:J27" si="2">IF(AND(($D5&gt;0),(D5&gt;0)), (D5/$D5),"--")</f>
        <v>1</v>
      </c>
      <c r="D20" s="72">
        <f t="shared" si="2"/>
        <v>2.8924672785872247</v>
      </c>
      <c r="E20" s="72">
        <f t="shared" si="2"/>
        <v>0.40724434680148042</v>
      </c>
      <c r="F20" s="72">
        <f t="shared" si="2"/>
        <v>0.14325915840352016</v>
      </c>
      <c r="G20" s="72" t="str">
        <f t="shared" si="2"/>
        <v>--</v>
      </c>
      <c r="H20" s="72">
        <f t="shared" si="2"/>
        <v>1.5549779467072196</v>
      </c>
      <c r="I20" s="72" t="str">
        <f t="shared" si="2"/>
        <v>--</v>
      </c>
      <c r="J20" s="73">
        <f t="shared" si="2"/>
        <v>1.9839384943494616</v>
      </c>
    </row>
    <row r="21" spans="2:10" ht="15" customHeight="1">
      <c r="B21" s="71" t="s">
        <v>10</v>
      </c>
      <c r="C21" s="72">
        <f t="shared" si="2"/>
        <v>1</v>
      </c>
      <c r="D21" s="72">
        <f t="shared" si="2"/>
        <v>2.7991774588444693</v>
      </c>
      <c r="E21" s="72">
        <f t="shared" si="2"/>
        <v>0.31130489259367394</v>
      </c>
      <c r="F21" s="72">
        <f t="shared" si="2"/>
        <v>0.10795496661772393</v>
      </c>
      <c r="G21" s="72" t="str">
        <f t="shared" si="2"/>
        <v>--</v>
      </c>
      <c r="H21" s="72">
        <f t="shared" si="2"/>
        <v>0.64637771409063749</v>
      </c>
      <c r="I21" s="72" t="str">
        <f t="shared" si="2"/>
        <v>--</v>
      </c>
      <c r="J21" s="73">
        <f t="shared" si="2"/>
        <v>1.83389725316105</v>
      </c>
    </row>
    <row r="22" spans="2:10" ht="15" customHeight="1">
      <c r="B22" s="71" t="s">
        <v>11</v>
      </c>
      <c r="C22" s="72">
        <f t="shared" si="2"/>
        <v>1</v>
      </c>
      <c r="D22" s="72">
        <f t="shared" si="2"/>
        <v>7.8155455282574335</v>
      </c>
      <c r="E22" s="72">
        <f t="shared" si="2"/>
        <v>1.2089120448724846</v>
      </c>
      <c r="F22" s="72">
        <f t="shared" si="2"/>
        <v>0.2390883563793525</v>
      </c>
      <c r="G22" s="72" t="str">
        <f t="shared" si="2"/>
        <v>--</v>
      </c>
      <c r="H22" s="72">
        <f t="shared" si="2"/>
        <v>1.1712564557208869</v>
      </c>
      <c r="I22" s="72" t="str">
        <f t="shared" si="2"/>
        <v>--</v>
      </c>
      <c r="J22" s="73">
        <f t="shared" si="2"/>
        <v>5.3455443649354297</v>
      </c>
    </row>
    <row r="23" spans="2:10" ht="15" customHeight="1">
      <c r="B23" s="71" t="s">
        <v>97</v>
      </c>
      <c r="C23" s="72">
        <f t="shared" si="2"/>
        <v>1</v>
      </c>
      <c r="D23" s="72">
        <f t="shared" si="2"/>
        <v>3.6627596686024231</v>
      </c>
      <c r="E23" s="72">
        <f t="shared" si="2"/>
        <v>0.43421697407924287</v>
      </c>
      <c r="F23" s="72">
        <f t="shared" si="2"/>
        <v>0.16968671823706263</v>
      </c>
      <c r="G23" s="72" t="str">
        <f t="shared" si="2"/>
        <v>--</v>
      </c>
      <c r="H23" s="72">
        <f t="shared" si="2"/>
        <v>1.0390858592769932</v>
      </c>
      <c r="I23" s="72" t="str">
        <f t="shared" si="2"/>
        <v>--</v>
      </c>
      <c r="J23" s="73">
        <f t="shared" si="2"/>
        <v>2.4599628169894285</v>
      </c>
    </row>
    <row r="24" spans="2:10" ht="15" customHeight="1">
      <c r="B24" s="71" t="s">
        <v>13</v>
      </c>
      <c r="C24" s="72">
        <f t="shared" si="2"/>
        <v>1</v>
      </c>
      <c r="D24" s="72">
        <f t="shared" si="2"/>
        <v>3.1391891003886778</v>
      </c>
      <c r="E24" s="72">
        <f t="shared" si="2"/>
        <v>0.53951124540554896</v>
      </c>
      <c r="F24" s="72">
        <f t="shared" si="2"/>
        <v>0.19944066177606526</v>
      </c>
      <c r="G24" s="72" t="str">
        <f t="shared" si="2"/>
        <v>--</v>
      </c>
      <c r="H24" s="72">
        <f t="shared" si="2"/>
        <v>1.687594858366031</v>
      </c>
      <c r="I24" s="72" t="str">
        <f t="shared" si="2"/>
        <v>--</v>
      </c>
      <c r="J24" s="73">
        <f t="shared" si="2"/>
        <v>2.214600609700712</v>
      </c>
    </row>
    <row r="25" spans="2:10" ht="15" customHeight="1">
      <c r="B25" s="71" t="s">
        <v>14</v>
      </c>
      <c r="C25" s="72">
        <f t="shared" si="2"/>
        <v>1</v>
      </c>
      <c r="D25" s="72">
        <f t="shared" si="2"/>
        <v>2.5648554854834553</v>
      </c>
      <c r="E25" s="72">
        <f t="shared" si="2"/>
        <v>0.49539837617943405</v>
      </c>
      <c r="F25" s="72">
        <f t="shared" si="2"/>
        <v>8.16731719711902E-2</v>
      </c>
      <c r="G25" s="72" t="str">
        <f t="shared" si="2"/>
        <v>--</v>
      </c>
      <c r="H25" s="72">
        <f t="shared" si="2"/>
        <v>2.5339925877930622</v>
      </c>
      <c r="I25" s="72" t="str">
        <f t="shared" si="2"/>
        <v>--</v>
      </c>
      <c r="J25" s="73">
        <f t="shared" si="2"/>
        <v>1.8572567593501486</v>
      </c>
    </row>
    <row r="26" spans="2:10" ht="25.5" customHeight="1">
      <c r="B26" s="71" t="s">
        <v>15</v>
      </c>
      <c r="C26" s="72">
        <f t="shared" si="2"/>
        <v>1</v>
      </c>
      <c r="D26" s="72">
        <f t="shared" si="2"/>
        <v>1.8453763194679815</v>
      </c>
      <c r="E26" s="72">
        <f t="shared" si="2"/>
        <v>0.18174875417775732</v>
      </c>
      <c r="F26" s="72">
        <f t="shared" si="2"/>
        <v>3.3847949303513696E-2</v>
      </c>
      <c r="G26" s="72" t="str">
        <f t="shared" si="2"/>
        <v>--</v>
      </c>
      <c r="H26" s="72">
        <f t="shared" si="2"/>
        <v>1.1607106600467716</v>
      </c>
      <c r="I26" s="72" t="str">
        <f t="shared" si="2"/>
        <v>--</v>
      </c>
      <c r="J26" s="73">
        <f t="shared" si="2"/>
        <v>1.293740734629419</v>
      </c>
    </row>
    <row r="27" spans="2:10" ht="15" customHeight="1">
      <c r="B27" s="71" t="s">
        <v>16</v>
      </c>
      <c r="C27" s="72">
        <f t="shared" si="2"/>
        <v>1</v>
      </c>
      <c r="D27" s="72">
        <f t="shared" si="2"/>
        <v>6.9094066139554293</v>
      </c>
      <c r="E27" s="72">
        <f t="shared" si="2"/>
        <v>0.56471934333803164</v>
      </c>
      <c r="F27" s="72" t="str">
        <f t="shared" si="2"/>
        <v>--</v>
      </c>
      <c r="G27" s="72" t="str">
        <f t="shared" si="2"/>
        <v>--</v>
      </c>
      <c r="H27" s="72" t="str">
        <f t="shared" si="2"/>
        <v>--</v>
      </c>
      <c r="I27" s="72" t="str">
        <f t="shared" si="2"/>
        <v>--</v>
      </c>
      <c r="J27" s="73">
        <f t="shared" si="2"/>
        <v>4.0332815544467069</v>
      </c>
    </row>
    <row r="28" spans="2:10" ht="15" customHeight="1">
      <c r="B28" s="85" t="s">
        <v>98</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t="str">
        <f>'Black or African-American'!B16</f>
        <v>release 10/17/05</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101</v>
      </c>
    </row>
    <row r="4" spans="1:10" ht="103.5" customHeight="1">
      <c r="A4" s="172" t="s">
        <v>102</v>
      </c>
      <c r="B4" s="172"/>
      <c r="C4" s="172"/>
      <c r="D4" s="172"/>
      <c r="E4" s="172"/>
      <c r="F4" s="172"/>
      <c r="G4" s="172"/>
      <c r="H4" s="172"/>
      <c r="I4" s="172"/>
      <c r="J4" s="172"/>
    </row>
    <row r="6" spans="1:10" ht="15" customHeight="1">
      <c r="A6" s="1" t="s">
        <v>103</v>
      </c>
      <c r="B6" s="1">
        <v>0.05</v>
      </c>
    </row>
    <row r="7" spans="1:10" ht="15" hidden="1" customHeight="1">
      <c r="D7" s="21">
        <f>IF(B6=0.01,6.636,IF(B6=0.1,2.706,3.841))</f>
        <v>3.8410000000000002</v>
      </c>
      <c r="E7" s="21" t="s">
        <v>104</v>
      </c>
      <c r="F7" s="21"/>
    </row>
    <row r="8" spans="1:10" ht="15" customHeight="1">
      <c r="D8" s="21"/>
      <c r="E8" s="21"/>
      <c r="F8" s="21"/>
    </row>
    <row r="9" spans="1:10" ht="15.75" customHeight="1">
      <c r="A9" s="89" t="s">
        <v>105</v>
      </c>
    </row>
    <row r="10" spans="1:10" ht="85.5" customHeight="1">
      <c r="A10" s="217" t="s">
        <v>106</v>
      </c>
      <c r="B10" s="217"/>
      <c r="C10" s="217"/>
      <c r="D10" s="217"/>
      <c r="E10" s="217"/>
      <c r="F10" s="217"/>
      <c r="G10" s="217"/>
      <c r="H10" s="217"/>
      <c r="I10" s="217"/>
      <c r="J10" s="217"/>
    </row>
    <row r="11" spans="1:10" ht="15.75" customHeight="1">
      <c r="A11" s="90"/>
    </row>
    <row r="12" spans="1:10" ht="15.75" customHeight="1">
      <c r="A12" s="90" t="s">
        <v>107</v>
      </c>
      <c r="B12" s="57">
        <v>5</v>
      </c>
    </row>
    <row r="13" spans="1:10" ht="15.75" customHeight="1">
      <c r="A13" s="90" t="s">
        <v>108</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1"/>
  <sheetViews>
    <sheetView showGridLines="0" tabSelected="1" topLeftCell="A5" zoomScaleNormal="100" workbookViewId="0">
      <selection activeCell="B31" sqref="B31:L31"/>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4" t="s">
        <v>123</v>
      </c>
      <c r="C2" s="175"/>
      <c r="D2" s="175"/>
      <c r="E2" s="175"/>
      <c r="F2" s="175"/>
      <c r="G2" s="175"/>
      <c r="H2" s="175"/>
      <c r="I2" s="175"/>
      <c r="J2" s="175"/>
      <c r="K2" s="175"/>
      <c r="L2" s="175"/>
      <c r="M2" s="175"/>
      <c r="N2" s="175"/>
      <c r="O2" s="175"/>
      <c r="P2" s="175"/>
      <c r="Q2" s="176"/>
    </row>
    <row r="3" spans="2:26" s="1" customFormat="1" ht="19.5" thickTop="1">
      <c r="B3" s="95" t="str">
        <f>'Data Entry'!A2</f>
        <v>State: Michigan</v>
      </c>
      <c r="C3" s="93"/>
      <c r="D3" s="93"/>
      <c r="E3" s="93"/>
      <c r="F3" s="93"/>
      <c r="G3" s="93"/>
      <c r="H3" s="93"/>
      <c r="I3" s="93"/>
      <c r="J3" s="93"/>
      <c r="K3" s="93"/>
      <c r="L3" s="93"/>
      <c r="M3" s="93"/>
      <c r="N3" s="182" t="str">
        <f>'Data Entry'!C3</f>
        <v xml:space="preserve">Reporting Period:  </v>
      </c>
      <c r="O3" s="183"/>
      <c r="P3" s="183"/>
      <c r="Q3" s="184"/>
      <c r="R3"/>
    </row>
    <row r="4" spans="2:26" s="1" customFormat="1" ht="19.5" thickBot="1">
      <c r="B4" s="99" t="str">
        <f>'Data Entry'!A3</f>
        <v>All Reporting Counties</v>
      </c>
      <c r="C4" s="100"/>
      <c r="D4" s="100"/>
      <c r="E4" s="100"/>
      <c r="F4" s="100"/>
      <c r="G4" s="100"/>
      <c r="H4" s="100"/>
      <c r="I4" s="100"/>
      <c r="J4" s="100"/>
      <c r="K4" s="100"/>
      <c r="L4" s="100"/>
      <c r="M4" s="100"/>
      <c r="N4" s="179" t="str">
        <f>'Data Entry'!C4</f>
        <v>10/1/21 through 9/30/22</v>
      </c>
      <c r="O4" s="180"/>
      <c r="P4" s="180"/>
      <c r="Q4" s="181"/>
      <c r="R4"/>
    </row>
    <row r="5" spans="2:26" s="8" customFormat="1" ht="71.25" customHeight="1">
      <c r="B5" s="97"/>
      <c r="C5" s="166" t="s">
        <v>3</v>
      </c>
      <c r="D5" s="177" t="str">
        <f>'Black or African-American'!$F$1</f>
        <v>Black or African American</v>
      </c>
      <c r="E5" s="178"/>
      <c r="F5" s="177" t="str">
        <f>Hispanic!F1</f>
        <v>Hispanic or Latino</v>
      </c>
      <c r="G5" s="178"/>
      <c r="H5" s="177" t="str">
        <f>Asian!F1</f>
        <v>Asian</v>
      </c>
      <c r="I5" s="178"/>
      <c r="J5" s="177" t="str">
        <f>Hawaiian!F1</f>
        <v>Native Hawaiian or Other Pacific Islanders</v>
      </c>
      <c r="K5" s="178"/>
      <c r="L5" s="177" t="str">
        <f>'Data Entry'!H5</f>
        <v>American Indian or Alaska Native</v>
      </c>
      <c r="M5" s="178"/>
      <c r="N5" s="177" t="str">
        <f>'Data Entry'!I5</f>
        <v>Biracial or Other</v>
      </c>
      <c r="O5" s="178"/>
      <c r="P5" s="177" t="str">
        <f>'Data Entry'!J5</f>
        <v>All Minorities</v>
      </c>
      <c r="Q5" s="185"/>
      <c r="T5" s="69"/>
      <c r="U5" s="69"/>
      <c r="V5" s="69"/>
      <c r="W5" s="69"/>
    </row>
    <row r="6" spans="2:26" s="8" customFormat="1" ht="18" customHeight="1">
      <c r="B6" s="156" t="s">
        <v>121</v>
      </c>
      <c r="C6" s="144" t="s">
        <v>119</v>
      </c>
      <c r="D6" s="145" t="s">
        <v>119</v>
      </c>
      <c r="E6" s="146" t="s">
        <v>120</v>
      </c>
      <c r="F6" s="145" t="s">
        <v>119</v>
      </c>
      <c r="G6" s="146" t="s">
        <v>120</v>
      </c>
      <c r="H6" s="145" t="s">
        <v>119</v>
      </c>
      <c r="I6" s="146" t="s">
        <v>120</v>
      </c>
      <c r="J6" s="145" t="s">
        <v>119</v>
      </c>
      <c r="K6" s="146" t="s">
        <v>120</v>
      </c>
      <c r="L6" s="145" t="s">
        <v>119</v>
      </c>
      <c r="M6" s="146" t="s">
        <v>120</v>
      </c>
      <c r="N6" s="145" t="s">
        <v>119</v>
      </c>
      <c r="O6" s="146" t="s">
        <v>120</v>
      </c>
      <c r="P6" s="145" t="s">
        <v>119</v>
      </c>
      <c r="Q6" s="147" t="s">
        <v>120</v>
      </c>
    </row>
    <row r="7" spans="2:26" s="8" customFormat="1" ht="18" customHeight="1">
      <c r="B7" s="141" t="str">
        <f>'Data Entry'!A6</f>
        <v xml:space="preserve">1. Population at Risk (age 10-17) </v>
      </c>
      <c r="C7" s="101">
        <f>'Data Entry'!C6</f>
        <v>681108</v>
      </c>
      <c r="D7" s="102">
        <f>'Data Entry'!D6</f>
        <v>168989</v>
      </c>
      <c r="E7" s="103"/>
      <c r="F7" s="104">
        <f>'Data Entry'!E6</f>
        <v>86150</v>
      </c>
      <c r="G7" s="103"/>
      <c r="H7" s="104">
        <f>'Data Entry'!F6</f>
        <v>38549</v>
      </c>
      <c r="I7" s="103"/>
      <c r="J7" s="104">
        <f>'Data Entry'!G6</f>
        <v>0</v>
      </c>
      <c r="K7" s="103"/>
      <c r="L7" s="104">
        <f>'Data Entry'!H6</f>
        <v>7869</v>
      </c>
      <c r="M7" s="103"/>
      <c r="N7" s="104">
        <f>'Data Entry'!I6</f>
        <v>0</v>
      </c>
      <c r="O7" s="103"/>
      <c r="P7" s="104">
        <f>'Data Entry'!J6</f>
        <v>301557</v>
      </c>
      <c r="Q7" s="105"/>
    </row>
    <row r="8" spans="2:26" s="1" customFormat="1" ht="15" customHeight="1">
      <c r="B8" s="141" t="str">
        <f>'Data Entry'!A7</f>
        <v>2. Juvenile Arrests</v>
      </c>
      <c r="C8" s="101">
        <f>'Data Entry'!C7</f>
        <v>4346</v>
      </c>
      <c r="D8" s="102">
        <f>'Data Entry'!D7</f>
        <v>3512</v>
      </c>
      <c r="E8" s="103">
        <f>'Black or African-American'!$G7</f>
        <v>3.2570342881860772</v>
      </c>
      <c r="F8" s="104">
        <f>'Data Entry'!E7</f>
        <v>189</v>
      </c>
      <c r="G8" s="103">
        <f>Hispanic!G7</f>
        <v>0.34382130291588392</v>
      </c>
      <c r="H8" s="104">
        <f>'Data Entry'!F7</f>
        <v>29</v>
      </c>
      <c r="I8" s="103">
        <f>Asian!G7</f>
        <v>0.11789927670423155</v>
      </c>
      <c r="J8" s="104">
        <f>'Data Entry'!G7</f>
        <v>2</v>
      </c>
      <c r="K8" s="103" t="str">
        <f>Hawaiian!G7</f>
        <v>*</v>
      </c>
      <c r="L8" s="104">
        <f>'Data Entry'!H7</f>
        <v>67</v>
      </c>
      <c r="M8" s="103" t="str">
        <f>'Am Indian'!G7</f>
        <v>*</v>
      </c>
      <c r="N8" s="104">
        <f>'Data Entry'!I7</f>
        <v>0</v>
      </c>
      <c r="O8" s="103" t="str">
        <f>'Other - Mixed'!G7</f>
        <v>*</v>
      </c>
      <c r="P8" s="104">
        <f>'Data Entry'!J7</f>
        <v>3799</v>
      </c>
      <c r="Q8" s="105">
        <f>'All Minorities'!G7</f>
        <v>1.9743590681528076</v>
      </c>
      <c r="R8"/>
      <c r="T8" s="1">
        <f>'Black or African-American'!L7</f>
        <v>1</v>
      </c>
      <c r="U8" s="1">
        <f>Hispanic!L7</f>
        <v>1</v>
      </c>
      <c r="V8" s="1">
        <f>Asian!L7</f>
        <v>1</v>
      </c>
      <c r="W8" s="1" t="e">
        <f>Hawaiian!L7</f>
        <v>#DIV/0!</v>
      </c>
      <c r="X8" s="1">
        <f>'Am Indian'!L7</f>
        <v>100</v>
      </c>
      <c r="Y8" s="1" t="e">
        <f>'Other - Mixed'!L7</f>
        <v>#VALUE!</v>
      </c>
      <c r="Z8" s="1">
        <f>'All Minorities'!L7</f>
        <v>1</v>
      </c>
    </row>
    <row r="9" spans="2:26" s="1" customFormat="1" ht="15" customHeight="1">
      <c r="B9" s="140" t="s">
        <v>136</v>
      </c>
      <c r="C9" s="101">
        <f>'Data Entry'!C8</f>
        <v>6290</v>
      </c>
      <c r="D9" s="106">
        <f>'Data Entry'!D8</f>
        <v>4514</v>
      </c>
      <c r="E9" s="107">
        <f>'Black or African-American'!$G8</f>
        <v>0.88806780115235162</v>
      </c>
      <c r="F9" s="108">
        <f>'Data Entry'!E8</f>
        <v>324</v>
      </c>
      <c r="G9" s="107">
        <f>Hispanic!G8</f>
        <v>1.184465137406314</v>
      </c>
      <c r="H9" s="108">
        <f>'Data Entry'!F8</f>
        <v>51</v>
      </c>
      <c r="I9" s="107" t="str">
        <f>Asian!G8</f>
        <v>**</v>
      </c>
      <c r="J9" s="108">
        <f>'Data Entry'!G8</f>
        <v>2</v>
      </c>
      <c r="K9" s="107" t="str">
        <f>Hawaiian!G8</f>
        <v>*</v>
      </c>
      <c r="L9" s="108">
        <f>'Data Entry'!H8</f>
        <v>113</v>
      </c>
      <c r="M9" s="107" t="str">
        <f>'Am Indian'!G8</f>
        <v>*</v>
      </c>
      <c r="N9" s="108">
        <f>'Data Entry'!I8</f>
        <v>521</v>
      </c>
      <c r="O9" s="107" t="str">
        <f>'Other - Mixed'!G8</f>
        <v>*</v>
      </c>
      <c r="P9" s="108">
        <f>'Data Entry'!J8</f>
        <v>5525</v>
      </c>
      <c r="Q9" s="109">
        <f>'All Minorities'!G8</f>
        <v>1.0048519169340437</v>
      </c>
      <c r="R9"/>
      <c r="T9" s="1">
        <f>'Black or African-American'!L8</f>
        <v>1</v>
      </c>
      <c r="U9" s="1">
        <f>Hispanic!L8</f>
        <v>1</v>
      </c>
      <c r="V9" s="1">
        <f>Asian!L8</f>
        <v>20</v>
      </c>
      <c r="W9" s="1">
        <f>Hawaiian!L8</f>
        <v>139</v>
      </c>
      <c r="X9" s="1">
        <f>'Am Indian'!L8</f>
        <v>100</v>
      </c>
      <c r="Y9" s="1">
        <f>'Other - Mixed'!L8</f>
        <v>119</v>
      </c>
      <c r="Z9" s="1">
        <f>'All Minorities'!L8</f>
        <v>2</v>
      </c>
    </row>
    <row r="10" spans="2:26" s="1" customFormat="1" ht="15" customHeight="1">
      <c r="B10" s="140" t="s">
        <v>10</v>
      </c>
      <c r="C10" s="101">
        <f>'Data Entry'!C9</f>
        <v>1473</v>
      </c>
      <c r="D10" s="110">
        <f>'Data Entry'!D9</f>
        <v>1023</v>
      </c>
      <c r="E10" s="111">
        <f>'Black or African-American'!$G9</f>
        <v>0.9677473206236854</v>
      </c>
      <c r="F10" s="112">
        <f>'Data Entry'!E9</f>
        <v>58</v>
      </c>
      <c r="G10" s="111">
        <f>Hispanic!G9</f>
        <v>0.76441795948471669</v>
      </c>
      <c r="H10" s="112">
        <f>'Data Entry'!F9</f>
        <v>9</v>
      </c>
      <c r="I10" s="111">
        <f>Asian!G9</f>
        <v>0.7535641547861508</v>
      </c>
      <c r="J10" s="112">
        <f>'Data Entry'!G9</f>
        <v>0</v>
      </c>
      <c r="K10" s="111" t="str">
        <f>Hawaiian!G9</f>
        <v>*</v>
      </c>
      <c r="L10" s="112">
        <f>'Data Entry'!H9</f>
        <v>11</v>
      </c>
      <c r="M10" s="111" t="str">
        <f>'Am Indian'!G9</f>
        <v>*</v>
      </c>
      <c r="N10" s="112">
        <f>'Data Entry'!I9</f>
        <v>95</v>
      </c>
      <c r="O10" s="111" t="str">
        <f>'Other - Mixed'!G9</f>
        <v>*</v>
      </c>
      <c r="P10" s="112">
        <f>'Data Entry'!J9</f>
        <v>1196</v>
      </c>
      <c r="Q10" s="113">
        <f>'All Minorities'!G9</f>
        <v>0.92437202987101164</v>
      </c>
      <c r="R10"/>
      <c r="T10" s="1">
        <f>'Black or African-American'!L9</f>
        <v>2</v>
      </c>
      <c r="U10" s="1">
        <f>Hispanic!L9</f>
        <v>1</v>
      </c>
      <c r="V10" s="1">
        <f>Asian!L9</f>
        <v>2</v>
      </c>
      <c r="W10" s="1">
        <f>Hawaiian!L9</f>
        <v>139</v>
      </c>
      <c r="X10" s="1">
        <f>'Am Indian'!L9</f>
        <v>100</v>
      </c>
      <c r="Y10" s="1">
        <f>'Other - Mixed'!L9</f>
        <v>100</v>
      </c>
      <c r="Z10" s="1">
        <f>'All Minorities'!L9</f>
        <v>1</v>
      </c>
    </row>
    <row r="11" spans="2:26" s="1" customFormat="1" ht="15" customHeight="1">
      <c r="B11" s="140" t="s">
        <v>11</v>
      </c>
      <c r="C11" s="101">
        <f>'Data Entry'!C10</f>
        <v>739</v>
      </c>
      <c r="D11" s="106">
        <f>'Data Entry'!D10</f>
        <v>1433</v>
      </c>
      <c r="E11" s="107">
        <f>'Black or African-American'!$G10</f>
        <v>2.7020342066150538</v>
      </c>
      <c r="F11" s="108">
        <f>'Data Entry'!E10</f>
        <v>113</v>
      </c>
      <c r="G11" s="107">
        <f>Hispanic!G10</f>
        <v>2.9685176832222391</v>
      </c>
      <c r="H11" s="108">
        <f>'Data Entry'!F10</f>
        <v>10</v>
      </c>
      <c r="I11" s="107">
        <f>Asian!G10</f>
        <v>1.6689219666215609</v>
      </c>
      <c r="J11" s="108">
        <f>'Data Entry'!G10</f>
        <v>0</v>
      </c>
      <c r="K11" s="107" t="str">
        <f>Hawaiian!G10</f>
        <v>*</v>
      </c>
      <c r="L11" s="108">
        <f>'Data Entry'!H10</f>
        <v>10</v>
      </c>
      <c r="M11" s="107" t="str">
        <f>'Am Indian'!G10</f>
        <v>*</v>
      </c>
      <c r="N11" s="108">
        <f>'Data Entry'!I10</f>
        <v>183</v>
      </c>
      <c r="O11" s="107" t="str">
        <f>'Other - Mixed'!G10</f>
        <v>*</v>
      </c>
      <c r="P11" s="108">
        <f>'Data Entry'!J10</f>
        <v>1749</v>
      </c>
      <c r="Q11" s="109">
        <f>'All Minorities'!G10</f>
        <v>2.6944103258041014</v>
      </c>
      <c r="R11"/>
      <c r="T11" s="1">
        <f>'Black or African-American'!L10</f>
        <v>1</v>
      </c>
      <c r="U11" s="1">
        <f>Hispanic!L10</f>
        <v>1</v>
      </c>
      <c r="V11" s="1">
        <f>Asian!L10</f>
        <v>2</v>
      </c>
      <c r="W11" s="1">
        <f>Hawaiian!L10</f>
        <v>139</v>
      </c>
      <c r="X11" s="1">
        <f>'Am Indian'!L10</f>
        <v>101</v>
      </c>
      <c r="Y11" s="1">
        <f>'Other - Mixed'!L10</f>
        <v>100</v>
      </c>
      <c r="Z11" s="1">
        <f>'All Minorities'!L10</f>
        <v>1</v>
      </c>
    </row>
    <row r="12" spans="2:26" s="1" customFormat="1" ht="15" customHeight="1">
      <c r="B12" s="140" t="s">
        <v>97</v>
      </c>
      <c r="C12" s="101">
        <f>'Data Entry'!C11</f>
        <v>3332</v>
      </c>
      <c r="D12" s="110">
        <f>'Data Entry'!D11</f>
        <v>3028</v>
      </c>
      <c r="E12" s="111">
        <f>'Black or African-American'!$G11</f>
        <v>1.2663098026095685</v>
      </c>
      <c r="F12" s="112">
        <f>'Data Entry'!E11</f>
        <v>183</v>
      </c>
      <c r="G12" s="111">
        <f>Hispanic!G11</f>
        <v>1.0662320483749055</v>
      </c>
      <c r="H12" s="112">
        <f>'Data Entry'!F11</f>
        <v>32</v>
      </c>
      <c r="I12" s="111">
        <f>Asian!G11</f>
        <v>1.1844737895158062</v>
      </c>
      <c r="J12" s="112">
        <f>'Data Entry'!G11</f>
        <v>0</v>
      </c>
      <c r="K12" s="111" t="str">
        <f>Hawaiian!G11</f>
        <v>*</v>
      </c>
      <c r="L12" s="112">
        <f>'Data Entry'!H11</f>
        <v>40</v>
      </c>
      <c r="M12" s="111" t="str">
        <f>'Am Indian'!G11</f>
        <v>*</v>
      </c>
      <c r="N12" s="112">
        <f>'Data Entry'!I11</f>
        <v>346</v>
      </c>
      <c r="O12" s="111" t="str">
        <f>'Other - Mixed'!G11</f>
        <v>*</v>
      </c>
      <c r="P12" s="112">
        <f>'Data Entry'!J11</f>
        <v>3629</v>
      </c>
      <c r="Q12" s="113">
        <f>'All Minorities'!G11</f>
        <v>1.2399390525440943</v>
      </c>
      <c r="R12"/>
      <c r="T12" s="1">
        <f>'Black or African-American'!L11</f>
        <v>1</v>
      </c>
      <c r="U12" s="1">
        <f>Hispanic!L11</f>
        <v>2</v>
      </c>
      <c r="V12" s="1">
        <f>Asian!L11</f>
        <v>2</v>
      </c>
      <c r="W12" s="1">
        <f>Hawaiian!L11</f>
        <v>139</v>
      </c>
      <c r="X12" s="1">
        <f>'Am Indian'!L11</f>
        <v>100</v>
      </c>
      <c r="Y12" s="1">
        <f>'Other - Mixed'!L11</f>
        <v>100</v>
      </c>
      <c r="Z12" s="1">
        <f>'All Minorities'!L11</f>
        <v>1</v>
      </c>
    </row>
    <row r="13" spans="2:26" s="1" customFormat="1" ht="15" customHeight="1">
      <c r="B13" s="140" t="s">
        <v>13</v>
      </c>
      <c r="C13" s="101">
        <f>'Data Entry'!C12</f>
        <v>1949</v>
      </c>
      <c r="D13" s="106">
        <f>'Data Entry'!D12</f>
        <v>1518</v>
      </c>
      <c r="E13" s="107">
        <f>'Black or African-American'!$G12</f>
        <v>0.85705571329130614</v>
      </c>
      <c r="F13" s="108">
        <f>'Data Entry'!E12</f>
        <v>133</v>
      </c>
      <c r="G13" s="107">
        <f>Hispanic!G12</f>
        <v>1.2424922967361713</v>
      </c>
      <c r="H13" s="108">
        <f>'Data Entry'!F12</f>
        <v>22</v>
      </c>
      <c r="I13" s="107">
        <f>Asian!G12</f>
        <v>1.1753463314520267</v>
      </c>
      <c r="J13" s="108">
        <f>'Data Entry'!G12</f>
        <v>0</v>
      </c>
      <c r="K13" s="107" t="str">
        <f>Hawaiian!G12</f>
        <v>*</v>
      </c>
      <c r="L13" s="108">
        <f>'Data Entry'!H12</f>
        <v>38</v>
      </c>
      <c r="M13" s="107" t="str">
        <f>'Am Indian'!G12</f>
        <v>*</v>
      </c>
      <c r="N13" s="108">
        <f>'Data Entry'!I12</f>
        <v>200</v>
      </c>
      <c r="O13" s="107" t="str">
        <f>'Other - Mixed'!G12</f>
        <v>*</v>
      </c>
      <c r="P13" s="108">
        <f>'Data Entry'!J12</f>
        <v>1911</v>
      </c>
      <c r="Q13" s="109">
        <f>'All Minorities'!G12</f>
        <v>0.90025775772131489</v>
      </c>
      <c r="R13"/>
      <c r="T13" s="1">
        <f>'Black or African-American'!L12</f>
        <v>1</v>
      </c>
      <c r="U13" s="1">
        <f>Hispanic!L12</f>
        <v>1</v>
      </c>
      <c r="V13" s="1">
        <f>Asian!L12</f>
        <v>2</v>
      </c>
      <c r="W13" s="1" t="e">
        <f>Hawaiian!L12</f>
        <v>#VALUE!</v>
      </c>
      <c r="X13" s="1">
        <f>'Am Indian'!L12</f>
        <v>100</v>
      </c>
      <c r="Y13" s="1">
        <f>'Other - Mixed'!L12</f>
        <v>101</v>
      </c>
      <c r="Z13" s="1">
        <f>'All Minorities'!L12</f>
        <v>1</v>
      </c>
    </row>
    <row r="14" spans="2:26" s="1" customFormat="1" ht="15" customHeight="1">
      <c r="B14" s="140" t="s">
        <v>135</v>
      </c>
      <c r="C14" s="101">
        <f>'Data Entry'!C13</f>
        <v>1947</v>
      </c>
      <c r="D14" s="110">
        <f>'Data Entry'!D13</f>
        <v>1239</v>
      </c>
      <c r="E14" s="111">
        <f>'Black or African-American'!$G13</f>
        <v>0.81704395736016289</v>
      </c>
      <c r="F14" s="112">
        <f>'Data Entry'!E13</f>
        <v>122</v>
      </c>
      <c r="G14" s="111">
        <f>Hispanic!G13</f>
        <v>0.91823549629080392</v>
      </c>
      <c r="H14" s="112">
        <f>'Data Entry'!F13</f>
        <v>9</v>
      </c>
      <c r="I14" s="111" t="str">
        <f>Asian!G13</f>
        <v>**</v>
      </c>
      <c r="J14" s="112">
        <f>'Data Entry'!G13</f>
        <v>3</v>
      </c>
      <c r="K14" s="111" t="str">
        <f>Hawaiian!G13</f>
        <v>*</v>
      </c>
      <c r="L14" s="112">
        <f>'Data Entry'!H13</f>
        <v>57</v>
      </c>
      <c r="M14" s="111" t="str">
        <f>'Am Indian'!G13</f>
        <v>*</v>
      </c>
      <c r="N14" s="112">
        <f>'Data Entry'!I13</f>
        <v>171</v>
      </c>
      <c r="O14" s="111" t="str">
        <f>'Other - Mixed'!G13</f>
        <v>*</v>
      </c>
      <c r="P14" s="112">
        <f>'Data Entry'!J13</f>
        <v>1601</v>
      </c>
      <c r="Q14" s="113">
        <f>'All Minorities'!G13</f>
        <v>0.8386418531696983</v>
      </c>
      <c r="R14"/>
      <c r="T14" s="1">
        <f>'Black or African-American'!L13</f>
        <v>1</v>
      </c>
      <c r="U14" s="1">
        <f>Hispanic!L13</f>
        <v>1</v>
      </c>
      <c r="V14" s="1">
        <f>Asian!L13</f>
        <v>20</v>
      </c>
      <c r="W14" s="1" t="e">
        <f>Hawaiian!L13</f>
        <v>#DIV/0!</v>
      </c>
      <c r="X14" s="1">
        <f>'Am Indian'!L13</f>
        <v>100</v>
      </c>
      <c r="Y14" s="1">
        <f>'Other - Mixed'!L13</f>
        <v>100</v>
      </c>
      <c r="Z14" s="1">
        <f>'All Minorities'!L13</f>
        <v>1</v>
      </c>
    </row>
    <row r="15" spans="2:26" s="1" customFormat="1" ht="33">
      <c r="B15" s="142" t="s">
        <v>125</v>
      </c>
      <c r="C15" s="101">
        <f>'Data Entry'!C14</f>
        <v>522</v>
      </c>
      <c r="D15" s="106">
        <f>'Data Entry'!D14</f>
        <v>239</v>
      </c>
      <c r="E15" s="107">
        <f>'Black or African-American'!$G14</f>
        <v>0.58785127638201096</v>
      </c>
      <c r="F15" s="108">
        <f>'Data Entry'!E14</f>
        <v>12</v>
      </c>
      <c r="G15" s="107">
        <f>Hispanic!G14</f>
        <v>0.33687667444473252</v>
      </c>
      <c r="H15" s="108">
        <f>'Data Entry'!F14</f>
        <v>1</v>
      </c>
      <c r="I15" s="107" t="str">
        <f>Asian!G14</f>
        <v>**</v>
      </c>
      <c r="J15" s="108">
        <f>'Data Entry'!G14</f>
        <v>0</v>
      </c>
      <c r="K15" s="107" t="str">
        <f>Hawaiian!G14</f>
        <v>*</v>
      </c>
      <c r="L15" s="108">
        <f>'Data Entry'!H14</f>
        <v>7</v>
      </c>
      <c r="M15" s="107" t="str">
        <f>'Am Indian'!G14</f>
        <v>*</v>
      </c>
      <c r="N15" s="108">
        <f>'Data Entry'!I14</f>
        <v>40</v>
      </c>
      <c r="O15" s="107" t="str">
        <f>'Other - Mixed'!G14</f>
        <v>*</v>
      </c>
      <c r="P15" s="108">
        <f>'Data Entry'!J14</f>
        <v>299</v>
      </c>
      <c r="Q15" s="109">
        <f>'All Minorities'!G14</f>
        <v>0.58418693147757184</v>
      </c>
      <c r="R15"/>
      <c r="T15" s="1">
        <f>'Black or African-American'!L14</f>
        <v>1</v>
      </c>
      <c r="U15" s="1">
        <f>Hispanic!L14</f>
        <v>1</v>
      </c>
      <c r="V15" s="1">
        <f>Asian!L14</f>
        <v>20</v>
      </c>
      <c r="W15" s="1" t="e">
        <f>Hawaiian!L14</f>
        <v>#VALUE!</v>
      </c>
      <c r="X15" s="1">
        <f>'Am Indian'!L14</f>
        <v>101</v>
      </c>
      <c r="Y15" s="1">
        <f>'Other - Mixed'!L14</f>
        <v>100</v>
      </c>
      <c r="Z15" s="1">
        <f>'All Minorities'!L14</f>
        <v>1</v>
      </c>
    </row>
    <row r="16" spans="2:26" s="1" customFormat="1" ht="15" customHeight="1">
      <c r="B16" s="140" t="s">
        <v>16</v>
      </c>
      <c r="C16" s="101">
        <f>'Data Entry'!C15</f>
        <v>14</v>
      </c>
      <c r="D16" s="114">
        <f>'Data Entry'!D15</f>
        <v>24</v>
      </c>
      <c r="E16" s="115">
        <f>'Black or African-American'!$G15</f>
        <v>1.8863936591809773</v>
      </c>
      <c r="F16" s="116">
        <f>'Data Entry'!E15</f>
        <v>1</v>
      </c>
      <c r="G16" s="115" t="str">
        <f>Hispanic!G15</f>
        <v>**</v>
      </c>
      <c r="H16" s="116">
        <f>'Data Entry'!F15</f>
        <v>0</v>
      </c>
      <c r="I16" s="115" t="str">
        <f>Asian!G15</f>
        <v>**</v>
      </c>
      <c r="J16" s="116">
        <f>'Data Entry'!G15</f>
        <v>0</v>
      </c>
      <c r="K16" s="115" t="str">
        <f>Hawaiian!G15</f>
        <v>*</v>
      </c>
      <c r="L16" s="116">
        <f>'Data Entry'!H15</f>
        <v>0</v>
      </c>
      <c r="M16" s="115" t="str">
        <f>'Am Indian'!G15</f>
        <v>*</v>
      </c>
      <c r="N16" s="116">
        <f>'Data Entry'!I15</f>
        <v>0</v>
      </c>
      <c r="O16" s="115" t="str">
        <f>'Other - Mixed'!G15</f>
        <v>*</v>
      </c>
      <c r="P16" s="116">
        <f>'Data Entry'!J15</f>
        <v>25</v>
      </c>
      <c r="Q16" s="117">
        <f>'All Minorities'!G15</f>
        <v>1.6395701295122622</v>
      </c>
      <c r="R16"/>
      <c r="T16" s="1">
        <f>'Black or African-American'!L15</f>
        <v>2</v>
      </c>
      <c r="U16" s="1">
        <f>Hispanic!L15</f>
        <v>40</v>
      </c>
      <c r="V16" s="1">
        <f>Asian!L15</f>
        <v>40</v>
      </c>
      <c r="W16" s="1" t="e">
        <f>Hawaiian!L15</f>
        <v>#VALUE!</v>
      </c>
      <c r="X16" s="1">
        <f>'Am Indian'!L15</f>
        <v>139</v>
      </c>
      <c r="Y16" s="1">
        <f>'Other - Mixed'!L15</f>
        <v>139</v>
      </c>
      <c r="Z16" s="1">
        <f>'All Minorities'!L15</f>
        <v>2</v>
      </c>
    </row>
    <row r="17" spans="2:18" s="1" customFormat="1" ht="15" customHeight="1" thickBot="1">
      <c r="B17" s="143" t="s">
        <v>98</v>
      </c>
      <c r="C17" s="96" t="str">
        <f>'Data Entry'!C16</f>
        <v>Yes</v>
      </c>
      <c r="D17" s="127"/>
      <c r="E17" s="137" t="str">
        <f>'Data Entry'!$D$16</f>
        <v>Yes</v>
      </c>
      <c r="F17" s="127"/>
      <c r="G17" s="137" t="str">
        <f>'Data Entry'!$E$16</f>
        <v>Yes</v>
      </c>
      <c r="H17" s="127"/>
      <c r="I17" s="137" t="str">
        <f>'Data Entry'!F16</f>
        <v>Yes</v>
      </c>
      <c r="J17" s="127"/>
      <c r="K17" s="137" t="str">
        <f>'Data Entry'!G16</f>
        <v>No</v>
      </c>
      <c r="L17" s="127"/>
      <c r="M17" s="137" t="str">
        <f>'Data Entry'!H16</f>
        <v>No</v>
      </c>
      <c r="N17" s="127"/>
      <c r="O17" s="137" t="str">
        <f>'Data Entry'!I16</f>
        <v>No</v>
      </c>
      <c r="P17" s="127"/>
      <c r="Q17" s="138" t="str">
        <f>'Data Entry'!J16</f>
        <v>Yes</v>
      </c>
      <c r="R17"/>
    </row>
    <row r="18" spans="2:18" ht="15" customHeight="1" thickTop="1" thickBot="1">
      <c r="B18" s="91"/>
      <c r="C18" s="91"/>
      <c r="D18" s="91"/>
      <c r="E18" s="91"/>
      <c r="F18" s="91"/>
      <c r="G18" s="91"/>
      <c r="H18" s="91"/>
      <c r="I18" s="91"/>
      <c r="J18" s="91"/>
      <c r="K18" s="91"/>
      <c r="L18" s="91"/>
      <c r="M18" s="91"/>
      <c r="N18" s="91"/>
      <c r="O18" s="91"/>
      <c r="P18" s="91"/>
      <c r="Q18" s="91"/>
    </row>
    <row r="19" spans="2:18" ht="18" customHeight="1" thickBot="1">
      <c r="B19" s="92"/>
      <c r="C19" s="128"/>
      <c r="D19" s="129"/>
      <c r="E19" s="129"/>
      <c r="F19" s="129"/>
      <c r="G19" s="129"/>
      <c r="H19" s="131" t="s">
        <v>130</v>
      </c>
      <c r="I19" s="132" t="s">
        <v>52</v>
      </c>
      <c r="J19" s="129"/>
      <c r="K19" s="129"/>
      <c r="L19" s="129"/>
      <c r="M19" s="129"/>
      <c r="N19" s="129"/>
      <c r="O19" s="130"/>
      <c r="P19" s="91"/>
      <c r="Q19" s="91"/>
    </row>
    <row r="20" spans="2:18" ht="16.5">
      <c r="B20" s="91"/>
      <c r="C20" s="151" t="s">
        <v>127</v>
      </c>
      <c r="D20" s="157"/>
      <c r="E20" s="158"/>
      <c r="F20" s="159"/>
      <c r="G20" s="160" t="s">
        <v>54</v>
      </c>
      <c r="H20" s="157"/>
      <c r="I20" s="151" t="s">
        <v>57</v>
      </c>
      <c r="J20" s="157"/>
      <c r="K20" s="157"/>
      <c r="L20" s="157"/>
      <c r="M20" s="157"/>
      <c r="N20" s="157"/>
      <c r="O20" s="152" t="s">
        <v>58</v>
      </c>
      <c r="Q20" s="91"/>
    </row>
    <row r="21" spans="2:18" ht="15" customHeight="1">
      <c r="B21" s="91"/>
      <c r="C21" s="153" t="s">
        <v>129</v>
      </c>
      <c r="D21" s="157"/>
      <c r="E21" s="161"/>
      <c r="F21" s="157"/>
      <c r="G21" s="162" t="s">
        <v>56</v>
      </c>
      <c r="H21" s="157"/>
      <c r="I21" s="153" t="s">
        <v>59</v>
      </c>
      <c r="J21" s="157"/>
      <c r="K21" s="157"/>
      <c r="L21" s="157"/>
      <c r="M21" s="157"/>
      <c r="N21" s="157"/>
      <c r="O21" s="154" t="s">
        <v>60</v>
      </c>
      <c r="Q21" s="91"/>
    </row>
    <row r="22" spans="2:18" ht="15" customHeight="1" thickBot="1">
      <c r="B22" s="91"/>
      <c r="C22" s="163"/>
      <c r="D22" s="164"/>
      <c r="E22" s="164"/>
      <c r="F22" s="164"/>
      <c r="G22" s="164"/>
      <c r="H22" s="164"/>
      <c r="I22" s="165" t="s">
        <v>61</v>
      </c>
      <c r="J22" s="164"/>
      <c r="K22" s="164"/>
      <c r="L22" s="164"/>
      <c r="M22" s="164"/>
      <c r="N22" s="164"/>
      <c r="O22" s="155" t="s">
        <v>62</v>
      </c>
      <c r="Q22" s="91"/>
    </row>
    <row r="23" spans="2:18" ht="15" customHeight="1">
      <c r="B23" s="91"/>
      <c r="C23" s="91"/>
      <c r="D23" s="91"/>
      <c r="E23"/>
      <c r="F23"/>
      <c r="G23"/>
      <c r="H23"/>
      <c r="K23"/>
      <c r="L23"/>
      <c r="M23" s="91"/>
      <c r="N23" s="91"/>
      <c r="O23" s="91"/>
      <c r="P23" s="91"/>
      <c r="Q23" s="91"/>
    </row>
    <row r="24" spans="2:18" ht="15" customHeight="1">
      <c r="B24" s="91"/>
      <c r="C24" s="91"/>
      <c r="D24" s="91"/>
      <c r="E24"/>
      <c r="F24"/>
      <c r="G24"/>
      <c r="H24"/>
      <c r="K24"/>
      <c r="L24"/>
      <c r="M24" s="91"/>
      <c r="N24" s="91"/>
      <c r="O24" s="91"/>
      <c r="P24" s="91"/>
      <c r="Q24" s="91"/>
    </row>
    <row r="25" spans="2:18" ht="15" customHeight="1">
      <c r="B25" s="1" t="str">
        <f>'Data Entry'!A18</f>
        <v>5. DATA SOURCES &amp; NOTES</v>
      </c>
    </row>
    <row r="26" spans="2:18" ht="15" customHeight="1">
      <c r="B26" s="1">
        <v>2488</v>
      </c>
      <c r="E26" s="1" t="str">
        <f>'Data Entry'!D19</f>
        <v>Item 2.Arrest: Michigan State Police</v>
      </c>
      <c r="I26" s="94"/>
      <c r="J26" s="94"/>
    </row>
    <row r="27" spans="2:18" ht="12.75" customHeight="1">
      <c r="B27" s="1" t="str">
        <f>'Data Entry'!A20</f>
        <v>Item 3.Referral: State Court Administrative Office</v>
      </c>
      <c r="E27" s="1" t="str">
        <f>'Data Entry'!D20</f>
        <v>Item 4.Diversion: State Court Administrative Office</v>
      </c>
      <c r="I27" s="94"/>
      <c r="J27" s="94"/>
    </row>
    <row r="28" spans="2:18" ht="12.75" customHeight="1">
      <c r="B28" s="1" t="str">
        <f>'Data Entry'!A21</f>
        <v>Item 5.Detention: State Court Administrative Office</v>
      </c>
      <c r="E28" s="1" t="str">
        <f>'Data Entry'!D21</f>
        <v>Item 6.Petitioned: State Court Administrative Office</v>
      </c>
      <c r="I28" s="94"/>
      <c r="J28" s="94"/>
    </row>
    <row r="29" spans="2:18" ht="12.75" customHeight="1">
      <c r="B29" s="1" t="str">
        <f>'Data Entry'!A22</f>
        <v>Item 7.Delinquent: State Court Administrative Office</v>
      </c>
      <c r="E29" s="1" t="str">
        <f>'Data Entry'!D22</f>
        <v>Item 8.Probation: State Court Administrative Office</v>
      </c>
      <c r="I29" s="94"/>
      <c r="J29" s="94"/>
    </row>
    <row r="30" spans="2:18" ht="12.75" customHeight="1">
      <c r="B30" s="1" t="str">
        <f>'Data Entry'!A23</f>
        <v>Item 9.Confinement: State Court Administrative Office</v>
      </c>
      <c r="E30" s="1" t="str">
        <f>'Data Entry'!D23</f>
        <v>Item 10.Transferred: State Court Administrative Office</v>
      </c>
      <c r="I30" s="94"/>
      <c r="J30" s="94"/>
    </row>
    <row r="31" spans="2:18" ht="29.25" customHeight="1">
      <c r="B31" s="172" t="s">
        <v>139</v>
      </c>
      <c r="C31" s="173"/>
      <c r="D31" s="173"/>
      <c r="E31" s="173"/>
      <c r="F31" s="173"/>
      <c r="G31" s="173"/>
      <c r="H31" s="173"/>
      <c r="I31" s="173"/>
      <c r="J31" s="173"/>
      <c r="K31" s="173"/>
      <c r="L31" s="173"/>
    </row>
  </sheetData>
  <sheetProtection password="C722" objects="1"/>
  <mergeCells count="11">
    <mergeCell ref="B31:L31"/>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21"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4" t="str">
        <f>'Data Entry'!A3</f>
        <v>All Reporting Counties</v>
      </c>
    </row>
    <row r="6" spans="1:12">
      <c r="A6" s="133" t="str">
        <f>CONCATENATE("Percentage of Minorities at Stages of the Juvenile Justice System, ", A5, " 2022")</f>
        <v>Percentage of Minorities at Stages of the Juvenile Justice System, All Reporting Counties 2022</v>
      </c>
      <c r="B6" s="94" t="str">
        <f>'Data Entry'!D5</f>
        <v>Black or African American</v>
      </c>
      <c r="C6" s="94" t="str">
        <f>'Data Entry'!E5</f>
        <v>Hispanic or Latino</v>
      </c>
      <c r="D6" s="94" t="str">
        <f>'Data Entry'!F5</f>
        <v>Asian</v>
      </c>
      <c r="E6" s="94" t="str">
        <f>'Data Entry'!G5</f>
        <v>Native Hawaiian or Other Pacific Islanders</v>
      </c>
      <c r="F6" s="94" t="str">
        <f>'Data Entry'!H5</f>
        <v>American Indian or Alaska Native</v>
      </c>
      <c r="G6" s="94" t="str">
        <f>'Data Entry'!I5</f>
        <v>Biracial or Other</v>
      </c>
      <c r="H6" s="126" t="s">
        <v>132</v>
      </c>
      <c r="I6" s="94" t="str">
        <f>'Data Entry'!C5</f>
        <v>White</v>
      </c>
      <c r="K6" s="133" t="s">
        <v>133</v>
      </c>
      <c r="L6" s="133" t="s">
        <v>131</v>
      </c>
    </row>
    <row r="7" spans="1:12">
      <c r="A7" s="126" t="str">
        <f>CONCATENATE("Waivers, total N=", 'Data Entry'!B15)</f>
        <v>Waivers, total N=46</v>
      </c>
      <c r="B7" s="148">
        <f>'Data Entry'!D15/'Data Entry'!B15</f>
        <v>0.52173913043478259</v>
      </c>
      <c r="C7" s="148">
        <f>'Data Entry'!E15/'Data Entry'!B15</f>
        <v>2.1739130434782608E-2</v>
      </c>
      <c r="D7" s="148">
        <f>'Data Entry'!F15/'Data Entry'!B15</f>
        <v>0</v>
      </c>
      <c r="E7" s="148">
        <f>'Data Entry'!G15/'Data Entry'!B15</f>
        <v>0</v>
      </c>
      <c r="F7" s="148">
        <f>'Data Entry'!H15/'Data Entry'!B15</f>
        <v>0</v>
      </c>
      <c r="G7" s="148">
        <f>'Data Entry'!I15/'Data Entry'!B15</f>
        <v>0</v>
      </c>
      <c r="H7" s="148">
        <f>SUM(D7:G7)/'Data Entry'!B15</f>
        <v>0</v>
      </c>
      <c r="I7" s="148">
        <f>'Data Entry'!C15/'Data Entry'!B15</f>
        <v>0.30434782608695654</v>
      </c>
      <c r="K7" s="94" t="str">
        <f t="shared" ref="K7:K14" si="0">A7</f>
        <v>Waivers, total N=46</v>
      </c>
      <c r="L7">
        <f>I14/(SUM(B14:G14))</f>
        <v>2.2586376704901565</v>
      </c>
    </row>
    <row r="8" spans="1:12" ht="25.5" customHeight="1">
      <c r="A8" s="149" t="str">
        <f>CONCATENATE("Confinement, total N=", 'Data Entry'!B14)</f>
        <v>Confinement, total N=948</v>
      </c>
      <c r="B8" s="148">
        <f>'Data Entry'!D14/'Data Entry'!B14</f>
        <v>0.25210970464135019</v>
      </c>
      <c r="C8" s="148">
        <f>'Data Entry'!E14/'Data Entry'!B14</f>
        <v>1.2658227848101266E-2</v>
      </c>
      <c r="D8" s="148">
        <f>'Data Entry'!F14/'Data Entry'!B14</f>
        <v>1.0548523206751054E-3</v>
      </c>
      <c r="E8" s="148">
        <f>'Data Entry'!G14/'Data Entry'!B14</f>
        <v>0</v>
      </c>
      <c r="F8" s="148">
        <f>'Data Entry'!H14/'Data Entry'!B14</f>
        <v>7.3839662447257384E-3</v>
      </c>
      <c r="G8" s="148">
        <f>'Data Entry'!I14/'Data Entry'!B14</f>
        <v>4.2194092827004218E-2</v>
      </c>
      <c r="H8" s="148">
        <f>SUM(D8:G8)/'Data Entry'!B14</f>
        <v>5.3410244084815468E-5</v>
      </c>
      <c r="I8" s="148">
        <f>'Data Entry'!C14/'Data Entry'!B14</f>
        <v>0.55063291139240511</v>
      </c>
      <c r="K8" s="94" t="str">
        <f>A8</f>
        <v>Confinement, total N=948</v>
      </c>
      <c r="L8">
        <f>I14/(SUM(B14:G14))</f>
        <v>2.2586376704901565</v>
      </c>
    </row>
    <row r="9" spans="1:12">
      <c r="A9" s="126" t="str">
        <f>CONCATENATE("Delinquent Findings, total N=", 'Data Entry'!B12)</f>
        <v>Delinquent Findings, total N=4474</v>
      </c>
      <c r="B9" s="148">
        <f>'Data Entry'!D12/'Data Entry'!B12</f>
        <v>0.33929369691551187</v>
      </c>
      <c r="C9" s="148">
        <f>'Data Entry'!E12/'Data Entry'!B12</f>
        <v>2.9727313366115334E-2</v>
      </c>
      <c r="D9" s="148">
        <f>'Data Entry'!F12/'Data Entry'!B12</f>
        <v>4.9172999552972736E-3</v>
      </c>
      <c r="E9" s="148">
        <f>'Data Entry'!G12/'Data Entry'!B12</f>
        <v>0</v>
      </c>
      <c r="F9" s="148">
        <f>'Data Entry'!H12/'Data Entry'!B12</f>
        <v>8.493518104604381E-3</v>
      </c>
      <c r="G9" s="148">
        <f>'Data Entry'!I12/'Data Entry'!B12</f>
        <v>4.4702726866338846E-2</v>
      </c>
      <c r="H9" s="148">
        <f>SUM(D9:G9)/'Data Entry'!B12</f>
        <v>1.2989169630362205E-5</v>
      </c>
      <c r="I9" s="148">
        <f>'Data Entry'!C12/'Data Entry'!B12</f>
        <v>0.43562807331247205</v>
      </c>
      <c r="K9" s="94" t="str">
        <f t="shared" si="0"/>
        <v>Delinquent Findings, total N=4474</v>
      </c>
      <c r="L9">
        <f>I14/(SUM(B14:G14))</f>
        <v>2.2586376704901565</v>
      </c>
    </row>
    <row r="10" spans="1:12">
      <c r="A10" s="126" t="str">
        <f>CONCATENATE("Petitions, total N=", 'Data Entry'!B11)</f>
        <v>Petitions, total N=7848</v>
      </c>
      <c r="B10" s="148">
        <f>'Data Entry'!D11/'Data Entry'!B11</f>
        <v>0.38583078491335371</v>
      </c>
      <c r="C10" s="148">
        <f>'Data Entry'!E11/'Data Entry'!B11</f>
        <v>2.3318042813455658E-2</v>
      </c>
      <c r="D10" s="148">
        <f>'Data Entry'!F11/'Data Entry'!B11</f>
        <v>4.0774719673802246E-3</v>
      </c>
      <c r="E10" s="148">
        <f>'Data Entry'!G11/'Data Entry'!B11</f>
        <v>0</v>
      </c>
      <c r="F10" s="148">
        <f>'Data Entry'!H11/'Data Entry'!B11</f>
        <v>5.0968399592252805E-3</v>
      </c>
      <c r="G10" s="148">
        <f>'Data Entry'!I11/'Data Entry'!B11</f>
        <v>4.4087665647298678E-2</v>
      </c>
      <c r="H10" s="148">
        <f>SUM(D10:G10)/'Data Entry'!B11</f>
        <v>6.7866943901508895E-6</v>
      </c>
      <c r="I10" s="148">
        <f>'Data Entry'!C11/'Data Entry'!B11</f>
        <v>0.42456676860346587</v>
      </c>
      <c r="K10" s="94" t="str">
        <f t="shared" si="0"/>
        <v>Petitions, total N=7848</v>
      </c>
      <c r="L10">
        <f>I14/(SUM(B14:G14))</f>
        <v>2.2586376704901565</v>
      </c>
    </row>
    <row r="11" spans="1:12">
      <c r="A11" s="126" t="str">
        <f>CONCATENATE("Detentions, total N=", 'Data Entry'!B10)</f>
        <v>Detentions, total N=2720</v>
      </c>
      <c r="B11" s="148">
        <f>'Data Entry'!D10/'Data Entry'!B10</f>
        <v>0.52683823529411766</v>
      </c>
      <c r="C11" s="148">
        <f>'Data Entry'!E10/'Data Entry'!B10</f>
        <v>4.1544117647058822E-2</v>
      </c>
      <c r="D11" s="148">
        <f>'Data Entry'!F10/'Data Entry'!B10</f>
        <v>3.6764705882352941E-3</v>
      </c>
      <c r="E11" s="148">
        <f>'Data Entry'!G10/'Data Entry'!B10</f>
        <v>0</v>
      </c>
      <c r="F11" s="148">
        <f>'Data Entry'!H10/'Data Entry'!B10</f>
        <v>3.6764705882352941E-3</v>
      </c>
      <c r="G11" s="148">
        <f>'Data Entry'!I10/'Data Entry'!B10</f>
        <v>6.7279411764705879E-2</v>
      </c>
      <c r="H11" s="148">
        <f>SUM(D11:G11)/'Data Entry'!B10</f>
        <v>2.7438365051903115E-5</v>
      </c>
      <c r="I11" s="148">
        <f>'Data Entry'!C10/'Data Entry'!B10</f>
        <v>0.27169117647058821</v>
      </c>
      <c r="K11" s="94" t="str">
        <f t="shared" si="0"/>
        <v>Detentions, total N=2720</v>
      </c>
      <c r="L11">
        <f>I14/(SUM(B14:G14))</f>
        <v>2.2586376704901565</v>
      </c>
    </row>
    <row r="12" spans="1:12">
      <c r="A12" s="126" t="str">
        <f>CONCATENATE("Referrals, total N=", 'Data Entry'!B8)</f>
        <v>Referrals, total N=13353</v>
      </c>
      <c r="B12" s="148">
        <f>'Data Entry'!D8/'Data Entry'!B8</f>
        <v>0.33805137422302106</v>
      </c>
      <c r="C12" s="148">
        <f>'Data Entry'!E8/'Data Entry'!B8</f>
        <v>2.4264210289822511E-2</v>
      </c>
      <c r="D12" s="148">
        <f>'Data Entry'!F8/'Data Entry'!B8</f>
        <v>3.8193664345090991E-3</v>
      </c>
      <c r="E12" s="148">
        <f>'Data Entry'!G8/'Data Entry'!B8</f>
        <v>1.4977907586310194E-4</v>
      </c>
      <c r="F12" s="148">
        <f>'Data Entry'!H8/'Data Entry'!B8</f>
        <v>8.4625177862652588E-3</v>
      </c>
      <c r="G12" s="148">
        <f>'Data Entry'!I8/'Data Entry'!B8</f>
        <v>3.901744926233805E-2</v>
      </c>
      <c r="H12" s="148">
        <f>SUM(D12:G12)/'Data Entry'!B8</f>
        <v>3.8530002665300318E-6</v>
      </c>
      <c r="I12" s="148">
        <f>'Data Entry'!C8/'Data Entry'!B8</f>
        <v>0.47105519358945558</v>
      </c>
      <c r="K12" s="94" t="str">
        <f t="shared" si="0"/>
        <v>Referrals, total N=13353</v>
      </c>
      <c r="L12">
        <f>I14/(SUM(B14:G14))</f>
        <v>2.2586376704901565</v>
      </c>
    </row>
    <row r="13" spans="1:12">
      <c r="A13" s="126" t="str">
        <f>CONCATENATE("Arrests, total N=", 'Data Entry'!B7)</f>
        <v>Arrests, total N=8547</v>
      </c>
      <c r="B13" s="148">
        <f>'Data Entry'!D7/'Data Entry'!B7</f>
        <v>0.41090441090441088</v>
      </c>
      <c r="C13" s="148">
        <f>'Data Entry'!E7/'Data Entry'!B7</f>
        <v>2.2113022113022112E-2</v>
      </c>
      <c r="D13" s="148">
        <f>'Data Entry'!F7/'Data Entry'!B7</f>
        <v>3.3930033930033932E-3</v>
      </c>
      <c r="E13" s="148">
        <f>'Data Entry'!G7/'Data Entry'!B7</f>
        <v>2.3400023400023401E-4</v>
      </c>
      <c r="F13" s="148">
        <f>'Data Entry'!H7/'Data Entry'!B7</f>
        <v>7.8390078390078392E-3</v>
      </c>
      <c r="G13" s="148">
        <f>'Data Entry'!I7/'Data Entry'!B7</f>
        <v>0</v>
      </c>
      <c r="H13" s="148">
        <f>SUM(D13:G13)/'Data Entry'!B7</f>
        <v>1.3415246830480247E-6</v>
      </c>
      <c r="I13" s="148">
        <f>'Data Entry'!C7/'Data Entry'!B7</f>
        <v>0.50848250848250853</v>
      </c>
      <c r="K13" s="94" t="str">
        <f t="shared" si="0"/>
        <v>Arrests, total N=8547</v>
      </c>
      <c r="L13">
        <f>I14/(SUM(B14:G14))</f>
        <v>2.2586376704901565</v>
      </c>
    </row>
    <row r="14" spans="1:12">
      <c r="A14" s="126" t="str">
        <f>CONCATENATE("Population, total N=", 'Data Entry'!B6)</f>
        <v>Population, total N=982665</v>
      </c>
      <c r="B14" s="148">
        <f>'Data Entry'!D6/'Data Entry'!B6</f>
        <v>0.17197010171319829</v>
      </c>
      <c r="C14" s="148">
        <f>'Data Entry'!E6/'Data Entry'!B6</f>
        <v>8.766975520650476E-2</v>
      </c>
      <c r="D14" s="148">
        <f>'Data Entry'!F6/'Data Entry'!B6</f>
        <v>3.9229035327400484E-2</v>
      </c>
      <c r="E14" s="148">
        <f>'Data Entry'!G6/'Data Entry'!B6</f>
        <v>0</v>
      </c>
      <c r="F14" s="148">
        <f>'Data Entry'!H6/'Data Entry'!B6</f>
        <v>8.0078154813695412E-3</v>
      </c>
      <c r="G14" s="148">
        <f>'Data Entry'!I6/'Data Entry'!B6</f>
        <v>0</v>
      </c>
      <c r="H14" s="148">
        <f>SUM(D14:G14)/'Data Entry'!B6</f>
        <v>4.8070146803610617E-8</v>
      </c>
      <c r="I14" s="148">
        <f>'Data Entry'!C6/'Data Entry'!B6</f>
        <v>0.69312329227152691</v>
      </c>
      <c r="K14" s="94" t="str">
        <f t="shared" si="0"/>
        <v>Population, total N=982665</v>
      </c>
      <c r="L14">
        <f>I14/(SUM(B14:G14))</f>
        <v>2.2586376704901565</v>
      </c>
    </row>
    <row r="15" spans="1:12">
      <c r="A15" s="94"/>
    </row>
    <row r="17" spans="2:9">
      <c r="B17" s="94"/>
      <c r="C17" s="94"/>
      <c r="D17" s="94"/>
      <c r="E17" s="94"/>
      <c r="F17" s="94"/>
      <c r="G17" s="94"/>
      <c r="H17" s="94"/>
      <c r="I17" s="94"/>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X15" sqref="X15"/>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4" t="s">
        <v>123</v>
      </c>
      <c r="C2" s="175"/>
      <c r="D2" s="175"/>
      <c r="E2" s="175"/>
      <c r="F2" s="175"/>
      <c r="G2" s="175"/>
      <c r="H2" s="175"/>
      <c r="I2" s="175"/>
      <c r="J2" s="175"/>
      <c r="K2" s="176"/>
    </row>
    <row r="3" spans="2:30" s="1" customFormat="1" ht="19.5" thickTop="1">
      <c r="B3" s="95" t="str">
        <f>'Data Entry'!A2</f>
        <v>State: Michigan</v>
      </c>
      <c r="C3" s="93"/>
      <c r="D3" s="93"/>
      <c r="H3" s="207" t="str">
        <f>'Data Entry'!C3</f>
        <v xml:space="preserve">Reporting Period:  </v>
      </c>
      <c r="I3" s="208"/>
      <c r="J3" s="208"/>
      <c r="K3" s="209"/>
    </row>
    <row r="4" spans="2:30" s="1" customFormat="1" ht="19.5" thickBot="1">
      <c r="B4" s="99" t="str">
        <f>'Data Entry'!A3</f>
        <v>All Reporting Counties</v>
      </c>
      <c r="C4" s="100"/>
      <c r="D4" s="100"/>
      <c r="E4" s="118"/>
      <c r="F4" s="118"/>
      <c r="G4" s="118"/>
      <c r="H4" s="179" t="str">
        <f>'Data Entry'!C4</f>
        <v>10/1/21 through 9/30/22</v>
      </c>
      <c r="I4" s="210"/>
      <c r="J4" s="210"/>
      <c r="K4" s="211"/>
    </row>
    <row r="5" spans="2:30" s="8" customFormat="1" ht="69" customHeight="1">
      <c r="B5" s="97"/>
      <c r="C5" s="98" t="s">
        <v>3</v>
      </c>
      <c r="D5" s="204" t="str">
        <f>'Black or African-American'!$F$1</f>
        <v>Black or African American</v>
      </c>
      <c r="E5" s="205"/>
      <c r="F5" s="204" t="str">
        <f>Hispanic!F1</f>
        <v>Hispanic or Latino</v>
      </c>
      <c r="G5" s="205"/>
      <c r="H5" s="204" t="str">
        <f>Asian!F1</f>
        <v>Asian</v>
      </c>
      <c r="I5" s="205"/>
      <c r="J5" s="204" t="str">
        <f>'Data Entry'!J5</f>
        <v>All Minorities</v>
      </c>
      <c r="K5" s="206"/>
      <c r="N5" s="69"/>
      <c r="O5" s="69"/>
      <c r="P5" s="69"/>
      <c r="Q5" s="69"/>
    </row>
    <row r="6" spans="2:30" s="8" customFormat="1" ht="18" customHeight="1">
      <c r="B6" s="150" t="s">
        <v>121</v>
      </c>
      <c r="C6" s="120" t="s">
        <v>119</v>
      </c>
      <c r="D6" s="121" t="s">
        <v>119</v>
      </c>
      <c r="E6" s="122" t="s">
        <v>120</v>
      </c>
      <c r="F6" s="121" t="s">
        <v>119</v>
      </c>
      <c r="G6" s="122" t="s">
        <v>120</v>
      </c>
      <c r="H6" s="121" t="s">
        <v>119</v>
      </c>
      <c r="I6" s="122" t="s">
        <v>120</v>
      </c>
      <c r="J6" s="121" t="s">
        <v>119</v>
      </c>
      <c r="K6" s="123" t="s">
        <v>120</v>
      </c>
    </row>
    <row r="7" spans="2:30" s="8" customFormat="1" ht="18" customHeight="1">
      <c r="B7" s="139" t="str">
        <f>'Data Entry'!A6</f>
        <v xml:space="preserve">1. Population at Risk (age 10-17) </v>
      </c>
      <c r="C7" s="101">
        <f>'Data Entry'!C6</f>
        <v>681108</v>
      </c>
      <c r="D7" s="102">
        <f>'Data Entry'!D6</f>
        <v>168989</v>
      </c>
      <c r="E7" s="103"/>
      <c r="F7" s="104">
        <f>'Data Entry'!E6</f>
        <v>86150</v>
      </c>
      <c r="G7" s="103"/>
      <c r="H7" s="104">
        <f>'Data Entry'!F6</f>
        <v>38549</v>
      </c>
      <c r="I7" s="103"/>
      <c r="J7" s="104">
        <f>'Data Entry'!J6</f>
        <v>301557</v>
      </c>
      <c r="K7" s="105"/>
    </row>
    <row r="8" spans="2:30" s="1" customFormat="1" ht="15" customHeight="1">
      <c r="B8" s="119" t="s">
        <v>8</v>
      </c>
      <c r="C8" s="101">
        <f>'Data Entry'!C7</f>
        <v>4346</v>
      </c>
      <c r="D8" s="102">
        <f>'Data Entry'!D7</f>
        <v>3512</v>
      </c>
      <c r="E8" s="103">
        <f>'Black or African-American'!$G7</f>
        <v>3.2570342881860772</v>
      </c>
      <c r="F8" s="104">
        <f>'Data Entry'!E7</f>
        <v>189</v>
      </c>
      <c r="G8" s="103">
        <f>Hispanic!G7</f>
        <v>0.34382130291588392</v>
      </c>
      <c r="H8" s="104">
        <f>'Data Entry'!F7</f>
        <v>29</v>
      </c>
      <c r="I8" s="103">
        <f>Asian!G7</f>
        <v>0.11789927670423155</v>
      </c>
      <c r="J8" s="104">
        <f>'Data Entry'!J7</f>
        <v>3799</v>
      </c>
      <c r="K8" s="105">
        <f>'All Minorities'!G7</f>
        <v>1.9743590681528076</v>
      </c>
      <c r="L8"/>
      <c r="N8" s="1">
        <f>'Black or African-American'!L7</f>
        <v>1</v>
      </c>
      <c r="O8" s="1">
        <f>Hispanic!L7</f>
        <v>1</v>
      </c>
      <c r="P8" s="1">
        <f>Asian!L7</f>
        <v>1</v>
      </c>
      <c r="Q8" s="1" t="e">
        <f>Hawaiian!L7</f>
        <v>#DIV/0!</v>
      </c>
      <c r="R8" s="1">
        <f>'Am Indian'!L7</f>
        <v>100</v>
      </c>
      <c r="S8" s="1" t="e">
        <f>'Other - Mixed'!L7</f>
        <v>#VALUE!</v>
      </c>
      <c r="T8" s="1">
        <f>'All Minorities'!L7</f>
        <v>1</v>
      </c>
    </row>
    <row r="9" spans="2:30" s="1" customFormat="1" ht="15" customHeight="1">
      <c r="B9" s="119" t="s">
        <v>136</v>
      </c>
      <c r="C9" s="101">
        <f>'Data Entry'!C8</f>
        <v>6290</v>
      </c>
      <c r="D9" s="106">
        <f>'Data Entry'!D8</f>
        <v>4514</v>
      </c>
      <c r="E9" s="107">
        <f>'Black or African-American'!$G8</f>
        <v>0.88806780115235162</v>
      </c>
      <c r="F9" s="108">
        <f>'Data Entry'!E8</f>
        <v>324</v>
      </c>
      <c r="G9" s="107">
        <f>Hispanic!G8</f>
        <v>1.184465137406314</v>
      </c>
      <c r="H9" s="108">
        <f>'Data Entry'!F8</f>
        <v>51</v>
      </c>
      <c r="I9" s="107" t="str">
        <f>Asian!G8</f>
        <v>**</v>
      </c>
      <c r="J9" s="108">
        <f>'Data Entry'!J8</f>
        <v>5525</v>
      </c>
      <c r="K9" s="109">
        <f>'All Minorities'!G8</f>
        <v>1.0048519169340437</v>
      </c>
      <c r="L9"/>
      <c r="N9" s="1">
        <f>'Black or African-American'!L8</f>
        <v>1</v>
      </c>
      <c r="O9" s="1">
        <f>Hispanic!L8</f>
        <v>1</v>
      </c>
      <c r="P9" s="1">
        <f>Asian!L8</f>
        <v>20</v>
      </c>
      <c r="Q9" s="1">
        <f>Hawaiian!L8</f>
        <v>139</v>
      </c>
      <c r="R9" s="1">
        <f>'Am Indian'!L8</f>
        <v>100</v>
      </c>
      <c r="S9" s="1">
        <f>'Other - Mixed'!L8</f>
        <v>119</v>
      </c>
      <c r="T9" s="1">
        <f>'All Minorities'!L8</f>
        <v>2</v>
      </c>
    </row>
    <row r="10" spans="2:30" s="1" customFormat="1" ht="15" customHeight="1">
      <c r="B10" s="119" t="s">
        <v>10</v>
      </c>
      <c r="C10" s="101">
        <f>'Data Entry'!C9</f>
        <v>1473</v>
      </c>
      <c r="D10" s="110">
        <f>'Data Entry'!D9</f>
        <v>1023</v>
      </c>
      <c r="E10" s="111">
        <f>'Black or African-American'!$G9</f>
        <v>0.9677473206236854</v>
      </c>
      <c r="F10" s="112">
        <f>'Data Entry'!E9</f>
        <v>58</v>
      </c>
      <c r="G10" s="111">
        <f>Hispanic!G9</f>
        <v>0.76441795948471669</v>
      </c>
      <c r="H10" s="112">
        <f>'Data Entry'!F9</f>
        <v>9</v>
      </c>
      <c r="I10" s="111">
        <f>Asian!G9</f>
        <v>0.7535641547861508</v>
      </c>
      <c r="J10" s="112">
        <f>'Data Entry'!J9</f>
        <v>1196</v>
      </c>
      <c r="K10" s="113">
        <f>'All Minorities'!G9</f>
        <v>0.92437202987101164</v>
      </c>
      <c r="L10"/>
      <c r="N10" s="1">
        <f>'Black or African-American'!L9</f>
        <v>2</v>
      </c>
      <c r="O10" s="1">
        <f>Hispanic!L9</f>
        <v>1</v>
      </c>
      <c r="P10" s="1">
        <f>Asian!L9</f>
        <v>2</v>
      </c>
      <c r="Q10" s="1">
        <f>Hawaiian!L9</f>
        <v>139</v>
      </c>
      <c r="R10" s="1">
        <f>'Am Indian'!L9</f>
        <v>100</v>
      </c>
      <c r="S10" s="1">
        <f>'Other - Mixed'!L9</f>
        <v>100</v>
      </c>
      <c r="T10" s="1">
        <f>'All Minorities'!L9</f>
        <v>1</v>
      </c>
    </row>
    <row r="11" spans="2:30" s="1" customFormat="1" ht="15" customHeight="1">
      <c r="B11" s="119" t="s">
        <v>11</v>
      </c>
      <c r="C11" s="101">
        <f>'Data Entry'!C10</f>
        <v>739</v>
      </c>
      <c r="D11" s="106">
        <f>'Data Entry'!D10</f>
        <v>1433</v>
      </c>
      <c r="E11" s="107">
        <f>'Black or African-American'!$G10</f>
        <v>2.7020342066150538</v>
      </c>
      <c r="F11" s="108">
        <f>'Data Entry'!E10</f>
        <v>113</v>
      </c>
      <c r="G11" s="107">
        <f>Hispanic!G10</f>
        <v>2.9685176832222391</v>
      </c>
      <c r="H11" s="108">
        <f>'Data Entry'!F10</f>
        <v>10</v>
      </c>
      <c r="I11" s="107">
        <f>Asian!G10</f>
        <v>1.6689219666215609</v>
      </c>
      <c r="J11" s="108">
        <f>'Data Entry'!J10</f>
        <v>1749</v>
      </c>
      <c r="K11" s="109">
        <f>'All Minorities'!G10</f>
        <v>2.6944103258041014</v>
      </c>
      <c r="L11"/>
      <c r="N11" s="1">
        <f>'Black or African-American'!L10</f>
        <v>1</v>
      </c>
      <c r="O11" s="1">
        <f>Hispanic!L10</f>
        <v>1</v>
      </c>
      <c r="P11" s="1">
        <f>Asian!L10</f>
        <v>2</v>
      </c>
      <c r="Q11" s="1">
        <f>Hawaiian!L10</f>
        <v>139</v>
      </c>
      <c r="R11" s="1">
        <f>'Am Indian'!L10</f>
        <v>101</v>
      </c>
      <c r="S11" s="1">
        <f>'Other - Mixed'!L10</f>
        <v>100</v>
      </c>
      <c r="T11" s="1">
        <f>'All Minorities'!L10</f>
        <v>1</v>
      </c>
    </row>
    <row r="12" spans="2:30" s="1" customFormat="1" ht="15" customHeight="1">
      <c r="B12" s="119" t="s">
        <v>97</v>
      </c>
      <c r="C12" s="101">
        <f>'Data Entry'!C11</f>
        <v>3332</v>
      </c>
      <c r="D12" s="110">
        <f>'Data Entry'!D11</f>
        <v>3028</v>
      </c>
      <c r="E12" s="111">
        <f>'Black or African-American'!$G11</f>
        <v>1.2663098026095685</v>
      </c>
      <c r="F12" s="112">
        <f>'Data Entry'!E11</f>
        <v>183</v>
      </c>
      <c r="G12" s="111">
        <f>Hispanic!G11</f>
        <v>1.0662320483749055</v>
      </c>
      <c r="H12" s="112">
        <f>'Data Entry'!F11</f>
        <v>32</v>
      </c>
      <c r="I12" s="111">
        <f>Asian!G11</f>
        <v>1.1844737895158062</v>
      </c>
      <c r="J12" s="112">
        <f>'Data Entry'!J11</f>
        <v>3629</v>
      </c>
      <c r="K12" s="113">
        <f>'All Minorities'!G11</f>
        <v>1.2399390525440943</v>
      </c>
      <c r="L12"/>
      <c r="N12" s="1">
        <f>'Black or African-American'!L11</f>
        <v>1</v>
      </c>
      <c r="O12" s="1">
        <f>Hispanic!L11</f>
        <v>2</v>
      </c>
      <c r="P12" s="1">
        <f>Asian!L11</f>
        <v>2</v>
      </c>
      <c r="Q12" s="1">
        <f>Hawaiian!L11</f>
        <v>139</v>
      </c>
      <c r="R12" s="1">
        <f>'Am Indian'!L11</f>
        <v>100</v>
      </c>
      <c r="S12" s="1">
        <f>'Other - Mixed'!L11</f>
        <v>100</v>
      </c>
      <c r="T12" s="1">
        <f>'All Minorities'!L11</f>
        <v>1</v>
      </c>
    </row>
    <row r="13" spans="2:30" s="1" customFormat="1" ht="15" customHeight="1">
      <c r="B13" s="119" t="s">
        <v>13</v>
      </c>
      <c r="C13" s="101">
        <f>'Data Entry'!C12</f>
        <v>1949</v>
      </c>
      <c r="D13" s="106">
        <f>'Data Entry'!D12</f>
        <v>1518</v>
      </c>
      <c r="E13" s="107">
        <f>'Black or African-American'!$G12</f>
        <v>0.85705571329130614</v>
      </c>
      <c r="F13" s="108">
        <f>'Data Entry'!E12</f>
        <v>133</v>
      </c>
      <c r="G13" s="107">
        <f>Hispanic!G12</f>
        <v>1.2424922967361713</v>
      </c>
      <c r="H13" s="108">
        <f>'Data Entry'!F12</f>
        <v>22</v>
      </c>
      <c r="I13" s="107">
        <f>Asian!G12</f>
        <v>1.1753463314520267</v>
      </c>
      <c r="J13" s="108">
        <f>'Data Entry'!J12</f>
        <v>1911</v>
      </c>
      <c r="K13" s="109">
        <f>'All Minorities'!G12</f>
        <v>0.90025775772131489</v>
      </c>
      <c r="L13"/>
      <c r="N13" s="1">
        <f>'Black or African-American'!L12</f>
        <v>1</v>
      </c>
      <c r="O13" s="1">
        <f>Hispanic!L12</f>
        <v>1</v>
      </c>
      <c r="P13" s="1">
        <f>Asian!L12</f>
        <v>2</v>
      </c>
      <c r="Q13" s="1" t="e">
        <f>Hawaiian!L12</f>
        <v>#VALUE!</v>
      </c>
      <c r="R13" s="1">
        <f>'Am Indian'!L12</f>
        <v>100</v>
      </c>
      <c r="S13" s="1">
        <f>'Other - Mixed'!L12</f>
        <v>101</v>
      </c>
      <c r="T13" s="1">
        <f>'All Minorities'!L12</f>
        <v>1</v>
      </c>
      <c r="W13" s="8"/>
      <c r="X13" s="8"/>
      <c r="Y13" s="8"/>
      <c r="Z13" s="8"/>
      <c r="AA13" s="8"/>
      <c r="AB13" s="8"/>
      <c r="AC13" s="8"/>
      <c r="AD13" s="8"/>
    </row>
    <row r="14" spans="2:30" s="1" customFormat="1" ht="15" customHeight="1">
      <c r="B14" s="119" t="s">
        <v>14</v>
      </c>
      <c r="C14" s="101">
        <f>'Data Entry'!C13</f>
        <v>1947</v>
      </c>
      <c r="D14" s="110">
        <f>'Data Entry'!D13</f>
        <v>1239</v>
      </c>
      <c r="E14" s="111">
        <f>'Black or African-American'!$G13</f>
        <v>0.81704395736016289</v>
      </c>
      <c r="F14" s="112">
        <f>'Data Entry'!E13</f>
        <v>122</v>
      </c>
      <c r="G14" s="111">
        <f>Hispanic!G13</f>
        <v>0.91823549629080392</v>
      </c>
      <c r="H14" s="112">
        <f>'Data Entry'!F13</f>
        <v>9</v>
      </c>
      <c r="I14" s="111" t="str">
        <f>Asian!G13</f>
        <v>**</v>
      </c>
      <c r="J14" s="112">
        <f>'Data Entry'!J13</f>
        <v>1601</v>
      </c>
      <c r="K14" s="113">
        <f>'All Minorities'!G13</f>
        <v>0.8386418531696983</v>
      </c>
      <c r="L14"/>
      <c r="N14" s="1">
        <f>'Black or African-American'!L13</f>
        <v>1</v>
      </c>
      <c r="O14" s="1">
        <f>Hispanic!L13</f>
        <v>1</v>
      </c>
      <c r="P14" s="1">
        <f>Asian!L13</f>
        <v>20</v>
      </c>
      <c r="Q14" s="1" t="e">
        <f>Hawaiian!L13</f>
        <v>#DIV/0!</v>
      </c>
      <c r="R14" s="1">
        <f>'Am Indian'!L13</f>
        <v>100</v>
      </c>
      <c r="S14" s="1">
        <f>'Other - Mixed'!L13</f>
        <v>100</v>
      </c>
      <c r="T14" s="1">
        <f>'All Minorities'!L13</f>
        <v>1</v>
      </c>
      <c r="W14" s="8"/>
      <c r="X14" s="8"/>
      <c r="Y14" s="8"/>
      <c r="Z14" s="8"/>
      <c r="AA14" s="8"/>
      <c r="AB14" s="8"/>
      <c r="AC14" s="8"/>
      <c r="AD14" s="8"/>
    </row>
    <row r="15" spans="2:30" s="1" customFormat="1" ht="33">
      <c r="B15" s="124" t="s">
        <v>125</v>
      </c>
      <c r="C15" s="101">
        <f>'Data Entry'!C14</f>
        <v>522</v>
      </c>
      <c r="D15" s="106">
        <f>'Data Entry'!D14</f>
        <v>239</v>
      </c>
      <c r="E15" s="107">
        <f>'Black or African-American'!$G14</f>
        <v>0.58785127638201096</v>
      </c>
      <c r="F15" s="108">
        <f>'Data Entry'!E14</f>
        <v>12</v>
      </c>
      <c r="G15" s="107">
        <f>Hispanic!G14</f>
        <v>0.33687667444473252</v>
      </c>
      <c r="H15" s="108">
        <f>'Data Entry'!F14</f>
        <v>1</v>
      </c>
      <c r="I15" s="107" t="str">
        <f>Asian!G14</f>
        <v>**</v>
      </c>
      <c r="J15" s="108">
        <f>'Data Entry'!J14</f>
        <v>299</v>
      </c>
      <c r="K15" s="109">
        <f>'All Minorities'!G14</f>
        <v>0.58418693147757184</v>
      </c>
      <c r="L15"/>
      <c r="N15" s="1">
        <f>'Black or African-American'!L14</f>
        <v>1</v>
      </c>
      <c r="O15" s="1">
        <f>Hispanic!L14</f>
        <v>1</v>
      </c>
      <c r="P15" s="1">
        <f>Asian!L14</f>
        <v>20</v>
      </c>
      <c r="Q15" s="1" t="e">
        <f>Hawaiian!L14</f>
        <v>#VALUE!</v>
      </c>
      <c r="R15" s="1">
        <f>'Am Indian'!L14</f>
        <v>101</v>
      </c>
      <c r="S15" s="1">
        <f>'Other - Mixed'!L14</f>
        <v>100</v>
      </c>
      <c r="T15" s="1">
        <f>'All Minorities'!L14</f>
        <v>1</v>
      </c>
      <c r="W15" s="8"/>
      <c r="X15" s="8"/>
      <c r="Y15" s="8"/>
      <c r="Z15" s="8"/>
      <c r="AA15" s="8"/>
      <c r="AB15" s="8"/>
      <c r="AC15" s="8"/>
      <c r="AD15" s="8"/>
    </row>
    <row r="16" spans="2:30" s="1" customFormat="1" ht="15" customHeight="1">
      <c r="B16" s="119" t="s">
        <v>16</v>
      </c>
      <c r="C16" s="101">
        <f>'Data Entry'!C15</f>
        <v>14</v>
      </c>
      <c r="D16" s="114">
        <f>'Data Entry'!D15</f>
        <v>24</v>
      </c>
      <c r="E16" s="115">
        <f>'Black or African-American'!$G15</f>
        <v>1.8863936591809773</v>
      </c>
      <c r="F16" s="116">
        <f>'Data Entry'!E15</f>
        <v>1</v>
      </c>
      <c r="G16" s="115" t="str">
        <f>Hispanic!G15</f>
        <v>**</v>
      </c>
      <c r="H16" s="116">
        <f>'Data Entry'!F15</f>
        <v>0</v>
      </c>
      <c r="I16" s="115" t="str">
        <f>Asian!G15</f>
        <v>**</v>
      </c>
      <c r="J16" s="116">
        <f>'Data Entry'!J15</f>
        <v>25</v>
      </c>
      <c r="K16" s="117">
        <f>'All Minorities'!G15</f>
        <v>1.6395701295122622</v>
      </c>
      <c r="L16"/>
      <c r="N16" s="1">
        <f>'Black or African-American'!L15</f>
        <v>2</v>
      </c>
      <c r="O16" s="1">
        <f>Hispanic!L15</f>
        <v>40</v>
      </c>
      <c r="P16" s="1">
        <f>Asian!L15</f>
        <v>40</v>
      </c>
      <c r="Q16" s="1" t="e">
        <f>Hawaiian!L15</f>
        <v>#VALUE!</v>
      </c>
      <c r="R16" s="1">
        <f>'Am Indian'!L15</f>
        <v>139</v>
      </c>
      <c r="S16" s="1">
        <f>'Other - Mixed'!L15</f>
        <v>139</v>
      </c>
      <c r="T16" s="1">
        <f>'All Minorities'!L15</f>
        <v>2</v>
      </c>
      <c r="W16" s="8"/>
      <c r="X16" s="8"/>
      <c r="Y16" s="8"/>
      <c r="Z16" s="8"/>
      <c r="AA16" s="8"/>
      <c r="AB16" s="8"/>
      <c r="AC16" s="8"/>
      <c r="AD16" s="8"/>
    </row>
    <row r="17" spans="2:30" s="1" customFormat="1" ht="15" customHeight="1" thickBot="1">
      <c r="B17" s="125" t="s">
        <v>98</v>
      </c>
      <c r="C17" s="96" t="str">
        <f>'Data Entry'!C16</f>
        <v>Yes</v>
      </c>
      <c r="D17" s="127"/>
      <c r="E17" s="136" t="str">
        <f>'Data Entry'!$D$16</f>
        <v>Yes</v>
      </c>
      <c r="F17" s="127"/>
      <c r="G17" s="136" t="str">
        <f>'Data Entry'!$E$16</f>
        <v>Yes</v>
      </c>
      <c r="H17" s="127"/>
      <c r="I17" s="136" t="str">
        <f>'Data Entry'!F16</f>
        <v>Yes</v>
      </c>
      <c r="J17" s="127"/>
      <c r="K17" s="135" t="str">
        <f>'Data Entry'!J16</f>
        <v>Yes</v>
      </c>
      <c r="L17"/>
      <c r="W17" s="8"/>
      <c r="X17" s="8"/>
      <c r="Y17" s="8"/>
      <c r="Z17" s="8"/>
      <c r="AA17" s="8"/>
      <c r="AB17" s="8"/>
      <c r="AC17" s="8"/>
      <c r="AD17" s="8"/>
    </row>
    <row r="18" spans="2:30" ht="15" customHeight="1" thickTop="1" thickBot="1">
      <c r="B18" s="91"/>
      <c r="C18" s="91"/>
      <c r="D18" s="91"/>
      <c r="E18" s="91"/>
      <c r="F18" s="91"/>
      <c r="G18" s="91"/>
      <c r="H18" s="91"/>
      <c r="I18" s="91"/>
      <c r="J18" s="91"/>
      <c r="K18" s="91"/>
      <c r="W18" s="8"/>
      <c r="X18" s="8"/>
      <c r="Y18" s="8"/>
      <c r="Z18" s="8"/>
      <c r="AA18" s="8"/>
      <c r="AB18" s="8"/>
      <c r="AC18" s="8"/>
      <c r="AD18" s="8"/>
    </row>
    <row r="19" spans="2:30" ht="18" customHeight="1" thickBot="1">
      <c r="B19" s="194" t="s">
        <v>122</v>
      </c>
      <c r="C19" s="195"/>
      <c r="D19" s="195"/>
      <c r="E19" s="195"/>
      <c r="F19" s="195"/>
      <c r="G19" s="195"/>
      <c r="H19" s="195"/>
      <c r="I19" s="196"/>
      <c r="J19" s="197"/>
      <c r="K19" s="198"/>
    </row>
    <row r="20" spans="2:30" ht="15.75">
      <c r="B20" s="151" t="s">
        <v>127</v>
      </c>
      <c r="C20" s="202" t="s">
        <v>54</v>
      </c>
      <c r="D20" s="203"/>
      <c r="E20" s="186" t="s">
        <v>57</v>
      </c>
      <c r="F20" s="187"/>
      <c r="G20" s="187"/>
      <c r="H20" s="187"/>
      <c r="I20" s="187"/>
      <c r="J20" s="187"/>
      <c r="K20" s="152" t="s">
        <v>58</v>
      </c>
    </row>
    <row r="21" spans="2:30" ht="15" customHeight="1">
      <c r="B21" s="153" t="s">
        <v>128</v>
      </c>
      <c r="C21" s="188" t="s">
        <v>56</v>
      </c>
      <c r="D21" s="189"/>
      <c r="E21" s="190" t="s">
        <v>59</v>
      </c>
      <c r="F21" s="191"/>
      <c r="G21" s="191"/>
      <c r="H21" s="191"/>
      <c r="I21" s="191"/>
      <c r="J21" s="191"/>
      <c r="K21" s="154" t="s">
        <v>60</v>
      </c>
    </row>
    <row r="22" spans="2:30" ht="15" customHeight="1" thickBot="1">
      <c r="B22" s="199"/>
      <c r="C22" s="200"/>
      <c r="D22" s="201"/>
      <c r="E22" s="192" t="s">
        <v>61</v>
      </c>
      <c r="F22" s="193"/>
      <c r="G22" s="193"/>
      <c r="H22" s="193"/>
      <c r="I22" s="193"/>
      <c r="J22" s="193"/>
      <c r="K22" s="155" t="s">
        <v>62</v>
      </c>
    </row>
    <row r="23" spans="2:30" ht="15" customHeight="1">
      <c r="B23" s="91"/>
      <c r="C23" s="91"/>
      <c r="D23" s="91"/>
      <c r="E23"/>
      <c r="F23"/>
      <c r="G23"/>
      <c r="H23"/>
      <c r="J23"/>
      <c r="K23"/>
    </row>
    <row r="24" spans="2:30" ht="15" customHeight="1">
      <c r="B24" s="91"/>
      <c r="C24" s="91"/>
      <c r="D24" s="91"/>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 &amp; """Easy Access to Juvenile Populations: 1990-2020,""" &amp; " Online, accessed August 17, 2023 from http://www.ojjdp.gov/ojstatbb/ezapop/)</v>
      </c>
      <c r="E26" s="1" t="str">
        <f>'Data Entry'!D19</f>
        <v>Item 2.Arrest: Michigan State Police</v>
      </c>
      <c r="I26" s="94"/>
    </row>
    <row r="27" spans="2:30" ht="12.75" customHeight="1">
      <c r="B27" s="1" t="str">
        <f>'Data Entry'!A20</f>
        <v>Item 3.Referral: State Court Administrative Office</v>
      </c>
      <c r="E27" s="1" t="str">
        <f>'Data Entry'!D20</f>
        <v>Item 4.Diversion: State Court Administrative Office</v>
      </c>
      <c r="I27" s="94"/>
    </row>
    <row r="28" spans="2:30" ht="12.75" customHeight="1">
      <c r="B28" s="1" t="str">
        <f>'Data Entry'!A21</f>
        <v>Item 5.Detention: State Court Administrative Office</v>
      </c>
      <c r="E28" s="1" t="str">
        <f>'Data Entry'!D21</f>
        <v>Item 6.Petitioned: State Court Administrative Office</v>
      </c>
      <c r="I28" s="94"/>
    </row>
    <row r="29" spans="2:30" ht="12.75" customHeight="1">
      <c r="B29" s="1" t="str">
        <f>'Data Entry'!A22</f>
        <v>Item 7.Delinquent: State Court Administrative Office</v>
      </c>
      <c r="E29" s="1" t="str">
        <f>'Data Entry'!D22</f>
        <v>Item 8.Probation: State Court Administrative Office</v>
      </c>
      <c r="I29" s="94"/>
    </row>
    <row r="30" spans="2:30" ht="12.75" customHeight="1">
      <c r="B30" s="1" t="str">
        <f>'Data Entry'!A23</f>
        <v>Item 9.Confinement: State Court Administrative Office</v>
      </c>
      <c r="E30" s="1" t="str">
        <f>'Data Entry'!D23</f>
        <v>Item 10.Transferred: State Court Administrative Office</v>
      </c>
      <c r="I30" s="94"/>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W3" sqref="W3"/>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4" t="str">
        <f>'Data Entry'!D5</f>
        <v>Black or African American</v>
      </c>
      <c r="G1" s="214"/>
      <c r="H1" s="214"/>
      <c r="I1" s="214"/>
      <c r="J1" s="214"/>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681108</v>
      </c>
      <c r="D6" s="34"/>
      <c r="E6" s="33">
        <f>'Data Entry'!D6</f>
        <v>168989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2. Juvenile Arrests</v>
      </c>
      <c r="C7" s="33">
        <f>'Data Entry'!C7</f>
        <v>4346</v>
      </c>
      <c r="D7" s="34">
        <f>IF((AND(C66&gt;0,C7&gt;0)),(C7/C66),0)</f>
        <v>6.3807795533160681</v>
      </c>
      <c r="E7" s="33">
        <f>'Data Entry'!D7</f>
        <v>3512</v>
      </c>
      <c r="F7" s="34">
        <f>IF((AND($E$7&gt;0,$D$66&gt;0)),($E$7/$D$66),0)</f>
        <v>20.782417790507075</v>
      </c>
      <c r="G7" s="39">
        <f>IF(L$6=100,"*",IF(M7=FALSE,"--",IF(K7=20,"**",($F7/$D7))))</f>
        <v>3.2570342881860772</v>
      </c>
      <c r="H7" s="40"/>
      <c r="I7" s="41"/>
      <c r="J7" s="40">
        <f>IF((ABS($U7)&gt;Defaults!D$7),1,2)</f>
        <v>1</v>
      </c>
      <c r="K7" s="39">
        <f>IF((AND(N7&gt;Defaults!B$12,(N7+O7)&gt;Defaults!B$13, P7 &gt; Defaults!B$12, (P7+Q7) &gt; Defaults!B$13)),1,20)</f>
        <v>1</v>
      </c>
      <c r="L7" s="1">
        <f>(J7*K7+L$6)-1</f>
        <v>1</v>
      </c>
      <c r="M7" s="1" t="b">
        <f t="shared" ref="M7:M15" si="0">(ISNUMBER(J7))</f>
        <v>1</v>
      </c>
      <c r="N7" s="42">
        <f t="shared" ref="N7:N15" si="1">E7</f>
        <v>3512</v>
      </c>
      <c r="O7" s="42">
        <f>E6-E7</f>
        <v>165477</v>
      </c>
      <c r="P7" s="42">
        <f t="shared" ref="P7:P15" si="2">C7</f>
        <v>4346</v>
      </c>
      <c r="Q7" s="42">
        <f>C6-C7</f>
        <v>676762</v>
      </c>
      <c r="R7" s="42">
        <f t="shared" ref="R7:R15" si="3">SUM(N7:Q7)</f>
        <v>850097</v>
      </c>
      <c r="S7" s="30">
        <f t="shared" ref="S7:S15" si="4">R7*((((N7*Q7)-(O7*P7))^2))</f>
        <v>2.3358293608983754E+24</v>
      </c>
      <c r="T7" s="30">
        <f t="shared" ref="T7:T15" si="5">(N7+O7)*(P7+Q7)*(N7+P7)*(O7+Q7)</f>
        <v>7.6176635889658207E+20</v>
      </c>
      <c r="U7" s="31">
        <f t="shared" ref="U7:U15" si="6">IF((S7&gt;0),S7/T7,"- -")</f>
        <v>3066.333047683836</v>
      </c>
    </row>
    <row r="8" spans="2:21" ht="18" customHeight="1">
      <c r="B8" s="32" t="str">
        <f>'Data Entry'!A8</f>
        <v>3. Refer to Juvenile Court</v>
      </c>
      <c r="C8" s="33">
        <f>'Data Entry'!C8</f>
        <v>6290</v>
      </c>
      <c r="D8" s="34">
        <f>IF((AND(C67&gt;0,C8&gt;0)),(C8/C67),0)</f>
        <v>144.73078693051082</v>
      </c>
      <c r="E8" s="33">
        <f>'Data Entry'!D8</f>
        <v>4514</v>
      </c>
      <c r="F8" s="34">
        <f>IF((AND($E$8&gt;0,$D$67&gt;0)),($E8/$D67),0)</f>
        <v>128.53075170842826</v>
      </c>
      <c r="G8" s="39">
        <f t="shared" ref="G8:G15" si="7">IF(L$6=100,"*",IF(M8=FALSE,"--",IF(K8=20,"**",($F8/$D8))))</f>
        <v>0.88806780115235162</v>
      </c>
      <c r="H8" s="40"/>
      <c r="I8" s="41"/>
      <c r="J8" s="40">
        <f>IF((ABS($U8)&gt;Defaults!D$7),1,2)</f>
        <v>1</v>
      </c>
      <c r="K8" s="39">
        <f>IF((AND(N8&gt;Defaults!B$12,(N8+O8)&gt;Defaults!B$13, P8 &gt; Defaults!B$12, (P8+Q8) &gt; Defaults!B$13)),1,20)</f>
        <v>1</v>
      </c>
      <c r="L8" s="1">
        <f t="shared" ref="L8:L15" si="8">(J8*K8+L$6)-1</f>
        <v>1</v>
      </c>
      <c r="M8" s="1" t="b">
        <f t="shared" si="0"/>
        <v>1</v>
      </c>
      <c r="N8" s="42">
        <f t="shared" si="1"/>
        <v>4514</v>
      </c>
      <c r="O8" s="42">
        <f>((D67*L67)-E8)+0.05</f>
        <v>-1001.9500000000005</v>
      </c>
      <c r="P8" s="42">
        <f t="shared" si="2"/>
        <v>6290</v>
      </c>
      <c r="Q8" s="42">
        <f>(C$67*L67)-C8</f>
        <v>-1944</v>
      </c>
      <c r="R8" s="42">
        <f t="shared" si="3"/>
        <v>7858.0499999999993</v>
      </c>
      <c r="S8" s="30">
        <f t="shared" si="4"/>
        <v>4.8055780424896728E+16</v>
      </c>
      <c r="T8" s="30">
        <f t="shared" si="5"/>
        <v>-485803186615975.38</v>
      </c>
      <c r="U8" s="31">
        <f t="shared" si="6"/>
        <v>-98.920265961294618</v>
      </c>
    </row>
    <row r="9" spans="2:21" ht="18" customHeight="1">
      <c r="B9" s="32" t="str">
        <f>'Data Entry'!A9</f>
        <v xml:space="preserve">4. Cases Diverted </v>
      </c>
      <c r="C9" s="33">
        <f>'Data Entry'!C9</f>
        <v>1473</v>
      </c>
      <c r="D9" s="34">
        <f>IF((AND(C68&gt;0,C9&gt;0)),((C9/C68)),0)</f>
        <v>23.418124006359299</v>
      </c>
      <c r="E9" s="33">
        <f>'Data Entry'!D9</f>
        <v>1023</v>
      </c>
      <c r="F9" s="34">
        <f>IF((AND($E$9&gt;0,$D$68&gt;0)),(($E$9/$D$68)),0)</f>
        <v>22.662826761187418</v>
      </c>
      <c r="G9" s="39">
        <f t="shared" si="7"/>
        <v>0.9677473206236854</v>
      </c>
      <c r="H9" s="40"/>
      <c r="I9" s="41"/>
      <c r="J9" s="40">
        <f>IF((ABS($U9)&gt;Defaults!D$7),1,2)</f>
        <v>2</v>
      </c>
      <c r="K9" s="39">
        <f>IF((AND(N9&gt;Defaults!B$12,(N9+O9)&gt;Defaults!B$13, P9 &gt; Defaults!B$12, (P9+Q9) &gt; Defaults!B$13)),1,20)</f>
        <v>1</v>
      </c>
      <c r="L9" s="1">
        <f t="shared" si="8"/>
        <v>2</v>
      </c>
      <c r="M9" s="1" t="b">
        <f t="shared" si="0"/>
        <v>1</v>
      </c>
      <c r="N9" s="42">
        <f t="shared" si="1"/>
        <v>1023</v>
      </c>
      <c r="O9" s="42">
        <f>(D$68*L68)-E9</f>
        <v>3491</v>
      </c>
      <c r="P9" s="42">
        <f t="shared" si="2"/>
        <v>1473</v>
      </c>
      <c r="Q9" s="42">
        <f>(C$68*L68)-C9</f>
        <v>4817</v>
      </c>
      <c r="R9" s="42">
        <f t="shared" si="3"/>
        <v>10804</v>
      </c>
      <c r="S9" s="30">
        <f t="shared" si="4"/>
        <v>496872289924416</v>
      </c>
      <c r="T9" s="30">
        <f t="shared" si="5"/>
        <v>588780298030080</v>
      </c>
      <c r="U9" s="31">
        <f t="shared" si="6"/>
        <v>0.84390101297009001</v>
      </c>
    </row>
    <row r="10" spans="2:21" ht="18" customHeight="1">
      <c r="B10" s="32" t="str">
        <f>'Data Entry'!A10</f>
        <v>5. Cases Involving Secure Detention</v>
      </c>
      <c r="C10" s="33">
        <f>'Data Entry'!C10</f>
        <v>739</v>
      </c>
      <c r="D10" s="34">
        <f>IF(((AND(C68&gt;0,C10&gt;0))),(C10/(C68)),0)</f>
        <v>11.748807631160572</v>
      </c>
      <c r="E10" s="33">
        <f>'Data Entry'!D10</f>
        <v>1433</v>
      </c>
      <c r="F10" s="34">
        <f>IF(((AND($E$10&gt;0,$D$68&gt;0))),($E$10/($D$68)),0)</f>
        <v>31.745680106335843</v>
      </c>
      <c r="G10" s="39">
        <f t="shared" si="7"/>
        <v>2.7020342066150538</v>
      </c>
      <c r="H10" s="40"/>
      <c r="I10" s="41"/>
      <c r="J10" s="40">
        <f>IF((ABS($U10)&gt;Defaults!D$7),1,2)</f>
        <v>1</v>
      </c>
      <c r="K10" s="39">
        <f>IF((AND(N10&gt;Defaults!B$12,(N10+O10)&gt;Defaults!B$13, P10 &gt; Defaults!B$12, (P10+Q10) &gt; Defaults!B$13)),1,20)</f>
        <v>1</v>
      </c>
      <c r="L10" s="1">
        <f t="shared" si="8"/>
        <v>1</v>
      </c>
      <c r="M10" s="1" t="b">
        <f t="shared" si="0"/>
        <v>1</v>
      </c>
      <c r="N10" s="42">
        <f t="shared" si="1"/>
        <v>1433</v>
      </c>
      <c r="O10" s="42">
        <f>(D$68*L68)-E10</f>
        <v>3081</v>
      </c>
      <c r="P10" s="42">
        <f t="shared" si="2"/>
        <v>739</v>
      </c>
      <c r="Q10" s="42">
        <f>(C$68*L68)-C10</f>
        <v>5551</v>
      </c>
      <c r="R10" s="42">
        <f t="shared" si="3"/>
        <v>10804</v>
      </c>
      <c r="S10" s="30">
        <f t="shared" si="4"/>
        <v>3.482836842571815E+17</v>
      </c>
      <c r="T10" s="30">
        <f t="shared" si="5"/>
        <v>532333077594240</v>
      </c>
      <c r="U10" s="31">
        <f t="shared" si="6"/>
        <v>654.25895725129749</v>
      </c>
    </row>
    <row r="11" spans="2:21" ht="18" customHeight="1">
      <c r="B11" s="32" t="str">
        <f>'Data Entry'!A11</f>
        <v>6. Cases Petitioned (Charge Filed)</v>
      </c>
      <c r="C11" s="33">
        <f>'Data Entry'!C11</f>
        <v>3332</v>
      </c>
      <c r="D11" s="34">
        <f>IF(((AND(C68&gt;0,C11&gt;0))),(C11/(C68)),0)</f>
        <v>52.972972972972975</v>
      </c>
      <c r="E11" s="33">
        <f>'Data Entry'!D11</f>
        <v>3028</v>
      </c>
      <c r="F11" s="34">
        <f>IF(((AND($E$11&gt;0,$D$68&gt;0))),($E$11/($D$68)),0)</f>
        <v>67.08019494904741</v>
      </c>
      <c r="G11" s="39">
        <f t="shared" si="7"/>
        <v>1.2663098026095685</v>
      </c>
      <c r="H11" s="40"/>
      <c r="I11" s="41"/>
      <c r="J11" s="40">
        <f>IF((ABS($U11)&gt;Defaults!D$7),1,2)</f>
        <v>1</v>
      </c>
      <c r="K11" s="39">
        <f>IF((AND(N11&gt;Defaults!B$12,(N11+O11)&gt;Defaults!B$13, P11 &gt; Defaults!B$12, (P11+Q11) &gt; Defaults!B$13)),1,20)</f>
        <v>1</v>
      </c>
      <c r="L11" s="1">
        <f t="shared" si="8"/>
        <v>1</v>
      </c>
      <c r="M11" s="1" t="b">
        <f t="shared" si="0"/>
        <v>1</v>
      </c>
      <c r="N11" s="42">
        <f t="shared" si="1"/>
        <v>3028</v>
      </c>
      <c r="O11" s="42">
        <f>(D$68*L68)-E11</f>
        <v>1486</v>
      </c>
      <c r="P11" s="42">
        <f t="shared" si="2"/>
        <v>3332</v>
      </c>
      <c r="Q11" s="42">
        <f>(C$68*L68)-C11</f>
        <v>2958</v>
      </c>
      <c r="R11" s="42">
        <f t="shared" si="3"/>
        <v>10804</v>
      </c>
      <c r="S11" s="30">
        <f t="shared" si="4"/>
        <v>1.7333727940583834E+17</v>
      </c>
      <c r="T11" s="30">
        <f t="shared" si="5"/>
        <v>802496904950400</v>
      </c>
      <c r="U11" s="31">
        <f t="shared" si="6"/>
        <v>215.99744290172907</v>
      </c>
    </row>
    <row r="12" spans="2:21" ht="18" customHeight="1">
      <c r="B12" s="32" t="str">
        <f>'Data Entry'!A12</f>
        <v>7. Cases Resulting in Delinquent Findings</v>
      </c>
      <c r="C12" s="33">
        <f>'Data Entry'!C12</f>
        <v>1949</v>
      </c>
      <c r="D12" s="34">
        <f>IF(((AND(C69&gt;0,C12&gt;0))),(C12/(C69)),0)</f>
        <v>58.493397358943575</v>
      </c>
      <c r="E12" s="33">
        <f>'Data Entry'!D12</f>
        <v>1518</v>
      </c>
      <c r="F12" s="34">
        <f>IF(((AND($D$69&gt;0,$E$12&gt;0))),(E12/(D69)),0)</f>
        <v>50.13210039630119</v>
      </c>
      <c r="G12" s="39">
        <f t="shared" si="7"/>
        <v>0.85705571329130614</v>
      </c>
      <c r="H12" s="40"/>
      <c r="I12" s="41"/>
      <c r="J12" s="40">
        <f>IF((ABS($U12)&gt;Defaults!D$7),1,2)</f>
        <v>1</v>
      </c>
      <c r="K12" s="39">
        <f>IF((AND(N12&gt;Defaults!B$12,(N12+O12)&gt;Defaults!B$13, P12 &gt; Defaults!B$12, (P12+Q12) &gt; Defaults!B$13)),1,20)</f>
        <v>1</v>
      </c>
      <c r="L12" s="1">
        <f t="shared" si="8"/>
        <v>1</v>
      </c>
      <c r="M12" s="1" t="b">
        <f t="shared" si="0"/>
        <v>1</v>
      </c>
      <c r="N12" s="42">
        <f t="shared" si="1"/>
        <v>1518</v>
      </c>
      <c r="O12" s="42">
        <f>(D69*L69)-E12</f>
        <v>1510</v>
      </c>
      <c r="P12" s="42">
        <f t="shared" si="2"/>
        <v>1949</v>
      </c>
      <c r="Q12" s="42">
        <f>(C69*L69)-C12</f>
        <v>1383</v>
      </c>
      <c r="R12" s="42">
        <f t="shared" si="3"/>
        <v>6360</v>
      </c>
      <c r="S12" s="30">
        <f t="shared" si="4"/>
        <v>4526120783333760</v>
      </c>
      <c r="T12" s="30">
        <f t="shared" si="5"/>
        <v>101195951648176</v>
      </c>
      <c r="U12" s="31">
        <f t="shared" si="6"/>
        <v>44.726302876912968</v>
      </c>
    </row>
    <row r="13" spans="2:21" ht="18" customHeight="1">
      <c r="B13" s="32" t="str">
        <f>'Data Entry'!A13</f>
        <v>8. Cases Resulting in Probation Placement</v>
      </c>
      <c r="C13" s="33">
        <f>'Data Entry'!C13</f>
        <v>1947</v>
      </c>
      <c r="D13" s="34">
        <f>IF(((AND(C70&gt;0,C13&gt;0))),(C13/(C70)),0)</f>
        <v>99.897383273473579</v>
      </c>
      <c r="E13" s="33">
        <f>'Data Entry'!D13</f>
        <v>1239</v>
      </c>
      <c r="F13" s="34">
        <f>IF(((AND($D$70&gt;0,$E$13&gt;0))),($E$13/($D$70)),0)</f>
        <v>81.620553359683797</v>
      </c>
      <c r="G13" s="39">
        <f t="shared" si="7"/>
        <v>0.81704395736016289</v>
      </c>
      <c r="H13" s="40"/>
      <c r="I13" s="41"/>
      <c r="J13" s="40">
        <f>IF((ABS($U13)&gt;Defaults!D$7),1,2)</f>
        <v>1</v>
      </c>
      <c r="K13" s="39">
        <f>IF((AND(N13&gt;Defaults!B$12,(N13+O13)&gt;Defaults!B$13, P13 &gt; Defaults!B$12, (P13+Q13) &gt; Defaults!B$13)),1,20)</f>
        <v>1</v>
      </c>
      <c r="L13" s="1">
        <f t="shared" si="8"/>
        <v>1</v>
      </c>
      <c r="M13" s="1" t="b">
        <f t="shared" si="0"/>
        <v>1</v>
      </c>
      <c r="N13" s="42">
        <f t="shared" si="1"/>
        <v>1239</v>
      </c>
      <c r="O13" s="42">
        <f>(D70*L70)-E13</f>
        <v>279</v>
      </c>
      <c r="P13" s="42">
        <f t="shared" si="2"/>
        <v>1947</v>
      </c>
      <c r="Q13" s="42">
        <f>(C70*L70)-C13</f>
        <v>1.9999999999997726</v>
      </c>
      <c r="R13" s="42">
        <f t="shared" si="3"/>
        <v>3467</v>
      </c>
      <c r="S13" s="30">
        <f t="shared" si="4"/>
        <v>1013731177560075.9</v>
      </c>
      <c r="T13" s="30">
        <f t="shared" si="5"/>
        <v>2648717872811.9976</v>
      </c>
      <c r="U13" s="31">
        <f t="shared" si="6"/>
        <v>382.72523773317295</v>
      </c>
    </row>
    <row r="14" spans="2:21" ht="30.75" customHeight="1">
      <c r="B14" s="32" t="str">
        <f>'Data Entry'!A14</f>
        <v xml:space="preserve">9. Cases Resulting in Confinement in Secure Juvenile Correctional Facilities </v>
      </c>
      <c r="C14" s="33">
        <f>'Data Entry'!C14</f>
        <v>522</v>
      </c>
      <c r="D14" s="34">
        <f>IF(((AND(C70&gt;0,C14&gt;0))), ((C14/(C70))),0)</f>
        <v>26.782965623396617</v>
      </c>
      <c r="E14" s="33">
        <f>'Data Entry'!D14</f>
        <v>239</v>
      </c>
      <c r="F14" s="34">
        <f>IF(((AND($D$70&gt;0,$E$14&gt;0))), (($E$14/($D$70))),0)</f>
        <v>15.744400527009223</v>
      </c>
      <c r="G14" s="39">
        <f t="shared" si="7"/>
        <v>0.58785127638201096</v>
      </c>
      <c r="H14" s="40"/>
      <c r="I14" s="41"/>
      <c r="J14" s="40">
        <f>IF((ABS($U14)&gt;Defaults!D$7),1,2)</f>
        <v>1</v>
      </c>
      <c r="K14" s="39">
        <f>IF((AND(N14&gt;Defaults!B$12,(N14+O14)&gt;Defaults!B$13, P14 &gt; Defaults!B$12, (P14+Q14) &gt; Defaults!B$13)),1,20)</f>
        <v>1</v>
      </c>
      <c r="L14" s="1">
        <f t="shared" si="8"/>
        <v>1</v>
      </c>
      <c r="M14" s="1" t="b">
        <f t="shared" si="0"/>
        <v>1</v>
      </c>
      <c r="N14" s="42">
        <f t="shared" si="1"/>
        <v>239</v>
      </c>
      <c r="O14" s="42">
        <f>(D70*L70)-E14</f>
        <v>1279</v>
      </c>
      <c r="P14" s="42">
        <f t="shared" si="2"/>
        <v>522</v>
      </c>
      <c r="Q14" s="42">
        <f>(C70*L70)-C14</f>
        <v>1426.9999999999998</v>
      </c>
      <c r="R14" s="42">
        <f t="shared" si="3"/>
        <v>3467</v>
      </c>
      <c r="S14" s="30">
        <f t="shared" si="4"/>
        <v>369782461634075.13</v>
      </c>
      <c r="T14" s="30">
        <f t="shared" si="5"/>
        <v>6092507320811.999</v>
      </c>
      <c r="U14" s="31">
        <f t="shared" si="6"/>
        <v>60.694627377943164</v>
      </c>
    </row>
    <row r="15" spans="2:21" ht="15.75" customHeight="1">
      <c r="B15" s="32" t="str">
        <f>'Data Entry'!A15</f>
        <v xml:space="preserve">10. Cases Transferred to Adult Court </v>
      </c>
      <c r="C15" s="33">
        <f>'Data Entry'!C15</f>
        <v>14</v>
      </c>
      <c r="D15" s="34">
        <f>IF(((AND(C69&gt;0,C15&gt;0))),((C15/(C69))),0)</f>
        <v>0.42016806722689076</v>
      </c>
      <c r="E15" s="33">
        <f>'Data Entry'!D15</f>
        <v>24</v>
      </c>
      <c r="F15" s="34">
        <f>IF(((AND($D$69&gt;0,$E$15&gt;0))),(($E$15/($D$69))),0)</f>
        <v>0.79260237780713338</v>
      </c>
      <c r="G15" s="39">
        <f t="shared" si="7"/>
        <v>1.8863936591809773</v>
      </c>
      <c r="H15" s="40"/>
      <c r="I15" s="41"/>
      <c r="J15" s="40">
        <f>IF((ABS($U15)&gt;Defaults!D$7),1,2)</f>
        <v>2</v>
      </c>
      <c r="K15" s="39">
        <f>IF((AND(N15&gt;Defaults!B$12,(N15+O15)&gt;Defaults!B$13, P15 &gt; Defaults!B$12, (P15+Q15) &gt; Defaults!B$13)),1,20)</f>
        <v>1</v>
      </c>
      <c r="L15" s="1">
        <f t="shared" si="8"/>
        <v>2</v>
      </c>
      <c r="M15" s="1" t="b">
        <f t="shared" si="0"/>
        <v>1</v>
      </c>
      <c r="N15" s="42">
        <f t="shared" si="1"/>
        <v>24</v>
      </c>
      <c r="O15" s="42">
        <f>(D69*L69)-E15</f>
        <v>3004</v>
      </c>
      <c r="P15" s="42">
        <f t="shared" si="2"/>
        <v>14</v>
      </c>
      <c r="Q15" s="42">
        <f>(C69*L69)-C15</f>
        <v>3318</v>
      </c>
      <c r="R15" s="42">
        <f t="shared" si="3"/>
        <v>6360</v>
      </c>
      <c r="S15" s="30">
        <f t="shared" si="4"/>
        <v>8980038735360</v>
      </c>
      <c r="T15" s="30">
        <f t="shared" si="5"/>
        <v>2423812113856</v>
      </c>
      <c r="U15" s="31">
        <f t="shared" si="6"/>
        <v>3.70492361351962</v>
      </c>
    </row>
    <row r="16" spans="2:21" ht="12" customHeight="1">
      <c r="B16" s="43" t="s">
        <v>51</v>
      </c>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12" customHeight="1">
      <c r="B24" s="43"/>
      <c r="C24" s="44"/>
      <c r="D24" s="44"/>
      <c r="E24" s="44"/>
      <c r="F24" s="44"/>
      <c r="G24" s="44"/>
      <c r="H24" s="44"/>
      <c r="I24" s="44"/>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681.10799999999995</v>
      </c>
      <c r="D42" s="56">
        <f>E6/1000</f>
        <v>168.989</v>
      </c>
      <c r="E42" s="56">
        <f>MAX(C42:D42)</f>
        <v>681.10799999999995</v>
      </c>
      <c r="G42" s="1" t="str">
        <f>B42</f>
        <v>per 1000 youth</v>
      </c>
      <c r="L42" s="57">
        <v>1000</v>
      </c>
      <c r="M42" s="57"/>
      <c r="R42" s="49"/>
    </row>
    <row r="43" spans="2:18" ht="15" hidden="1" customHeight="1">
      <c r="B43" s="49" t="s">
        <v>88</v>
      </c>
      <c r="C43" s="56">
        <f>C7/100</f>
        <v>43.46</v>
      </c>
      <c r="D43" s="56">
        <f>E7/100</f>
        <v>35.119999999999997</v>
      </c>
      <c r="E43" s="56">
        <f>MAX(C43:D43,0)</f>
        <v>43.46</v>
      </c>
      <c r="G43" s="1" t="str">
        <f>B43</f>
        <v>per 100 arrests</v>
      </c>
      <c r="L43" s="57">
        <v>100</v>
      </c>
      <c r="M43" s="57"/>
      <c r="R43" s="49"/>
    </row>
    <row r="44" spans="2:18" ht="15" hidden="1" customHeight="1">
      <c r="B44" s="49" t="s">
        <v>89</v>
      </c>
      <c r="C44" s="56">
        <f>C8/100</f>
        <v>62.9</v>
      </c>
      <c r="D44" s="56">
        <f>E8/100</f>
        <v>45.14</v>
      </c>
      <c r="E44" s="56">
        <f>MAX(C44:D44,0)</f>
        <v>62.9</v>
      </c>
      <c r="G44" s="1" t="str">
        <f>B44</f>
        <v>per 100 referrals</v>
      </c>
      <c r="L44" s="57">
        <v>100</v>
      </c>
      <c r="M44" s="57"/>
      <c r="R44" s="49"/>
    </row>
    <row r="45" spans="2:18" ht="15" hidden="1" customHeight="1">
      <c r="B45" s="49" t="s">
        <v>90</v>
      </c>
      <c r="C45" s="49">
        <f>C11/100</f>
        <v>33.32</v>
      </c>
      <c r="D45" s="49">
        <f>E11/100</f>
        <v>30.28</v>
      </c>
      <c r="E45" s="56">
        <f>MAX(C45:D45,0)</f>
        <v>33.32</v>
      </c>
      <c r="G45" s="1" t="str">
        <f>B45</f>
        <v>per 100 youth petitioned</v>
      </c>
      <c r="L45" s="57">
        <v>100</v>
      </c>
      <c r="M45" s="57"/>
      <c r="R45" s="49"/>
    </row>
    <row r="46" spans="2:18" ht="15" hidden="1" customHeight="1">
      <c r="B46" s="49" t="s">
        <v>91</v>
      </c>
      <c r="C46" s="49">
        <f>C12/100</f>
        <v>19.489999999999998</v>
      </c>
      <c r="D46" s="49">
        <f>E12/100</f>
        <v>15.18</v>
      </c>
      <c r="E46" s="56">
        <f>MAX(C46:D46)</f>
        <v>19.489999999999998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681.10799999999995</v>
      </c>
      <c r="D48" s="56">
        <f>D42</f>
        <v>168.989</v>
      </c>
      <c r="E48" s="56">
        <f>MAX(C48:D48)</f>
        <v>681.10799999999995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43.46</v>
      </c>
      <c r="D49" s="49">
        <f t="shared" si="9"/>
        <v>35.119999999999997</v>
      </c>
      <c r="E49" s="49">
        <f>MAX(C49:D49)</f>
        <v>43.46</v>
      </c>
      <c r="G49" s="1" t="str">
        <f>G43</f>
        <v>per 100 arrests</v>
      </c>
      <c r="L49" s="58">
        <f>IF(($E43&gt;0),L43,L42)</f>
        <v>100</v>
      </c>
      <c r="M49" s="58"/>
      <c r="N49" s="21"/>
      <c r="O49" s="21"/>
      <c r="P49" s="21"/>
      <c r="Q49" s="21"/>
      <c r="R49" s="21"/>
    </row>
    <row r="50" spans="2:18" ht="15" hidden="1" customHeight="1">
      <c r="B50" s="49" t="str">
        <f t="shared" si="9"/>
        <v>per 100 referrals</v>
      </c>
      <c r="C50" s="49">
        <f t="shared" si="9"/>
        <v>62.9</v>
      </c>
      <c r="D50" s="49">
        <f t="shared" si="9"/>
        <v>45.14</v>
      </c>
      <c r="E50" s="49">
        <f>MAX(C50:D50)</f>
        <v>62.9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33.32</v>
      </c>
      <c r="D51" s="49">
        <f>IF(($E45&gt;0),D45,D44)</f>
        <v>30.28</v>
      </c>
      <c r="E51" s="49">
        <f>MAX(C51:D51)</f>
        <v>33.32</v>
      </c>
      <c r="G51" s="1" t="str">
        <f>G45</f>
        <v>per 100 youth petitioned</v>
      </c>
      <c r="L51" s="58">
        <f>IF(($E45&gt;0),L45,L44)</f>
        <v>100</v>
      </c>
      <c r="M51" s="58"/>
    </row>
    <row r="52" spans="2:18" ht="15" hidden="1" customHeight="1">
      <c r="B52" s="49" t="str">
        <f>IF(($E46&gt;0),B46,B45)</f>
        <v>per 100 youth found delinquent</v>
      </c>
      <c r="C52" s="49">
        <f>IF(($E46&gt;0),C46,C45)</f>
        <v>19.489999999999998</v>
      </c>
      <c r="D52" s="49">
        <f>IF(($E46&gt;0),D46,D45)</f>
        <v>15.18</v>
      </c>
      <c r="E52" s="56">
        <f>MAX(C52:D52)</f>
        <v>19.489999999999998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681.10799999999995</v>
      </c>
      <c r="D54" s="56">
        <f>D48</f>
        <v>168.989</v>
      </c>
      <c r="E54" s="56">
        <f>MAX(C54:D54)</f>
        <v>681.10799999999995</v>
      </c>
      <c r="G54" s="1" t="str">
        <f>G48</f>
        <v>per 1000 youth</v>
      </c>
      <c r="L54" s="58">
        <f>L48</f>
        <v>1000</v>
      </c>
      <c r="M54" s="58"/>
    </row>
    <row r="55" spans="2:18" ht="15" hidden="1" customHeight="1">
      <c r="B55" s="49" t="str">
        <f t="shared" ref="B55:D56" si="10">IF(($E49&gt;0),B49,B48)</f>
        <v>per 100 arrests</v>
      </c>
      <c r="C55" s="49">
        <f t="shared" si="10"/>
        <v>43.46</v>
      </c>
      <c r="D55" s="49">
        <f t="shared" si="10"/>
        <v>35.119999999999997</v>
      </c>
      <c r="E55" s="49">
        <f>MAX(C55:D55)</f>
        <v>43.46</v>
      </c>
      <c r="G55" s="1" t="str">
        <f>G49</f>
        <v>per 100 arrests</v>
      </c>
      <c r="L55" s="58">
        <f>IF(($E49&gt;0),L49,L48)</f>
        <v>100</v>
      </c>
      <c r="M55" s="58"/>
    </row>
    <row r="56" spans="2:18" ht="15" hidden="1" customHeight="1">
      <c r="B56" s="49" t="str">
        <f t="shared" si="10"/>
        <v>per 100 referrals</v>
      </c>
      <c r="C56" s="49">
        <f t="shared" si="10"/>
        <v>62.9</v>
      </c>
      <c r="D56" s="49">
        <f t="shared" si="10"/>
        <v>45.14</v>
      </c>
      <c r="E56" s="49">
        <f>MAX(C56:D56)</f>
        <v>62.9</v>
      </c>
      <c r="G56" s="1" t="str">
        <f>G50</f>
        <v>per 100 referrals</v>
      </c>
      <c r="L56" s="58">
        <f>IF(($E50&gt;0),L50,L49)</f>
        <v>100</v>
      </c>
      <c r="M56" s="58"/>
    </row>
    <row r="57" spans="2:18" ht="15" hidden="1" customHeight="1">
      <c r="B57" s="49" t="str">
        <f>IF(($E51&gt;0),B51,B49)</f>
        <v>per 100 youth petitioned</v>
      </c>
      <c r="C57" s="49">
        <f>IF(($E51&gt;0),C51,C50)</f>
        <v>33.32</v>
      </c>
      <c r="D57" s="49">
        <f>IF(($E51&gt;0),D51,D50)</f>
        <v>30.28</v>
      </c>
      <c r="E57" s="49">
        <f>MAX(C57:D57)</f>
        <v>33.32</v>
      </c>
      <c r="G57" s="1" t="str">
        <f>G51</f>
        <v>per 100 youth petitioned</v>
      </c>
      <c r="L57" s="58">
        <f>IF(($E51&gt;0),L51,L50)</f>
        <v>100</v>
      </c>
      <c r="M57" s="58"/>
    </row>
    <row r="58" spans="2:18" ht="15" hidden="1" customHeight="1">
      <c r="B58" s="49" t="str">
        <f>IF(($E52&gt;0),B52,B51)</f>
        <v>per 100 youth found delinquent</v>
      </c>
      <c r="C58" s="49">
        <f>IF(($E52&gt;0),C52,C51)</f>
        <v>19.489999999999998</v>
      </c>
      <c r="D58" s="49">
        <f>IF(($E52&gt;0),D52,D51)</f>
        <v>15.18</v>
      </c>
      <c r="E58" s="56">
        <f>MAX(C58:D58)</f>
        <v>19.489999999999998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681.10799999999995</v>
      </c>
      <c r="D60" s="56">
        <f>D54</f>
        <v>168.989</v>
      </c>
      <c r="E60" s="56">
        <f>MAX(C60:D60)</f>
        <v>681.10799999999995</v>
      </c>
      <c r="G60" s="1" t="str">
        <f>G54</f>
        <v>per 1000 youth</v>
      </c>
      <c r="L60" s="58">
        <f>L54</f>
        <v>1000</v>
      </c>
      <c r="M60" s="58"/>
    </row>
    <row r="61" spans="2:18" ht="15" hidden="1" customHeight="1">
      <c r="B61" s="49" t="str">
        <f t="shared" ref="B61:D62" si="11">IF(($E55&gt;0),B55,B54)</f>
        <v>per 100 arrests</v>
      </c>
      <c r="C61" s="49">
        <f t="shared" si="11"/>
        <v>43.46</v>
      </c>
      <c r="D61" s="49">
        <f t="shared" si="11"/>
        <v>35.119999999999997</v>
      </c>
      <c r="E61" s="49">
        <f>MAX(C61:D61)</f>
        <v>43.46</v>
      </c>
      <c r="G61" s="1" t="str">
        <f>G55</f>
        <v>per 100 arrests</v>
      </c>
      <c r="L61" s="58">
        <f>IF(($E55&gt;0),L55,L54)</f>
        <v>100</v>
      </c>
      <c r="M61" s="58"/>
    </row>
    <row r="62" spans="2:18" ht="15" hidden="1" customHeight="1">
      <c r="B62" s="49" t="str">
        <f t="shared" si="11"/>
        <v>per 100 referrals</v>
      </c>
      <c r="C62" s="49">
        <f t="shared" si="11"/>
        <v>62.9</v>
      </c>
      <c r="D62" s="49">
        <f t="shared" si="11"/>
        <v>45.14</v>
      </c>
      <c r="E62" s="49">
        <f>MAX(C62:D62)</f>
        <v>62.9</v>
      </c>
      <c r="G62" s="1" t="str">
        <f>G56</f>
        <v>per 100 referrals</v>
      </c>
      <c r="L62" s="58">
        <f>IF(($E56&gt;0),L56,L55)</f>
        <v>100</v>
      </c>
      <c r="M62" s="58"/>
    </row>
    <row r="63" spans="2:18" ht="15" hidden="1" customHeight="1">
      <c r="B63" s="49" t="str">
        <f>IF(($E57&gt;0),B57,B55)</f>
        <v>per 100 youth petitioned</v>
      </c>
      <c r="C63" s="49">
        <f>IF(($E57&gt;0),C57,C56)</f>
        <v>33.32</v>
      </c>
      <c r="D63" s="49">
        <f>IF(($E57&gt;0),D57,D56)</f>
        <v>30.28</v>
      </c>
      <c r="E63" s="49">
        <f>MAX(C63:D63)</f>
        <v>33.32</v>
      </c>
      <c r="G63" s="1" t="str">
        <f>G57</f>
        <v>per 100 youth petitioned</v>
      </c>
      <c r="L63" s="58">
        <f>IF(($E57&gt;0),L57,L56)</f>
        <v>100</v>
      </c>
      <c r="M63" s="58"/>
    </row>
    <row r="64" spans="2:18" ht="15" hidden="1" customHeight="1">
      <c r="B64" s="49" t="str">
        <f>IF(($E58&gt;0),B58,B57)</f>
        <v>per 100 youth found delinquent</v>
      </c>
      <c r="C64" s="49">
        <f>IF(($E58&gt;0),C58,C57)</f>
        <v>19.489999999999998</v>
      </c>
      <c r="D64" s="49">
        <f>IF(($E58&gt;0),D58,D57)</f>
        <v>15.18</v>
      </c>
      <c r="E64" s="56">
        <f>MAX(C64:D64)</f>
        <v>19.489999999999998</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681.10799999999995</v>
      </c>
      <c r="D66" s="56">
        <f>D60</f>
        <v>168.989</v>
      </c>
      <c r="E66" s="56">
        <f>MAX(C66:D66)</f>
        <v>681.10799999999995</v>
      </c>
      <c r="G66" s="1" t="str">
        <f>G60</f>
        <v>per 1000 youth</v>
      </c>
      <c r="L66" s="58">
        <f>L60</f>
        <v>1000</v>
      </c>
      <c r="M66" s="58">
        <f>IF((B66=G66),1,2)</f>
        <v>1</v>
      </c>
    </row>
    <row r="67" spans="2:13" ht="15" hidden="1" customHeight="1">
      <c r="B67" s="49" t="str">
        <f t="shared" ref="B67:D68" si="12">IF(($E61&gt;0),B61,B60)</f>
        <v>per 100 arrests</v>
      </c>
      <c r="C67" s="49">
        <f t="shared" si="12"/>
        <v>43.46</v>
      </c>
      <c r="D67" s="49">
        <f t="shared" si="12"/>
        <v>35.119999999999997</v>
      </c>
      <c r="E67" s="49">
        <f>MAX(C67:D67)</f>
        <v>43.46</v>
      </c>
      <c r="G67" s="1" t="str">
        <f>G61</f>
        <v>per 100 arrests</v>
      </c>
      <c r="L67" s="58">
        <f>IF(($E61&gt;0),L61,L60)</f>
        <v>100</v>
      </c>
      <c r="M67" s="58">
        <f>IF((B67=G67),1,2)</f>
        <v>1</v>
      </c>
    </row>
    <row r="68" spans="2:13" ht="15" hidden="1" customHeight="1">
      <c r="B68" s="49" t="str">
        <f t="shared" si="12"/>
        <v>per 100 referrals</v>
      </c>
      <c r="C68" s="49">
        <f t="shared" si="12"/>
        <v>62.9</v>
      </c>
      <c r="D68" s="49">
        <f t="shared" si="12"/>
        <v>45.14</v>
      </c>
      <c r="E68" s="49">
        <f>MAX(C68:D68)</f>
        <v>62.9</v>
      </c>
      <c r="G68" s="1" t="str">
        <f>G62</f>
        <v>per 100 referrals</v>
      </c>
      <c r="L68" s="58">
        <f>IF(($E62&gt;0),L62,L61)</f>
        <v>100</v>
      </c>
      <c r="M68" s="58">
        <f>IF((B68=G68),1,2)</f>
        <v>1</v>
      </c>
    </row>
    <row r="69" spans="2:13" ht="15" hidden="1" customHeight="1">
      <c r="B69" s="49" t="str">
        <f>IF(($E63&gt;0),B63,B61)</f>
        <v>per 100 youth petitioned</v>
      </c>
      <c r="C69" s="49">
        <f>IF(($E63&gt;0),C63,C62)</f>
        <v>33.32</v>
      </c>
      <c r="D69" s="49">
        <f>IF(($E63&gt;0),D63,D62)</f>
        <v>30.28</v>
      </c>
      <c r="E69" s="49">
        <f>MAX(C69:D69)</f>
        <v>33.32</v>
      </c>
      <c r="G69" s="1" t="str">
        <f>G63</f>
        <v>per 100 youth petitioned</v>
      </c>
      <c r="L69" s="58">
        <f>IF(($E63&gt;0),L63,L62)</f>
        <v>100</v>
      </c>
      <c r="M69" s="58">
        <f>IF((B69=G69),1,2)</f>
        <v>1</v>
      </c>
    </row>
    <row r="70" spans="2:13" ht="15" hidden="1" customHeight="1">
      <c r="B70" s="49" t="str">
        <f>IF(($E64&gt;0),B64,B63)</f>
        <v>per 100 youth found delinquent</v>
      </c>
      <c r="C70" s="49">
        <f>IF(($E64&gt;0),C64,C63)</f>
        <v>19.489999999999998</v>
      </c>
      <c r="D70" s="49">
        <f>IF(($E64&gt;0),D64,D63)</f>
        <v>15.18</v>
      </c>
      <c r="E70" s="56">
        <f>MAX(C70:D70)</f>
        <v>19.489999999999998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4" t="str">
        <f>'Data Entry'!F5</f>
        <v>Asian</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681108</v>
      </c>
      <c r="D6" s="34"/>
      <c r="E6" s="33">
        <f>'Data Entry'!F6</f>
        <v>38549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2. Juvenile Arrests</v>
      </c>
      <c r="C7" s="33">
        <f>'Data Entry'!C7</f>
        <v>4346</v>
      </c>
      <c r="D7" s="34">
        <f>IF((AND(C66&gt;0,C7&gt;0)),(C7/C66),0)</f>
        <v>6.3807795533160681</v>
      </c>
      <c r="E7" s="33">
        <f>'Data Entry'!F7</f>
        <v>29</v>
      </c>
      <c r="F7" s="34">
        <f>IF((AND($E$7&gt;0,$D$66&gt;0)),($E$7/$D$66),0)</f>
        <v>0.75228929414511403</v>
      </c>
      <c r="G7" s="39">
        <f t="shared" ref="G7:G15" si="0">IF(L$6=100,"*",IF(M7=FALSE,"--",IF(K7=20,"**",($F7/$D7))))</f>
        <v>0.11789927670423155</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29</v>
      </c>
      <c r="O7" s="42">
        <f>E6-E7</f>
        <v>38520</v>
      </c>
      <c r="P7" s="42">
        <f t="shared" ref="P7:P15" si="4">C7</f>
        <v>4346</v>
      </c>
      <c r="Q7" s="42">
        <f>C6-C7</f>
        <v>676762</v>
      </c>
      <c r="R7" s="42">
        <f t="shared" ref="R7:R15" si="5">SUM(N7:Q7)</f>
        <v>719657</v>
      </c>
      <c r="S7" s="30">
        <f t="shared" ref="S7:S15" si="6">R7*((((N7*Q7)-(O7*P7))^2))</f>
        <v>1.5716925240669194E+22</v>
      </c>
      <c r="T7" s="30">
        <f t="shared" ref="T7:T15" si="7">(N7+O7)*(P7+Q7)*(N7+P7)*(O7+Q7)</f>
        <v>8.2164544393252749E+19</v>
      </c>
      <c r="U7" s="31">
        <f t="shared" ref="U7:U15" si="8">IF((S7&gt;0),S7/T7,"- -")</f>
        <v>191.28597811539558</v>
      </c>
    </row>
    <row r="8" spans="2:21" ht="18" customHeight="1">
      <c r="B8" s="32" t="str">
        <f>'Data Entry'!A8</f>
        <v>3. Refer to Juvenile Court</v>
      </c>
      <c r="C8" s="33">
        <f>'Data Entry'!C8</f>
        <v>6290</v>
      </c>
      <c r="D8" s="34">
        <f>IF((AND(C67&gt;0,C8&gt;0)),(C8/C67),0)</f>
        <v>144.73078693051082</v>
      </c>
      <c r="E8" s="33">
        <f>'Data Entry'!F8</f>
        <v>51</v>
      </c>
      <c r="F8" s="34">
        <f>IF((AND($E$8&gt;0,$D$67&gt;0)),($E8/$D67),0)</f>
        <v>175.86206896551727</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51</v>
      </c>
      <c r="O8" s="42">
        <f>((D67*L67)-E8)+0.05</f>
        <v>-21.950000000000003</v>
      </c>
      <c r="P8" s="42">
        <f t="shared" si="4"/>
        <v>6290</v>
      </c>
      <c r="Q8" s="42">
        <f>(C$67*L67)-C8</f>
        <v>-1944</v>
      </c>
      <c r="R8" s="42">
        <f t="shared" si="5"/>
        <v>4375.05</v>
      </c>
      <c r="S8" s="30">
        <f t="shared" si="6"/>
        <v>6627689579001.873</v>
      </c>
      <c r="T8" s="30">
        <f t="shared" si="7"/>
        <v>-1573859935853.135</v>
      </c>
      <c r="U8" s="31">
        <f t="shared" si="8"/>
        <v>-4.2111050850336511</v>
      </c>
    </row>
    <row r="9" spans="2:21" ht="18" customHeight="1">
      <c r="B9" s="32" t="str">
        <f>'Data Entry'!A9</f>
        <v xml:space="preserve">4. Cases Diverted </v>
      </c>
      <c r="C9" s="33">
        <f>'Data Entry'!C9</f>
        <v>1473</v>
      </c>
      <c r="D9" s="34">
        <f>IF((AND(C68&gt;0,C9&gt;0)),((C9/C68)),0)</f>
        <v>23.418124006359299</v>
      </c>
      <c r="E9" s="33">
        <f>'Data Entry'!F9</f>
        <v>9</v>
      </c>
      <c r="F9" s="34">
        <f>IF((AND($E$9&gt;0,$D$68&gt;0)),(($E$9/$D$68)),0)</f>
        <v>17.647058823529413</v>
      </c>
      <c r="G9" s="39">
        <f t="shared" si="0"/>
        <v>0.7535641547861508</v>
      </c>
      <c r="H9" s="40"/>
      <c r="I9" s="41"/>
      <c r="J9" s="40">
        <f>IF((ABS($U9)&gt;Defaults!D$7),1,2)</f>
        <v>2</v>
      </c>
      <c r="K9" s="39">
        <f>IF((AND(N9&gt;Defaults!B$12,(N9+O9)&gt;Defaults!B$13, P9 &gt; Defaults!B$12, (P9+Q9) &gt; Defaults!B$13)),1,20)</f>
        <v>1</v>
      </c>
      <c r="L9" s="1">
        <f t="shared" si="1"/>
        <v>2</v>
      </c>
      <c r="M9" s="1" t="b">
        <f t="shared" si="2"/>
        <v>1</v>
      </c>
      <c r="N9" s="42">
        <f t="shared" si="3"/>
        <v>9</v>
      </c>
      <c r="O9" s="42">
        <f>(D$68*L68)-E9</f>
        <v>42</v>
      </c>
      <c r="P9" s="42">
        <f t="shared" si="4"/>
        <v>1473</v>
      </c>
      <c r="Q9" s="42">
        <f>(C$68*L68)-C9</f>
        <v>4817</v>
      </c>
      <c r="R9" s="42">
        <f t="shared" si="5"/>
        <v>6341</v>
      </c>
      <c r="S9" s="30">
        <f t="shared" si="6"/>
        <v>2173258342629</v>
      </c>
      <c r="T9" s="30">
        <f t="shared" si="7"/>
        <v>2310020980020</v>
      </c>
      <c r="U9" s="31">
        <f t="shared" si="8"/>
        <v>0.94079593277554741</v>
      </c>
    </row>
    <row r="10" spans="2:21" ht="18" customHeight="1">
      <c r="B10" s="32" t="str">
        <f>'Data Entry'!A10</f>
        <v>5. Cases Involving Secure Detention</v>
      </c>
      <c r="C10" s="33">
        <f>'Data Entry'!C10</f>
        <v>739</v>
      </c>
      <c r="D10" s="34">
        <f>IF(((AND(C68&gt;0,C10&gt;0))),(C10/(C68)),0)</f>
        <v>11.748807631160572</v>
      </c>
      <c r="E10" s="33">
        <f>'Data Entry'!F10</f>
        <v>10</v>
      </c>
      <c r="F10" s="34">
        <f>IF(((AND($E$10&gt;0,$D$68&gt;0))),($E$10/($D$68)),0)</f>
        <v>19.607843137254903</v>
      </c>
      <c r="G10" s="39">
        <f t="shared" si="0"/>
        <v>1.6689219666215609</v>
      </c>
      <c r="H10" s="40"/>
      <c r="I10" s="41"/>
      <c r="J10" s="40">
        <f>IF((ABS($U10)&gt;Defaults!D$7),1,2)</f>
        <v>2</v>
      </c>
      <c r="K10" s="39">
        <f>IF((AND(N10&gt;Defaults!B$12,(N10+O10)&gt;Defaults!B$13, P10 &gt; Defaults!B$12, (P10+Q10) &gt; Defaults!B$13)),1,20)</f>
        <v>1</v>
      </c>
      <c r="L10" s="1">
        <f t="shared" si="1"/>
        <v>2</v>
      </c>
      <c r="M10" s="1" t="b">
        <f t="shared" si="2"/>
        <v>1</v>
      </c>
      <c r="N10" s="42">
        <f t="shared" si="3"/>
        <v>10</v>
      </c>
      <c r="O10" s="42">
        <f>(D$68*L68)-E10</f>
        <v>41</v>
      </c>
      <c r="P10" s="42">
        <f t="shared" si="4"/>
        <v>739</v>
      </c>
      <c r="Q10" s="42">
        <f>(C$68*L68)-C10</f>
        <v>5551</v>
      </c>
      <c r="R10" s="42">
        <f t="shared" si="5"/>
        <v>6341</v>
      </c>
      <c r="S10" s="30">
        <f t="shared" si="6"/>
        <v>4030304857661</v>
      </c>
      <c r="T10" s="30">
        <f t="shared" si="7"/>
        <v>1343599402320</v>
      </c>
      <c r="U10" s="31">
        <f t="shared" si="8"/>
        <v>2.9996328151842371</v>
      </c>
    </row>
    <row r="11" spans="2:21" ht="18" customHeight="1">
      <c r="B11" s="32" t="str">
        <f>'Data Entry'!A11</f>
        <v>6. Cases Petitioned (Charge Filed)</v>
      </c>
      <c r="C11" s="33">
        <f>'Data Entry'!C11</f>
        <v>3332</v>
      </c>
      <c r="D11" s="34">
        <f>IF(((AND(C68&gt;0,C11&gt;0))),(C11/(C68)),0)</f>
        <v>52.972972972972975</v>
      </c>
      <c r="E11" s="33">
        <f>'Data Entry'!F11</f>
        <v>32</v>
      </c>
      <c r="F11" s="34">
        <f>IF(((AND($E$11&gt;0,$D$68&gt;0))),($E$11/($D$68)),0)</f>
        <v>62.745098039215684</v>
      </c>
      <c r="G11" s="39">
        <f t="shared" si="0"/>
        <v>1.1844737895158062</v>
      </c>
      <c r="H11" s="40"/>
      <c r="I11" s="41"/>
      <c r="J11" s="40">
        <f>IF((ABS($U11)&gt;Defaults!D$7),1,2)</f>
        <v>2</v>
      </c>
      <c r="K11" s="39">
        <f>IF((AND(N11&gt;Defaults!B$12,(N11+O11)&gt;Defaults!B$13, P11 &gt; Defaults!B$12, (P11+Q11) &gt; Defaults!B$13)),1,20)</f>
        <v>1</v>
      </c>
      <c r="L11" s="1">
        <f t="shared" si="1"/>
        <v>2</v>
      </c>
      <c r="M11" s="1" t="b">
        <f t="shared" si="2"/>
        <v>1</v>
      </c>
      <c r="N11" s="42">
        <f t="shared" si="3"/>
        <v>32</v>
      </c>
      <c r="O11" s="42">
        <f>(D$68*L68)-E11</f>
        <v>19</v>
      </c>
      <c r="P11" s="42">
        <f t="shared" si="4"/>
        <v>3332</v>
      </c>
      <c r="Q11" s="42">
        <f>(C$68*L68)-C11</f>
        <v>2958</v>
      </c>
      <c r="R11" s="42">
        <f t="shared" si="5"/>
        <v>6341</v>
      </c>
      <c r="S11" s="30">
        <f t="shared" si="6"/>
        <v>6231282336464</v>
      </c>
      <c r="T11" s="30">
        <f t="shared" si="7"/>
        <v>3212592516120</v>
      </c>
      <c r="U11" s="31">
        <f t="shared" si="8"/>
        <v>1.9396429224051779</v>
      </c>
    </row>
    <row r="12" spans="2:21" ht="18" customHeight="1">
      <c r="B12" s="32" t="str">
        <f>'Data Entry'!A12</f>
        <v>7. Cases Resulting in Delinquent Findings</v>
      </c>
      <c r="C12" s="33">
        <f>'Data Entry'!C12</f>
        <v>1949</v>
      </c>
      <c r="D12" s="34">
        <f>IF(((AND(C69&gt;0,C12&gt;0))),(C12/(C69)),0)</f>
        <v>58.493397358943575</v>
      </c>
      <c r="E12" s="33">
        <f>'Data Entry'!F12</f>
        <v>22</v>
      </c>
      <c r="F12" s="34">
        <f>IF(((AND($D$69&gt;0,$E$12&gt;0))),(E12/(D69)),0)</f>
        <v>68.75</v>
      </c>
      <c r="G12" s="39">
        <f t="shared" si="0"/>
        <v>1.1753463314520267</v>
      </c>
      <c r="H12" s="40"/>
      <c r="I12" s="41"/>
      <c r="J12" s="40">
        <f>IF((ABS($U12)&gt;Defaults!D$7),1,2)</f>
        <v>2</v>
      </c>
      <c r="K12" s="39">
        <f>IF((AND(N12&gt;Defaults!B$12,(N12+O12)&gt;Defaults!B$13, P12 &gt; Defaults!B$12, (P12+Q12) &gt; Defaults!B$13)),1,20)</f>
        <v>1</v>
      </c>
      <c r="L12" s="1">
        <f t="shared" si="1"/>
        <v>2</v>
      </c>
      <c r="M12" s="1" t="b">
        <f t="shared" si="2"/>
        <v>1</v>
      </c>
      <c r="N12" s="42">
        <f t="shared" si="3"/>
        <v>22</v>
      </c>
      <c r="O12" s="42">
        <f>(D69*L69)-E12</f>
        <v>10</v>
      </c>
      <c r="P12" s="42">
        <f t="shared" si="4"/>
        <v>1949</v>
      </c>
      <c r="Q12" s="42">
        <f>(C69*L69)-C12</f>
        <v>1383</v>
      </c>
      <c r="R12" s="42">
        <f t="shared" si="5"/>
        <v>3364</v>
      </c>
      <c r="S12" s="30">
        <f t="shared" si="6"/>
        <v>402321266944</v>
      </c>
      <c r="T12" s="30">
        <f t="shared" si="7"/>
        <v>292747174272</v>
      </c>
      <c r="U12" s="31">
        <f t="shared" si="8"/>
        <v>1.3742959874659337</v>
      </c>
    </row>
    <row r="13" spans="2:21" ht="18" customHeight="1">
      <c r="B13" s="32" t="str">
        <f>'Data Entry'!A13</f>
        <v>8. Cases Resulting in Probation Placement</v>
      </c>
      <c r="C13" s="33">
        <f>'Data Entry'!C13</f>
        <v>1947</v>
      </c>
      <c r="D13" s="34">
        <f>IF(((AND(C70&gt;0,C13&gt;0))),(C13/(C70)),0)</f>
        <v>99.897383273473579</v>
      </c>
      <c r="E13" s="33">
        <f>'Data Entry'!F13</f>
        <v>9</v>
      </c>
      <c r="F13" s="34">
        <f>IF(((AND($D$70&gt;0,$E$13&gt;0))),($E$13/($D$70)),0)</f>
        <v>40.909090909090907</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9</v>
      </c>
      <c r="O13" s="42">
        <f>(D70*L70)-E13</f>
        <v>13</v>
      </c>
      <c r="P13" s="42">
        <f t="shared" si="4"/>
        <v>1947</v>
      </c>
      <c r="Q13" s="42">
        <f>(C70*L70)-C13</f>
        <v>1.9999999999997726</v>
      </c>
      <c r="R13" s="42">
        <f t="shared" si="5"/>
        <v>1970.9999999999998</v>
      </c>
      <c r="S13" s="30">
        <f t="shared" si="6"/>
        <v>1260919358379.0002</v>
      </c>
      <c r="T13" s="30">
        <f t="shared" si="7"/>
        <v>1258040519.9999807</v>
      </c>
      <c r="U13" s="31">
        <f t="shared" si="8"/>
        <v>1002.2883510771335</v>
      </c>
    </row>
    <row r="14" spans="2:21" ht="30.75" customHeight="1">
      <c r="B14" s="32" t="str">
        <f>'Data Entry'!A14</f>
        <v xml:space="preserve">9. Cases Resulting in Confinement in Secure Juvenile Correctional Facilities </v>
      </c>
      <c r="C14" s="33">
        <f>'Data Entry'!C14</f>
        <v>522</v>
      </c>
      <c r="D14" s="34">
        <f>IF(((AND(C70&gt;0,C14&gt;0))), ((C14/(C70))),0)</f>
        <v>26.782965623396617</v>
      </c>
      <c r="E14" s="33">
        <f>'Data Entry'!F14</f>
        <v>1</v>
      </c>
      <c r="F14" s="34">
        <f>IF(((AND($D$70&gt;0,$E$14&gt;0))), (($E$14/($D$70))),0)</f>
        <v>4.5454545454545459</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v>
      </c>
      <c r="O14" s="42">
        <f>(D70*L70)-E14</f>
        <v>21</v>
      </c>
      <c r="P14" s="42">
        <f t="shared" si="4"/>
        <v>522</v>
      </c>
      <c r="Q14" s="42">
        <f>(C70*L70)-C14</f>
        <v>1426.9999999999998</v>
      </c>
      <c r="R14" s="42">
        <f t="shared" si="5"/>
        <v>1970.9999999999998</v>
      </c>
      <c r="S14" s="30">
        <f t="shared" si="6"/>
        <v>179195879474.99997</v>
      </c>
      <c r="T14" s="30">
        <f t="shared" si="7"/>
        <v>32471680911.999989</v>
      </c>
      <c r="U14" s="31">
        <f t="shared" si="8"/>
        <v>5.5185279739792499</v>
      </c>
    </row>
    <row r="15" spans="2:21" ht="15.75" customHeight="1">
      <c r="B15" s="32" t="str">
        <f>'Data Entry'!A15</f>
        <v xml:space="preserve">10. Cases Transferred to Adult Court </v>
      </c>
      <c r="C15" s="33">
        <f>'Data Entry'!C15</f>
        <v>14</v>
      </c>
      <c r="D15" s="34">
        <f>IF(((AND(C69&gt;0,C15&gt;0))),((C15/(C69))),0)</f>
        <v>0.42016806722689076</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32</v>
      </c>
      <c r="P15" s="42">
        <f t="shared" si="4"/>
        <v>14</v>
      </c>
      <c r="Q15" s="42">
        <f>(C69*L69)-C15</f>
        <v>3318</v>
      </c>
      <c r="R15" s="42">
        <f t="shared" si="5"/>
        <v>3364</v>
      </c>
      <c r="S15" s="30">
        <f t="shared" si="6"/>
        <v>675168256</v>
      </c>
      <c r="T15" s="30">
        <f t="shared" si="7"/>
        <v>5000665600</v>
      </c>
      <c r="U15" s="31">
        <f t="shared" si="8"/>
        <v>0.13501567791295624</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681.10799999999995</v>
      </c>
      <c r="D42" s="56">
        <f>E6/1000</f>
        <v>38.548999999999999</v>
      </c>
      <c r="E42" s="56">
        <f>MAX(C42:D42)</f>
        <v>681.10799999999995</v>
      </c>
      <c r="G42" s="1" t="str">
        <f>B42</f>
        <v>per 1000 youth</v>
      </c>
      <c r="L42" s="57">
        <v>1000</v>
      </c>
      <c r="M42" s="57"/>
      <c r="R42" s="49"/>
    </row>
    <row r="43" spans="2:18" ht="15" hidden="1" customHeight="1">
      <c r="B43" s="49" t="s">
        <v>88</v>
      </c>
      <c r="C43" s="56">
        <f>C7/100</f>
        <v>43.46</v>
      </c>
      <c r="D43" s="56">
        <f>E7/100</f>
        <v>0.28999999999999998</v>
      </c>
      <c r="E43" s="56">
        <f>MAX(C43:D43,0)</f>
        <v>43.46</v>
      </c>
      <c r="G43" s="1" t="str">
        <f>B43</f>
        <v>per 100 arrests</v>
      </c>
      <c r="L43" s="57">
        <v>100</v>
      </c>
      <c r="M43" s="57"/>
      <c r="R43" s="49"/>
    </row>
    <row r="44" spans="2:18" ht="15" hidden="1" customHeight="1">
      <c r="B44" s="49" t="s">
        <v>89</v>
      </c>
      <c r="C44" s="56">
        <f>C8/100</f>
        <v>62.9</v>
      </c>
      <c r="D44" s="56">
        <f>E8/100</f>
        <v>0.51</v>
      </c>
      <c r="E44" s="56">
        <f>MAX(C44:D44,0)</f>
        <v>62.9</v>
      </c>
      <c r="G44" s="1" t="str">
        <f>B44</f>
        <v>per 100 referrals</v>
      </c>
      <c r="L44" s="57">
        <v>100</v>
      </c>
      <c r="M44" s="57"/>
      <c r="R44" s="49"/>
    </row>
    <row r="45" spans="2:18" ht="15" hidden="1" customHeight="1">
      <c r="B45" s="49" t="s">
        <v>90</v>
      </c>
      <c r="C45" s="49">
        <f>C11/100</f>
        <v>33.32</v>
      </c>
      <c r="D45" s="49">
        <f>E11/100</f>
        <v>0.32</v>
      </c>
      <c r="E45" s="56">
        <f>MAX(C45:D45,0)</f>
        <v>33.32</v>
      </c>
      <c r="G45" s="1" t="str">
        <f>B45</f>
        <v>per 100 youth petitioned</v>
      </c>
      <c r="L45" s="57">
        <v>100</v>
      </c>
      <c r="M45" s="57"/>
      <c r="R45" s="49"/>
    </row>
    <row r="46" spans="2:18" ht="15" hidden="1" customHeight="1">
      <c r="B46" s="49" t="s">
        <v>91</v>
      </c>
      <c r="C46" s="49">
        <f>C12/100</f>
        <v>19.489999999999998</v>
      </c>
      <c r="D46" s="49">
        <f>E12/100</f>
        <v>0.22</v>
      </c>
      <c r="E46" s="56">
        <f>MAX(C46:D46)</f>
        <v>19.489999999999998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681.10799999999995</v>
      </c>
      <c r="D48" s="56">
        <f>D42</f>
        <v>38.548999999999999</v>
      </c>
      <c r="E48" s="56">
        <f>MAX(C48:D48)</f>
        <v>681.10799999999995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43.46</v>
      </c>
      <c r="D49" s="49">
        <f t="shared" si="9"/>
        <v>0.28999999999999998</v>
      </c>
      <c r="E49" s="49">
        <f>MAX(C49:D49)</f>
        <v>43.46</v>
      </c>
      <c r="G49" s="1" t="str">
        <f>G43</f>
        <v>per 100 arrests</v>
      </c>
      <c r="L49" s="58">
        <f>IF(($E43&gt;0),L43,L42)</f>
        <v>100</v>
      </c>
      <c r="M49" s="58"/>
      <c r="N49" s="21"/>
      <c r="O49" s="21"/>
      <c r="P49" s="21"/>
      <c r="Q49" s="21"/>
      <c r="R49" s="21"/>
    </row>
    <row r="50" spans="2:18" ht="15" hidden="1" customHeight="1">
      <c r="B50" s="49" t="str">
        <f t="shared" si="9"/>
        <v>per 100 referrals</v>
      </c>
      <c r="C50" s="49">
        <f t="shared" si="9"/>
        <v>62.9</v>
      </c>
      <c r="D50" s="49">
        <f t="shared" si="9"/>
        <v>0.51</v>
      </c>
      <c r="E50" s="49">
        <f>MAX(C50:D50)</f>
        <v>62.9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33.32</v>
      </c>
      <c r="D51" s="49">
        <f>IF(($E45&gt;0),D45,D44)</f>
        <v>0.32</v>
      </c>
      <c r="E51" s="49">
        <f>MAX(C51:D51)</f>
        <v>33.32</v>
      </c>
      <c r="G51" s="1" t="str">
        <f>G45</f>
        <v>per 100 youth petitioned</v>
      </c>
      <c r="L51" s="58">
        <f>IF(($E45&gt;0),L45,L44)</f>
        <v>100</v>
      </c>
      <c r="M51" s="58"/>
    </row>
    <row r="52" spans="2:18" ht="15" hidden="1" customHeight="1">
      <c r="B52" s="49" t="str">
        <f>IF(($E46&gt;0),B46,B45)</f>
        <v>per 100 youth found delinquent</v>
      </c>
      <c r="C52" s="49">
        <f>IF(($E46&gt;0),C46,C45)</f>
        <v>19.489999999999998</v>
      </c>
      <c r="D52" s="49">
        <f>IF(($E46&gt;0),D46,D45)</f>
        <v>0.22</v>
      </c>
      <c r="E52" s="56">
        <f>MAX(C52:D52)</f>
        <v>19.489999999999998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681.10799999999995</v>
      </c>
      <c r="D54" s="56">
        <f>D48</f>
        <v>38.548999999999999</v>
      </c>
      <c r="E54" s="56">
        <f>MAX(C54:D54)</f>
        <v>681.10799999999995</v>
      </c>
      <c r="G54" s="1" t="str">
        <f>G48</f>
        <v>per 1000 youth</v>
      </c>
      <c r="L54" s="58">
        <f>L48</f>
        <v>1000</v>
      </c>
      <c r="M54" s="58"/>
    </row>
    <row r="55" spans="2:18" ht="15" hidden="1" customHeight="1">
      <c r="B55" s="49" t="str">
        <f t="shared" ref="B55:D56" si="10">IF(($E49&gt;0),B49,B48)</f>
        <v>per 100 arrests</v>
      </c>
      <c r="C55" s="49">
        <f t="shared" si="10"/>
        <v>43.46</v>
      </c>
      <c r="D55" s="49">
        <f t="shared" si="10"/>
        <v>0.28999999999999998</v>
      </c>
      <c r="E55" s="49">
        <f>MAX(C55:D55)</f>
        <v>43.46</v>
      </c>
      <c r="G55" s="1" t="str">
        <f>G49</f>
        <v>per 100 arrests</v>
      </c>
      <c r="L55" s="58">
        <f>IF(($E49&gt;0),L49,L48)</f>
        <v>100</v>
      </c>
      <c r="M55" s="58"/>
    </row>
    <row r="56" spans="2:18" ht="15" hidden="1" customHeight="1">
      <c r="B56" s="49" t="str">
        <f t="shared" si="10"/>
        <v>per 100 referrals</v>
      </c>
      <c r="C56" s="49">
        <f t="shared" si="10"/>
        <v>62.9</v>
      </c>
      <c r="D56" s="49">
        <f t="shared" si="10"/>
        <v>0.51</v>
      </c>
      <c r="E56" s="49">
        <f>MAX(C56:D56)</f>
        <v>62.9</v>
      </c>
      <c r="G56" s="1" t="str">
        <f>G50</f>
        <v>per 100 referrals</v>
      </c>
      <c r="L56" s="58">
        <f>IF(($E50&gt;0),L50,L49)</f>
        <v>100</v>
      </c>
      <c r="M56" s="58"/>
    </row>
    <row r="57" spans="2:18" ht="15" hidden="1" customHeight="1">
      <c r="B57" s="49" t="str">
        <f>IF(($E51&gt;0),B51,B49)</f>
        <v>per 100 youth petitioned</v>
      </c>
      <c r="C57" s="49">
        <f>IF(($E51&gt;0),C51,C50)</f>
        <v>33.32</v>
      </c>
      <c r="D57" s="49">
        <f>IF(($E51&gt;0),D51,D50)</f>
        <v>0.32</v>
      </c>
      <c r="E57" s="49">
        <f>MAX(C57:D57)</f>
        <v>33.32</v>
      </c>
      <c r="G57" s="1" t="str">
        <f>G51</f>
        <v>per 100 youth petitioned</v>
      </c>
      <c r="L57" s="58">
        <f>IF(($E51&gt;0),L51,L50)</f>
        <v>100</v>
      </c>
      <c r="M57" s="58"/>
    </row>
    <row r="58" spans="2:18" ht="15" hidden="1" customHeight="1">
      <c r="B58" s="49" t="str">
        <f>IF(($E52&gt;0),B52,B51)</f>
        <v>per 100 youth found delinquent</v>
      </c>
      <c r="C58" s="49">
        <f>IF(($E52&gt;0),C52,C51)</f>
        <v>19.489999999999998</v>
      </c>
      <c r="D58" s="49">
        <f>IF(($E52&gt;0),D52,D51)</f>
        <v>0.22</v>
      </c>
      <c r="E58" s="56">
        <f>MAX(C58:D58)</f>
        <v>19.489999999999998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681.10799999999995</v>
      </c>
      <c r="D60" s="56">
        <f>D54</f>
        <v>38.548999999999999</v>
      </c>
      <c r="E60" s="56">
        <f>MAX(C60:D60)</f>
        <v>681.10799999999995</v>
      </c>
      <c r="G60" s="1" t="str">
        <f>G54</f>
        <v>per 1000 youth</v>
      </c>
      <c r="L60" s="58">
        <f>L54</f>
        <v>1000</v>
      </c>
      <c r="M60" s="58"/>
    </row>
    <row r="61" spans="2:18" ht="15" hidden="1" customHeight="1">
      <c r="B61" s="49" t="str">
        <f t="shared" ref="B61:D62" si="11">IF(($E55&gt;0),B55,B54)</f>
        <v>per 100 arrests</v>
      </c>
      <c r="C61" s="49">
        <f t="shared" si="11"/>
        <v>43.46</v>
      </c>
      <c r="D61" s="49">
        <f t="shared" si="11"/>
        <v>0.28999999999999998</v>
      </c>
      <c r="E61" s="49">
        <f>MAX(C61:D61)</f>
        <v>43.46</v>
      </c>
      <c r="G61" s="1" t="str">
        <f>G55</f>
        <v>per 100 arrests</v>
      </c>
      <c r="L61" s="58">
        <f>IF(($E55&gt;0),L55,L54)</f>
        <v>100</v>
      </c>
      <c r="M61" s="58"/>
    </row>
    <row r="62" spans="2:18" ht="15" hidden="1" customHeight="1">
      <c r="B62" s="49" t="str">
        <f t="shared" si="11"/>
        <v>per 100 referrals</v>
      </c>
      <c r="C62" s="49">
        <f t="shared" si="11"/>
        <v>62.9</v>
      </c>
      <c r="D62" s="49">
        <f t="shared" si="11"/>
        <v>0.51</v>
      </c>
      <c r="E62" s="49">
        <f>MAX(C62:D62)</f>
        <v>62.9</v>
      </c>
      <c r="G62" s="1" t="str">
        <f>G56</f>
        <v>per 100 referrals</v>
      </c>
      <c r="L62" s="58">
        <f>IF(($E56&gt;0),L56,L55)</f>
        <v>100</v>
      </c>
      <c r="M62" s="58"/>
    </row>
    <row r="63" spans="2:18" ht="15" hidden="1" customHeight="1">
      <c r="B63" s="49" t="str">
        <f>IF(($E57&gt;0),B57,B55)</f>
        <v>per 100 youth petitioned</v>
      </c>
      <c r="C63" s="49">
        <f>IF(($E57&gt;0),C57,C56)</f>
        <v>33.32</v>
      </c>
      <c r="D63" s="49">
        <f>IF(($E57&gt;0),D57,D56)</f>
        <v>0.32</v>
      </c>
      <c r="E63" s="49">
        <f>MAX(C63:D63)</f>
        <v>33.32</v>
      </c>
      <c r="G63" s="1" t="str">
        <f>G57</f>
        <v>per 100 youth petitioned</v>
      </c>
      <c r="L63" s="58">
        <f>IF(($E57&gt;0),L57,L56)</f>
        <v>100</v>
      </c>
      <c r="M63" s="58"/>
    </row>
    <row r="64" spans="2:18" ht="15" hidden="1" customHeight="1">
      <c r="B64" s="49" t="str">
        <f>IF(($E58&gt;0),B58,B57)</f>
        <v>per 100 youth found delinquent</v>
      </c>
      <c r="C64" s="49">
        <f>IF(($E58&gt;0),C58,C57)</f>
        <v>19.489999999999998</v>
      </c>
      <c r="D64" s="49">
        <f>IF(($E58&gt;0),D58,D57)</f>
        <v>0.22</v>
      </c>
      <c r="E64" s="56">
        <f>MAX(C64:D64)</f>
        <v>19.489999999999998</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681.10799999999995</v>
      </c>
      <c r="D66" s="56">
        <f>D60</f>
        <v>38.548999999999999</v>
      </c>
      <c r="E66" s="56">
        <f>MAX(C66:D66)</f>
        <v>681.10799999999995</v>
      </c>
      <c r="G66" s="1" t="str">
        <f>G60</f>
        <v>per 1000 youth</v>
      </c>
      <c r="L66" s="58">
        <f>L60</f>
        <v>1000</v>
      </c>
      <c r="M66" s="58">
        <f>IF((B66=G66),1,2)</f>
        <v>1</v>
      </c>
    </row>
    <row r="67" spans="2:13" ht="15" hidden="1" customHeight="1">
      <c r="B67" s="49" t="str">
        <f t="shared" ref="B67:D68" si="12">IF(($E61&gt;0),B61,B60)</f>
        <v>per 100 arrests</v>
      </c>
      <c r="C67" s="49">
        <f t="shared" si="12"/>
        <v>43.46</v>
      </c>
      <c r="D67" s="49">
        <f t="shared" si="12"/>
        <v>0.28999999999999998</v>
      </c>
      <c r="E67" s="49">
        <f>MAX(C67:D67)</f>
        <v>43.46</v>
      </c>
      <c r="G67" s="1" t="str">
        <f>G61</f>
        <v>per 100 arrests</v>
      </c>
      <c r="L67" s="58">
        <f>IF(($E61&gt;0),L61,L60)</f>
        <v>100</v>
      </c>
      <c r="M67" s="58">
        <f>IF((B67=G67),1,2)</f>
        <v>1</v>
      </c>
    </row>
    <row r="68" spans="2:13" ht="15" hidden="1" customHeight="1">
      <c r="B68" s="49" t="str">
        <f t="shared" si="12"/>
        <v>per 100 referrals</v>
      </c>
      <c r="C68" s="49">
        <f t="shared" si="12"/>
        <v>62.9</v>
      </c>
      <c r="D68" s="49">
        <f t="shared" si="12"/>
        <v>0.51</v>
      </c>
      <c r="E68" s="49">
        <f>MAX(C68:D68)</f>
        <v>62.9</v>
      </c>
      <c r="G68" s="1" t="str">
        <f>G62</f>
        <v>per 100 referrals</v>
      </c>
      <c r="L68" s="58">
        <f>IF(($E62&gt;0),L62,L61)</f>
        <v>100</v>
      </c>
      <c r="M68" s="58">
        <f>IF((B68=G68),1,2)</f>
        <v>1</v>
      </c>
    </row>
    <row r="69" spans="2:13" ht="15" hidden="1" customHeight="1">
      <c r="B69" s="49" t="str">
        <f>IF(($E63&gt;0),B63,B61)</f>
        <v>per 100 youth petitioned</v>
      </c>
      <c r="C69" s="49">
        <f>IF(($E63&gt;0),C63,C62)</f>
        <v>33.32</v>
      </c>
      <c r="D69" s="49">
        <f>IF(($E63&gt;0),D63,D62)</f>
        <v>0.32</v>
      </c>
      <c r="E69" s="49">
        <f>MAX(C69:D69)</f>
        <v>33.32</v>
      </c>
      <c r="G69" s="1" t="str">
        <f>G63</f>
        <v>per 100 youth petitioned</v>
      </c>
      <c r="L69" s="58">
        <f>IF(($E63&gt;0),L63,L62)</f>
        <v>100</v>
      </c>
      <c r="M69" s="58">
        <f>IF((B69=G69),1,2)</f>
        <v>1</v>
      </c>
    </row>
    <row r="70" spans="2:13" ht="15" hidden="1" customHeight="1">
      <c r="B70" s="49" t="str">
        <f>IF(($E64&gt;0),B64,B63)</f>
        <v>per 100 youth found delinquent</v>
      </c>
      <c r="C70" s="49">
        <f>IF(($E64&gt;0),C64,C63)</f>
        <v>19.489999999999998</v>
      </c>
      <c r="D70" s="49">
        <f>IF(($E64&gt;0),D64,D63)</f>
        <v>0.22</v>
      </c>
      <c r="E70" s="56">
        <f>MAX(C70:D70)</f>
        <v>19.489999999999998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4" t="str">
        <f>'Data Entry'!E5</f>
        <v>Hispanic or Latino</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24.7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681108</v>
      </c>
      <c r="D6" s="34"/>
      <c r="E6" s="33">
        <f>'Data Entry'!E6</f>
        <v>86150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2. Juvenile Arrests</v>
      </c>
      <c r="C7" s="33">
        <f>'Data Entry'!C7</f>
        <v>4346</v>
      </c>
      <c r="D7" s="34">
        <f>IF((AND(C66&gt;0,C7&gt;0)),(C7/C66),0)</f>
        <v>6.3807795533160681</v>
      </c>
      <c r="E7" s="33">
        <f>'Data Entry'!E7</f>
        <v>189</v>
      </c>
      <c r="F7" s="34">
        <f>IF((AND($E$7&gt;0,$D$66&gt;0)),($E$7/$D$66),0)</f>
        <v>2.1938479396401624</v>
      </c>
      <c r="G7" s="39">
        <f t="shared" ref="G7:G15" si="0">IF(L$6=100,"*",IF(M7=FALSE,"--",IF(K7=20,"**",($F7/$D7))))</f>
        <v>0.34382130291588392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189</v>
      </c>
      <c r="O7" s="42">
        <f>E6-E7</f>
        <v>85961</v>
      </c>
      <c r="P7" s="42">
        <f t="shared" ref="P7:P15" si="4">C7</f>
        <v>4346</v>
      </c>
      <c r="Q7" s="42">
        <f>C6-C7</f>
        <v>676762</v>
      </c>
      <c r="R7" s="42">
        <f t="shared" ref="R7:R15" si="5">SUM(N7:Q7)</f>
        <v>767258</v>
      </c>
      <c r="S7" s="30">
        <f t="shared" ref="S7:S15" si="6">R7*((((N7*Q7)-(O7*P7))^2))</f>
        <v>4.6310096573618253E+22</v>
      </c>
      <c r="T7" s="30">
        <f t="shared" ref="T7:T15" si="7">(N7+O7)*(P7+Q7)*(N7+P7)*(O7+Q7)</f>
        <v>2.0296231008553222E+20</v>
      </c>
      <c r="U7" s="31">
        <f t="shared" ref="U7:U15" si="8">IF((S7&gt;0),S7/T7,"- -")</f>
        <v>228.17091781278154</v>
      </c>
    </row>
    <row r="8" spans="2:21" ht="18" customHeight="1">
      <c r="B8" s="32" t="str">
        <f>'Data Entry'!A8</f>
        <v>3. Refer to Juvenile Court</v>
      </c>
      <c r="C8" s="33">
        <f>'Data Entry'!C8</f>
        <v>6290</v>
      </c>
      <c r="D8" s="34">
        <f>IF((AND(C67&gt;0,C8&gt;0)),(C8/C67),0)</f>
        <v>144.73078693051082</v>
      </c>
      <c r="E8" s="33">
        <f>'Data Entry'!E8</f>
        <v>324</v>
      </c>
      <c r="F8" s="34">
        <f>IF((AND($E$8&gt;0,$D$67&gt;0)),($E8/$D67),0)</f>
        <v>171.42857142857144</v>
      </c>
      <c r="G8" s="39">
        <f t="shared" si="0"/>
        <v>1.184465137406314</v>
      </c>
      <c r="H8" s="40"/>
      <c r="I8" s="41"/>
      <c r="J8" s="40">
        <f>IF((ABS($U8)&gt;Defaults!D$7),1,2)</f>
        <v>1</v>
      </c>
      <c r="K8" s="39">
        <f>IF((AND(N8&gt;Defaults!B$12,(N8+O8)&gt;Defaults!B$13, P8 &gt; Defaults!B$12, (P8+Q8) &gt; Defaults!B$13)),1,20)</f>
        <v>1</v>
      </c>
      <c r="L8" s="1">
        <f t="shared" si="1"/>
        <v>1</v>
      </c>
      <c r="M8" s="1" t="b">
        <f t="shared" si="2"/>
        <v>1</v>
      </c>
      <c r="N8" s="42">
        <f t="shared" si="3"/>
        <v>324</v>
      </c>
      <c r="O8" s="42">
        <f>((D67*L67)-E8)+0.05</f>
        <v>-134.94999999999999</v>
      </c>
      <c r="P8" s="42">
        <f t="shared" si="4"/>
        <v>6290</v>
      </c>
      <c r="Q8" s="42">
        <f>(C$67*L67)-C8</f>
        <v>-1944</v>
      </c>
      <c r="R8" s="42">
        <f t="shared" si="5"/>
        <v>4535.05</v>
      </c>
      <c r="S8" s="30">
        <f t="shared" si="6"/>
        <v>217464814741904.53</v>
      </c>
      <c r="T8" s="30">
        <f t="shared" si="7"/>
        <v>-11297299403460.891</v>
      </c>
      <c r="U8" s="31">
        <f t="shared" si="8"/>
        <v>-19.249274271272736</v>
      </c>
    </row>
    <row r="9" spans="2:21" ht="18" customHeight="1">
      <c r="B9" s="32" t="str">
        <f>'Data Entry'!A9</f>
        <v xml:space="preserve">4. Cases Diverted </v>
      </c>
      <c r="C9" s="33">
        <f>'Data Entry'!C9</f>
        <v>1473</v>
      </c>
      <c r="D9" s="34">
        <f>IF((AND(C68&gt;0,C9&gt;0)),((C9/C68)),0)</f>
        <v>23.418124006359299</v>
      </c>
      <c r="E9" s="33">
        <f>'Data Entry'!E9</f>
        <v>58</v>
      </c>
      <c r="F9" s="34">
        <f>IF((AND($E$9&gt;0,$D$68&gt;0)),(($E$9/$D$68)),0)</f>
        <v>17.901234567901234</v>
      </c>
      <c r="G9" s="39">
        <f t="shared" si="0"/>
        <v>0.76441795948471669</v>
      </c>
      <c r="H9" s="40"/>
      <c r="I9" s="41"/>
      <c r="J9" s="40">
        <f>IF((ABS($U9)&gt;Defaults!D$7),1,2)</f>
        <v>1</v>
      </c>
      <c r="K9" s="39">
        <f>IF((AND(N9&gt;Defaults!B$12,(N9+O9)&gt;Defaults!B$13, P9 &gt; Defaults!B$12, (P9+Q9) &gt; Defaults!B$13)),1,20)</f>
        <v>1</v>
      </c>
      <c r="L9" s="1">
        <f t="shared" si="1"/>
        <v>1</v>
      </c>
      <c r="M9" s="1" t="b">
        <f t="shared" si="2"/>
        <v>1</v>
      </c>
      <c r="N9" s="42">
        <f t="shared" si="3"/>
        <v>58</v>
      </c>
      <c r="O9" s="42">
        <f>(D$68*L68)-E9</f>
        <v>266</v>
      </c>
      <c r="P9" s="42">
        <f t="shared" si="4"/>
        <v>1473</v>
      </c>
      <c r="Q9" s="42">
        <f>(C$68*L68)-C9</f>
        <v>4817</v>
      </c>
      <c r="R9" s="42">
        <f t="shared" si="5"/>
        <v>6614</v>
      </c>
      <c r="S9" s="30">
        <f t="shared" si="6"/>
        <v>83607273883136</v>
      </c>
      <c r="T9" s="30">
        <f t="shared" si="7"/>
        <v>15859553491080</v>
      </c>
      <c r="U9" s="31">
        <f t="shared" si="8"/>
        <v>5.2717293667920613</v>
      </c>
    </row>
    <row r="10" spans="2:21" ht="18" customHeight="1">
      <c r="B10" s="32" t="str">
        <f>'Data Entry'!A10</f>
        <v>5. Cases Involving Secure Detention</v>
      </c>
      <c r="C10" s="33">
        <f>'Data Entry'!C10</f>
        <v>739</v>
      </c>
      <c r="D10" s="34">
        <f>IF(((AND(C68&gt;0,C10&gt;0))),(C10/(C68)),0)</f>
        <v>11.748807631160572</v>
      </c>
      <c r="E10" s="33">
        <f>'Data Entry'!E10</f>
        <v>113</v>
      </c>
      <c r="F10" s="34">
        <f>IF(((AND($E$10&gt;0,$D$68&gt;0))),($E$10/($D$68)),0)</f>
        <v>34.876543209876544</v>
      </c>
      <c r="G10" s="39">
        <f t="shared" si="0"/>
        <v>2.9685176832222391</v>
      </c>
      <c r="H10" s="40"/>
      <c r="I10" s="41"/>
      <c r="J10" s="40">
        <f>IF((ABS($U10)&gt;Defaults!D$7),1,2)</f>
        <v>1</v>
      </c>
      <c r="K10" s="39">
        <f>IF((AND(N10&gt;Defaults!B$12,(N10+O10)&gt;Defaults!B$13, P10 &gt; Defaults!B$12, (P10+Q10) &gt; Defaults!B$13)),1,20)</f>
        <v>1</v>
      </c>
      <c r="L10" s="1">
        <f t="shared" si="1"/>
        <v>1</v>
      </c>
      <c r="M10" s="1" t="b">
        <f t="shared" si="2"/>
        <v>1</v>
      </c>
      <c r="N10" s="42">
        <f t="shared" si="3"/>
        <v>113</v>
      </c>
      <c r="O10" s="42">
        <f>(D$68*L68)-E10</f>
        <v>211</v>
      </c>
      <c r="P10" s="42">
        <f t="shared" si="4"/>
        <v>739</v>
      </c>
      <c r="Q10" s="42">
        <f>(C$68*L68)-C10</f>
        <v>5551</v>
      </c>
      <c r="R10" s="42">
        <f t="shared" si="5"/>
        <v>6614</v>
      </c>
      <c r="S10" s="30">
        <f t="shared" si="6"/>
        <v>1469338061423384</v>
      </c>
      <c r="T10" s="30">
        <f t="shared" si="7"/>
        <v>10004802143040</v>
      </c>
      <c r="U10" s="31">
        <f t="shared" si="8"/>
        <v>146.86328029440867</v>
      </c>
    </row>
    <row r="11" spans="2:21" ht="18" customHeight="1">
      <c r="B11" s="32" t="str">
        <f>'Data Entry'!A11</f>
        <v>6. Cases Petitioned (Charge Filed)</v>
      </c>
      <c r="C11" s="33">
        <f>'Data Entry'!C11</f>
        <v>3332</v>
      </c>
      <c r="D11" s="34">
        <f>IF(((AND(C68&gt;0,C11&gt;0))),(C11/(C68)),0)</f>
        <v>52.972972972972975</v>
      </c>
      <c r="E11" s="33">
        <f>'Data Entry'!E11</f>
        <v>183</v>
      </c>
      <c r="F11" s="34">
        <f>IF(((AND($E$11&gt;0,$D$68&gt;0))),($E$11/($D$68)),0)</f>
        <v>56.481481481481481</v>
      </c>
      <c r="G11" s="39">
        <f t="shared" si="0"/>
        <v>1.0662320483749055</v>
      </c>
      <c r="H11" s="40"/>
      <c r="I11" s="41"/>
      <c r="J11" s="40">
        <f>IF((ABS($U11)&gt;Defaults!D$7),1,2)</f>
        <v>2</v>
      </c>
      <c r="K11" s="39">
        <f>IF((AND(N11&gt;Defaults!B$12,(N11+O11)&gt;Defaults!B$13, P11 &gt; Defaults!B$12, (P11+Q11) &gt; Defaults!B$13)),1,20)</f>
        <v>1</v>
      </c>
      <c r="L11" s="1">
        <f t="shared" si="1"/>
        <v>2</v>
      </c>
      <c r="M11" s="1" t="b">
        <f t="shared" si="2"/>
        <v>1</v>
      </c>
      <c r="N11" s="42">
        <f t="shared" si="3"/>
        <v>183</v>
      </c>
      <c r="O11" s="42">
        <f>(D$68*L68)-E11</f>
        <v>141</v>
      </c>
      <c r="P11" s="42">
        <f t="shared" si="4"/>
        <v>3332</v>
      </c>
      <c r="Q11" s="42">
        <f>(C$68*L68)-C11</f>
        <v>2958</v>
      </c>
      <c r="R11" s="42">
        <f t="shared" si="5"/>
        <v>6614</v>
      </c>
      <c r="S11" s="30">
        <f t="shared" si="6"/>
        <v>33814313130456</v>
      </c>
      <c r="T11" s="30">
        <f t="shared" si="7"/>
        <v>22199467710600</v>
      </c>
      <c r="U11" s="31">
        <f t="shared" si="8"/>
        <v>1.5232037799856815</v>
      </c>
    </row>
    <row r="12" spans="2:21" ht="18" customHeight="1">
      <c r="B12" s="32" t="str">
        <f>'Data Entry'!A12</f>
        <v>7. Cases Resulting in Delinquent Findings</v>
      </c>
      <c r="C12" s="33">
        <f>'Data Entry'!C12</f>
        <v>1949</v>
      </c>
      <c r="D12" s="34">
        <f>IF(((AND(C69&gt;0,C12&gt;0))),(C12/(C69)),0)</f>
        <v>58.493397358943575</v>
      </c>
      <c r="E12" s="33">
        <f>'Data Entry'!E12</f>
        <v>133</v>
      </c>
      <c r="F12" s="34">
        <f>IF(((AND($D$69&gt;0,$E$12&gt;0))),(E12/(D69)),0)</f>
        <v>72.677595628415304</v>
      </c>
      <c r="G12" s="39">
        <f t="shared" si="0"/>
        <v>1.2424922967361713</v>
      </c>
      <c r="H12" s="40"/>
      <c r="I12" s="41"/>
      <c r="J12" s="40">
        <f>IF((ABS($U12)&gt;Defaults!D$7),1,2)</f>
        <v>1</v>
      </c>
      <c r="K12" s="39">
        <f>IF((AND(N12&gt;Defaults!B$12,(N12+O12)&gt;Defaults!B$13, P12 &gt; Defaults!B$12, (P12+Q12) &gt; Defaults!B$13)),1,20)</f>
        <v>1</v>
      </c>
      <c r="L12" s="1">
        <f t="shared" si="1"/>
        <v>1</v>
      </c>
      <c r="M12" s="1" t="b">
        <f t="shared" si="2"/>
        <v>1</v>
      </c>
      <c r="N12" s="42">
        <f t="shared" si="3"/>
        <v>133</v>
      </c>
      <c r="O12" s="42">
        <f>(D69*L69)-E12</f>
        <v>50</v>
      </c>
      <c r="P12" s="42">
        <f t="shared" si="4"/>
        <v>1949</v>
      </c>
      <c r="Q12" s="42">
        <f>(C69*L69)-C12</f>
        <v>1383</v>
      </c>
      <c r="R12" s="42">
        <f t="shared" si="5"/>
        <v>3515</v>
      </c>
      <c r="S12" s="30">
        <f t="shared" si="6"/>
        <v>26293420130315</v>
      </c>
      <c r="T12" s="30">
        <f t="shared" si="7"/>
        <v>1819210684536</v>
      </c>
      <c r="U12" s="31">
        <f t="shared" si="8"/>
        <v>14.453202344192084</v>
      </c>
    </row>
    <row r="13" spans="2:21" ht="18" customHeight="1">
      <c r="B13" s="32" t="str">
        <f>'Data Entry'!A13</f>
        <v>8. Cases Resulting in Probation Placement</v>
      </c>
      <c r="C13" s="33">
        <f>'Data Entry'!C13</f>
        <v>1947</v>
      </c>
      <c r="D13" s="34">
        <f>IF(((AND(C70&gt;0,C13&gt;0))),(C13/(C70)),0)</f>
        <v>99.897383273473579</v>
      </c>
      <c r="E13" s="33">
        <f>'Data Entry'!E13</f>
        <v>122</v>
      </c>
      <c r="F13" s="34">
        <f>IF(((AND($D$70&gt;0,$E$13&gt;0))),($E$13/($D$70)),0)</f>
        <v>91.729323308270665</v>
      </c>
      <c r="G13" s="39">
        <f t="shared" si="0"/>
        <v>0.91823549629080392</v>
      </c>
      <c r="H13" s="40"/>
      <c r="I13" s="41"/>
      <c r="J13" s="40">
        <f>IF((ABS($U13)&gt;Defaults!D$7),1,2)</f>
        <v>1</v>
      </c>
      <c r="K13" s="39">
        <f>IF((AND(N13&gt;Defaults!B$12,(N13+O13)&gt;Defaults!B$13, P13 &gt; Defaults!B$12, (P13+Q13) &gt; Defaults!B$13)),1,20)</f>
        <v>1</v>
      </c>
      <c r="L13" s="1">
        <f t="shared" si="1"/>
        <v>1</v>
      </c>
      <c r="M13" s="1" t="b">
        <f t="shared" si="2"/>
        <v>1</v>
      </c>
      <c r="N13" s="42">
        <f t="shared" si="3"/>
        <v>122</v>
      </c>
      <c r="O13" s="42">
        <f>(D70*L70)-E13</f>
        <v>11</v>
      </c>
      <c r="P13" s="42">
        <f t="shared" si="4"/>
        <v>1947</v>
      </c>
      <c r="Q13" s="42">
        <f>(C70*L70)-C13</f>
        <v>1.9999999999997726</v>
      </c>
      <c r="R13" s="42">
        <f t="shared" si="5"/>
        <v>2082</v>
      </c>
      <c r="S13" s="30">
        <f t="shared" si="6"/>
        <v>933352124178.00256</v>
      </c>
      <c r="T13" s="30">
        <f t="shared" si="7"/>
        <v>6972159648.999877</v>
      </c>
      <c r="U13" s="31">
        <f t="shared" si="8"/>
        <v>133.86843835566609</v>
      </c>
    </row>
    <row r="14" spans="2:21" ht="30.75" customHeight="1">
      <c r="B14" s="32" t="str">
        <f>'Data Entry'!A14</f>
        <v xml:space="preserve">9. Cases Resulting in Confinement in Secure Juvenile Correctional Facilities </v>
      </c>
      <c r="C14" s="33">
        <f>'Data Entry'!C14</f>
        <v>522</v>
      </c>
      <c r="D14" s="34">
        <f>IF(((AND(C70&gt;0,C14&gt;0))), ((C14/(C70))),0)</f>
        <v>26.782965623396617</v>
      </c>
      <c r="E14" s="33">
        <f>'Data Entry'!E14</f>
        <v>12</v>
      </c>
      <c r="F14" s="34">
        <f>IF(((AND($D$70&gt;0,$E$14&gt;0))), (($E$14/($D$70))),0)</f>
        <v>9.022556390977444</v>
      </c>
      <c r="G14" s="39">
        <f t="shared" si="0"/>
        <v>0.33687667444473252</v>
      </c>
      <c r="H14" s="40"/>
      <c r="I14" s="41"/>
      <c r="J14" s="40">
        <f>IF((ABS($U14)&gt;Defaults!D$7),1,2)</f>
        <v>1</v>
      </c>
      <c r="K14" s="39">
        <f>IF((AND(N14&gt;Defaults!B$12,(N14+O14)&gt;Defaults!B$13, P14 &gt; Defaults!B$12, (P14+Q14) &gt; Defaults!B$13)),1,20)</f>
        <v>1</v>
      </c>
      <c r="L14" s="1">
        <f t="shared" si="1"/>
        <v>1</v>
      </c>
      <c r="M14" s="1" t="b">
        <f t="shared" si="2"/>
        <v>1</v>
      </c>
      <c r="N14" s="42">
        <f t="shared" si="3"/>
        <v>12</v>
      </c>
      <c r="O14" s="42">
        <f>(D70*L70)-E14</f>
        <v>121</v>
      </c>
      <c r="P14" s="42">
        <f t="shared" si="4"/>
        <v>522</v>
      </c>
      <c r="Q14" s="42">
        <f>(C70*L70)-C14</f>
        <v>1426.9999999999998</v>
      </c>
      <c r="R14" s="42">
        <f t="shared" si="5"/>
        <v>2082</v>
      </c>
      <c r="S14" s="30">
        <f t="shared" si="6"/>
        <v>4412793678408</v>
      </c>
      <c r="T14" s="30">
        <f t="shared" si="7"/>
        <v>214277067143.99991</v>
      </c>
      <c r="U14" s="31">
        <f t="shared" si="8"/>
        <v>20.593868197022154</v>
      </c>
    </row>
    <row r="15" spans="2:21" ht="15.75" customHeight="1">
      <c r="B15" s="32" t="str">
        <f>'Data Entry'!A15</f>
        <v xml:space="preserve">10. Cases Transferred to Adult Court </v>
      </c>
      <c r="C15" s="33">
        <f>'Data Entry'!C15</f>
        <v>14</v>
      </c>
      <c r="D15" s="34">
        <f>IF(((AND(C69&gt;0,C15&gt;0))),((C15/(C69))),0)</f>
        <v>0.42016806722689076</v>
      </c>
      <c r="E15" s="33">
        <f>'Data Entry'!E15</f>
        <v>1</v>
      </c>
      <c r="F15" s="34">
        <f>IF(((AND($D$69&gt;0,$E$15&gt;0))),(($E$15/($D$69))),0)</f>
        <v>0.54644808743169393</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1</v>
      </c>
      <c r="O15" s="42">
        <f>(D69*L69)-E15</f>
        <v>182</v>
      </c>
      <c r="P15" s="42">
        <f t="shared" si="4"/>
        <v>14</v>
      </c>
      <c r="Q15" s="42">
        <f>(C69*L69)-C15</f>
        <v>3318</v>
      </c>
      <c r="R15" s="42">
        <f t="shared" si="5"/>
        <v>3515</v>
      </c>
      <c r="S15" s="30">
        <f t="shared" si="6"/>
        <v>2084043500</v>
      </c>
      <c r="T15" s="30">
        <f t="shared" si="7"/>
        <v>32012190000</v>
      </c>
      <c r="U15" s="31">
        <f t="shared" si="8"/>
        <v>6.5101559749582899E-2</v>
      </c>
    </row>
    <row r="16" spans="2:21" ht="12" customHeight="1">
      <c r="B16" s="43" t="s">
        <v>93</v>
      </c>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11.25" customHeight="1">
      <c r="B24" s="62"/>
      <c r="C24" s="62"/>
      <c r="D24" s="62"/>
      <c r="E24" s="62"/>
      <c r="F24" s="62"/>
      <c r="G24" s="62"/>
      <c r="H24" s="62"/>
      <c r="I24" s="62"/>
      <c r="K24" s="1" t="s">
        <v>94</v>
      </c>
      <c r="L24" s="1" t="s">
        <v>95</v>
      </c>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681.10799999999995</v>
      </c>
      <c r="D42" s="56">
        <f>E6/1000</f>
        <v>86.15</v>
      </c>
      <c r="E42" s="56">
        <f>MAX(C42:D42)</f>
        <v>681.10799999999995</v>
      </c>
      <c r="G42" s="1" t="str">
        <f>B42</f>
        <v>per 1000 youth</v>
      </c>
      <c r="L42" s="57">
        <v>1000</v>
      </c>
      <c r="M42" s="57"/>
      <c r="R42" s="49"/>
    </row>
    <row r="43" spans="2:18" ht="15" hidden="1" customHeight="1">
      <c r="B43" s="49" t="s">
        <v>88</v>
      </c>
      <c r="C43" s="56">
        <f>C7/100</f>
        <v>43.46</v>
      </c>
      <c r="D43" s="56">
        <f>E7/100</f>
        <v>1.89</v>
      </c>
      <c r="E43" s="56">
        <f>MAX(C43:D43,0)</f>
        <v>43.46</v>
      </c>
      <c r="G43" s="1" t="str">
        <f>B43</f>
        <v>per 100 arrests</v>
      </c>
      <c r="L43" s="57">
        <v>100</v>
      </c>
      <c r="M43" s="57"/>
      <c r="R43" s="49"/>
    </row>
    <row r="44" spans="2:18" ht="15" hidden="1" customHeight="1">
      <c r="B44" s="49" t="s">
        <v>89</v>
      </c>
      <c r="C44" s="56">
        <f>C8/100</f>
        <v>62.9</v>
      </c>
      <c r="D44" s="56">
        <f>E8/100</f>
        <v>3.24</v>
      </c>
      <c r="E44" s="56">
        <f>MAX(C44:D44,0)</f>
        <v>62.9</v>
      </c>
      <c r="G44" s="1" t="str">
        <f>B44</f>
        <v>per 100 referrals</v>
      </c>
      <c r="L44" s="57">
        <v>100</v>
      </c>
      <c r="M44" s="57"/>
      <c r="R44" s="49"/>
    </row>
    <row r="45" spans="2:18" ht="15" hidden="1" customHeight="1">
      <c r="B45" s="49" t="s">
        <v>90</v>
      </c>
      <c r="C45" s="49">
        <f>C11/100</f>
        <v>33.32</v>
      </c>
      <c r="D45" s="49">
        <f>E11/100</f>
        <v>1.83</v>
      </c>
      <c r="E45" s="56">
        <f>MAX(C45:D45,0)</f>
        <v>33.32</v>
      </c>
      <c r="G45" s="1" t="str">
        <f>B45</f>
        <v>per 100 youth petitioned</v>
      </c>
      <c r="L45" s="57">
        <v>100</v>
      </c>
      <c r="M45" s="57"/>
      <c r="R45" s="49"/>
    </row>
    <row r="46" spans="2:18" ht="15" hidden="1" customHeight="1">
      <c r="B46" s="49" t="s">
        <v>91</v>
      </c>
      <c r="C46" s="49">
        <f>C12/100</f>
        <v>19.489999999999998</v>
      </c>
      <c r="D46" s="49">
        <f>E12/100</f>
        <v>1.33</v>
      </c>
      <c r="E46" s="56">
        <f>MAX(C46:D46)</f>
        <v>19.489999999999998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681.10799999999995</v>
      </c>
      <c r="D48" s="56">
        <f>D42</f>
        <v>86.15</v>
      </c>
      <c r="E48" s="56">
        <f>MAX(C48:D48)</f>
        <v>681.10799999999995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43.46</v>
      </c>
      <c r="D49" s="49">
        <f t="shared" si="9"/>
        <v>1.89</v>
      </c>
      <c r="E49" s="49">
        <f>MAX(C49:D49)</f>
        <v>43.46</v>
      </c>
      <c r="G49" s="1" t="str">
        <f>G43</f>
        <v>per 100 arrests</v>
      </c>
      <c r="L49" s="58">
        <f>IF(($E43&gt;0),L43,L42)</f>
        <v>100</v>
      </c>
      <c r="M49" s="58"/>
      <c r="N49" s="21"/>
      <c r="O49" s="21"/>
      <c r="P49" s="21"/>
      <c r="Q49" s="21"/>
      <c r="R49" s="21"/>
    </row>
    <row r="50" spans="2:18" ht="15" hidden="1" customHeight="1">
      <c r="B50" s="49" t="str">
        <f t="shared" si="9"/>
        <v>per 100 referrals</v>
      </c>
      <c r="C50" s="49">
        <f t="shared" si="9"/>
        <v>62.9</v>
      </c>
      <c r="D50" s="49">
        <f t="shared" si="9"/>
        <v>3.24</v>
      </c>
      <c r="E50" s="49">
        <f>MAX(C50:D50)</f>
        <v>62.9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33.32</v>
      </c>
      <c r="D51" s="49">
        <f>IF(($E45&gt;0),D45,D44)</f>
        <v>1.83</v>
      </c>
      <c r="E51" s="49">
        <f>MAX(C51:D51)</f>
        <v>33.32</v>
      </c>
      <c r="G51" s="1" t="str">
        <f>G45</f>
        <v>per 100 youth petitioned</v>
      </c>
      <c r="L51" s="58">
        <f>IF(($E45&gt;0),L45,L44)</f>
        <v>100</v>
      </c>
      <c r="M51" s="58"/>
    </row>
    <row r="52" spans="2:18" ht="15" hidden="1" customHeight="1">
      <c r="B52" s="49" t="str">
        <f>IF(($E46&gt;0),B46,B45)</f>
        <v>per 100 youth found delinquent</v>
      </c>
      <c r="C52" s="49">
        <f>IF(($E46&gt;0),C46,C45)</f>
        <v>19.489999999999998</v>
      </c>
      <c r="D52" s="49">
        <f>IF(($E46&gt;0),D46,D45)</f>
        <v>1.33</v>
      </c>
      <c r="E52" s="56">
        <f>MAX(C52:D52)</f>
        <v>19.489999999999998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681.10799999999995</v>
      </c>
      <c r="D54" s="56">
        <f>D48</f>
        <v>86.15</v>
      </c>
      <c r="E54" s="56">
        <f>MAX(C54:D54)</f>
        <v>681.10799999999995</v>
      </c>
      <c r="G54" s="1" t="str">
        <f>G48</f>
        <v>per 1000 youth</v>
      </c>
      <c r="L54" s="58">
        <f>L48</f>
        <v>1000</v>
      </c>
      <c r="M54" s="58"/>
    </row>
    <row r="55" spans="2:18" ht="15" hidden="1" customHeight="1">
      <c r="B55" s="49" t="str">
        <f t="shared" ref="B55:D56" si="10">IF(($E49&gt;0),B49,B48)</f>
        <v>per 100 arrests</v>
      </c>
      <c r="C55" s="49">
        <f t="shared" si="10"/>
        <v>43.46</v>
      </c>
      <c r="D55" s="49">
        <f t="shared" si="10"/>
        <v>1.89</v>
      </c>
      <c r="E55" s="49">
        <f>MAX(C55:D55)</f>
        <v>43.46</v>
      </c>
      <c r="G55" s="1" t="str">
        <f>G49</f>
        <v>per 100 arrests</v>
      </c>
      <c r="L55" s="58">
        <f>IF(($E49&gt;0),L49,L48)</f>
        <v>100</v>
      </c>
      <c r="M55" s="58"/>
    </row>
    <row r="56" spans="2:18" ht="15" hidden="1" customHeight="1">
      <c r="B56" s="49" t="str">
        <f t="shared" si="10"/>
        <v>per 100 referrals</v>
      </c>
      <c r="C56" s="49">
        <f t="shared" si="10"/>
        <v>62.9</v>
      </c>
      <c r="D56" s="49">
        <f t="shared" si="10"/>
        <v>3.24</v>
      </c>
      <c r="E56" s="49">
        <f>MAX(C56:D56)</f>
        <v>62.9</v>
      </c>
      <c r="G56" s="1" t="str">
        <f>G50</f>
        <v>per 100 referrals</v>
      </c>
      <c r="L56" s="58">
        <f>IF(($E50&gt;0),L50,L49)</f>
        <v>100</v>
      </c>
      <c r="M56" s="58"/>
    </row>
    <row r="57" spans="2:18" ht="15" hidden="1" customHeight="1">
      <c r="B57" s="49" t="str">
        <f>IF(($E51&gt;0),B51,B49)</f>
        <v>per 100 youth petitioned</v>
      </c>
      <c r="C57" s="49">
        <f>IF(($E51&gt;0),C51,C50)</f>
        <v>33.32</v>
      </c>
      <c r="D57" s="49">
        <f>IF(($E51&gt;0),D51,D50)</f>
        <v>1.83</v>
      </c>
      <c r="E57" s="49">
        <f>MAX(C57:D57)</f>
        <v>33.32</v>
      </c>
      <c r="G57" s="1" t="str">
        <f>G51</f>
        <v>per 100 youth petitioned</v>
      </c>
      <c r="L57" s="58">
        <f>IF(($E51&gt;0),L51,L50)</f>
        <v>100</v>
      </c>
      <c r="M57" s="58"/>
    </row>
    <row r="58" spans="2:18" ht="15" hidden="1" customHeight="1">
      <c r="B58" s="49" t="str">
        <f>IF(($E52&gt;0),B52,B51)</f>
        <v>per 100 youth found delinquent</v>
      </c>
      <c r="C58" s="49">
        <f>IF(($E52&gt;0),C52,C51)</f>
        <v>19.489999999999998</v>
      </c>
      <c r="D58" s="49">
        <f>IF(($E52&gt;0),D52,D51)</f>
        <v>1.33</v>
      </c>
      <c r="E58" s="56">
        <f>MAX(C58:D58)</f>
        <v>19.489999999999998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681.10799999999995</v>
      </c>
      <c r="D60" s="56">
        <f>D54</f>
        <v>86.15</v>
      </c>
      <c r="E60" s="56">
        <f>MAX(C60:D60)</f>
        <v>681.10799999999995</v>
      </c>
      <c r="G60" s="1" t="str">
        <f>G54</f>
        <v>per 1000 youth</v>
      </c>
      <c r="L60" s="58">
        <f>L54</f>
        <v>1000</v>
      </c>
      <c r="M60" s="58"/>
    </row>
    <row r="61" spans="2:18" ht="15" hidden="1" customHeight="1">
      <c r="B61" s="49" t="str">
        <f t="shared" ref="B61:D62" si="11">IF(($E55&gt;0),B55,B54)</f>
        <v>per 100 arrests</v>
      </c>
      <c r="C61" s="49">
        <f t="shared" si="11"/>
        <v>43.46</v>
      </c>
      <c r="D61" s="49">
        <f t="shared" si="11"/>
        <v>1.89</v>
      </c>
      <c r="E61" s="49">
        <f>MAX(C61:D61)</f>
        <v>43.46</v>
      </c>
      <c r="G61" s="1" t="str">
        <f>G55</f>
        <v>per 100 arrests</v>
      </c>
      <c r="L61" s="58">
        <f>IF(($E55&gt;0),L55,L54)</f>
        <v>100</v>
      </c>
      <c r="M61" s="58"/>
    </row>
    <row r="62" spans="2:18" ht="15" hidden="1" customHeight="1">
      <c r="B62" s="49" t="str">
        <f t="shared" si="11"/>
        <v>per 100 referrals</v>
      </c>
      <c r="C62" s="49">
        <f t="shared" si="11"/>
        <v>62.9</v>
      </c>
      <c r="D62" s="49">
        <f t="shared" si="11"/>
        <v>3.24</v>
      </c>
      <c r="E62" s="49">
        <f>MAX(C62:D62)</f>
        <v>62.9</v>
      </c>
      <c r="G62" s="1" t="str">
        <f>G56</f>
        <v>per 100 referrals</v>
      </c>
      <c r="L62" s="58">
        <f>IF(($E56&gt;0),L56,L55)</f>
        <v>100</v>
      </c>
      <c r="M62" s="58"/>
    </row>
    <row r="63" spans="2:18" ht="15" hidden="1" customHeight="1">
      <c r="B63" s="49" t="str">
        <f>IF(($E57&gt;0),B57,B55)</f>
        <v>per 100 youth petitioned</v>
      </c>
      <c r="C63" s="49">
        <f>IF(($E57&gt;0),C57,C56)</f>
        <v>33.32</v>
      </c>
      <c r="D63" s="49">
        <f>IF(($E57&gt;0),D57,D56)</f>
        <v>1.83</v>
      </c>
      <c r="E63" s="49">
        <f>MAX(C63:D63)</f>
        <v>33.32</v>
      </c>
      <c r="G63" s="1" t="str">
        <f>G57</f>
        <v>per 100 youth petitioned</v>
      </c>
      <c r="L63" s="58">
        <f>IF(($E57&gt;0),L57,L56)</f>
        <v>100</v>
      </c>
      <c r="M63" s="58"/>
    </row>
    <row r="64" spans="2:18" ht="15" hidden="1" customHeight="1">
      <c r="B64" s="49" t="str">
        <f>IF(($E58&gt;0),B58,B57)</f>
        <v>per 100 youth found delinquent</v>
      </c>
      <c r="C64" s="49">
        <f>IF(($E58&gt;0),C58,C57)</f>
        <v>19.489999999999998</v>
      </c>
      <c r="D64" s="49">
        <f>IF(($E58&gt;0),D58,D57)</f>
        <v>1.33</v>
      </c>
      <c r="E64" s="56">
        <f>MAX(C64:D64)</f>
        <v>19.489999999999998</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681.10799999999995</v>
      </c>
      <c r="D66" s="56">
        <f>D60</f>
        <v>86.15</v>
      </c>
      <c r="E66" s="56">
        <f>MAX(C66:D66)</f>
        <v>681.10799999999995</v>
      </c>
      <c r="G66" s="1" t="str">
        <f>G60</f>
        <v>per 1000 youth</v>
      </c>
      <c r="L66" s="58">
        <f>L60</f>
        <v>1000</v>
      </c>
      <c r="M66" s="58">
        <f>IF((B66=G66),1,2)</f>
        <v>1</v>
      </c>
    </row>
    <row r="67" spans="2:13" ht="15" hidden="1" customHeight="1">
      <c r="B67" s="49" t="str">
        <f t="shared" ref="B67:D68" si="12">IF(($E61&gt;0),B61,B60)</f>
        <v>per 100 arrests</v>
      </c>
      <c r="C67" s="49">
        <f t="shared" si="12"/>
        <v>43.46</v>
      </c>
      <c r="D67" s="49">
        <f t="shared" si="12"/>
        <v>1.89</v>
      </c>
      <c r="E67" s="49">
        <f>MAX(C67:D67)</f>
        <v>43.46</v>
      </c>
      <c r="G67" s="1" t="str">
        <f>G61</f>
        <v>per 100 arrests</v>
      </c>
      <c r="L67" s="58">
        <f>IF(($E61&gt;0),L61,L60)</f>
        <v>100</v>
      </c>
      <c r="M67" s="58">
        <f>IF((B67=G67),1,2)</f>
        <v>1</v>
      </c>
    </row>
    <row r="68" spans="2:13" ht="15" hidden="1" customHeight="1">
      <c r="B68" s="49" t="str">
        <f t="shared" si="12"/>
        <v>per 100 referrals</v>
      </c>
      <c r="C68" s="49">
        <f t="shared" si="12"/>
        <v>62.9</v>
      </c>
      <c r="D68" s="49">
        <f t="shared" si="12"/>
        <v>3.24</v>
      </c>
      <c r="E68" s="49">
        <f>MAX(C68:D68)</f>
        <v>62.9</v>
      </c>
      <c r="G68" s="1" t="str">
        <f>G62</f>
        <v>per 100 referrals</v>
      </c>
      <c r="L68" s="58">
        <f>IF(($E62&gt;0),L62,L61)</f>
        <v>100</v>
      </c>
      <c r="M68" s="58">
        <f>IF((B68=G68),1,2)</f>
        <v>1</v>
      </c>
    </row>
    <row r="69" spans="2:13" ht="15" hidden="1" customHeight="1">
      <c r="B69" s="49" t="str">
        <f>IF(($E63&gt;0),B63,B61)</f>
        <v>per 100 youth petitioned</v>
      </c>
      <c r="C69" s="49">
        <f>IF(($E63&gt;0),C63,C62)</f>
        <v>33.32</v>
      </c>
      <c r="D69" s="49">
        <f>IF(($E63&gt;0),D63,D62)</f>
        <v>1.83</v>
      </c>
      <c r="E69" s="49">
        <f>MAX(C69:D69)</f>
        <v>33.32</v>
      </c>
      <c r="G69" s="1" t="str">
        <f>G63</f>
        <v>per 100 youth petitioned</v>
      </c>
      <c r="L69" s="58">
        <f>IF(($E63&gt;0),L63,L62)</f>
        <v>100</v>
      </c>
      <c r="M69" s="58">
        <f>IF((B69=G69),1,2)</f>
        <v>1</v>
      </c>
    </row>
    <row r="70" spans="2:13" ht="15" hidden="1" customHeight="1">
      <c r="B70" s="49" t="str">
        <f>IF(($E64&gt;0),B64,B63)</f>
        <v>per 100 youth found delinquent</v>
      </c>
      <c r="C70" s="49">
        <f>IF(($E64&gt;0),C64,C63)</f>
        <v>19.489999999999998</v>
      </c>
      <c r="D70" s="49">
        <f>IF(($E64&gt;0),D64,D63)</f>
        <v>1.33</v>
      </c>
      <c r="E70" s="56">
        <f>MAX(C70:D70)</f>
        <v>19.489999999999998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4" t="str">
        <f>'Data Entry'!G5</f>
        <v>Native Hawaiian or Other Pacific Islanders</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681108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2. Juvenile Arrests</v>
      </c>
      <c r="C7" s="33">
        <f>'Data Entry'!C7</f>
        <v>4346</v>
      </c>
      <c r="D7" s="34">
        <f>IF((AND(C66&gt;0,C7&gt;0)),(C7/C66),0)</f>
        <v>6.3807795533160681</v>
      </c>
      <c r="E7" s="33">
        <f>'Data Entry'!G7</f>
        <v>2</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2</v>
      </c>
      <c r="O7" s="42">
        <f>E6-E7</f>
        <v>-2</v>
      </c>
      <c r="P7" s="42">
        <f t="shared" ref="P7:P15" si="4">C7</f>
        <v>4346</v>
      </c>
      <c r="Q7" s="42">
        <f>C6-C7</f>
        <v>676762</v>
      </c>
      <c r="R7" s="42">
        <f t="shared" ref="R7:R15" si="5">SUM(N7:Q7)</f>
        <v>681108</v>
      </c>
      <c r="S7" s="30">
        <f t="shared" ref="S7:S15" si="6">R7*((((N7*Q7)-(O7*P7))^2))</f>
        <v>1.2638860935792468E+18</v>
      </c>
      <c r="T7" s="30">
        <f t="shared" ref="T7:T15" si="7">(N7+O7)*(P7+Q7)*(N7+P7)*(O7+Q7)</f>
        <v>0</v>
      </c>
      <c r="U7" s="31" t="e">
        <f t="shared" ref="U7:U15" si="8">IF((S7&gt;0),S7/T7,"- -")</f>
        <v>#DIV/0!</v>
      </c>
    </row>
    <row r="8" spans="2:21" ht="18" customHeight="1">
      <c r="B8" s="32" t="str">
        <f>'Data Entry'!A8</f>
        <v>3. Refer to Juvenile Court</v>
      </c>
      <c r="C8" s="33">
        <f>'Data Entry'!C8</f>
        <v>6290</v>
      </c>
      <c r="D8" s="34">
        <f>IF((AND(C67&gt;0,C8&gt;0)),(C8/C67),0)</f>
        <v>144.73078693051082</v>
      </c>
      <c r="E8" s="33">
        <f>'Data Entry'!G8</f>
        <v>2</v>
      </c>
      <c r="F8" s="34">
        <f>IF((AND($E$8&gt;0,$D$67&gt;0)),($E8/$D67),0)</f>
        <v>100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2</v>
      </c>
      <c r="O8" s="42">
        <f>((D67*L67)-E8)+0.05</f>
        <v>0.05</v>
      </c>
      <c r="P8" s="42">
        <f t="shared" si="4"/>
        <v>6290</v>
      </c>
      <c r="Q8" s="42">
        <f>(C$67*L67)-C8</f>
        <v>-1944</v>
      </c>
      <c r="R8" s="42">
        <f t="shared" si="5"/>
        <v>4348.05</v>
      </c>
      <c r="S8" s="30">
        <f t="shared" si="6"/>
        <v>76790938225.3125</v>
      </c>
      <c r="T8" s="30">
        <f t="shared" si="7"/>
        <v>-108972618660.62</v>
      </c>
      <c r="U8" s="31">
        <f t="shared" si="8"/>
        <v>-0.70468103977997587</v>
      </c>
    </row>
    <row r="9" spans="2:21" ht="18" customHeight="1">
      <c r="B9" s="32" t="str">
        <f>'Data Entry'!A9</f>
        <v xml:space="preserve">4. Cases Diverted </v>
      </c>
      <c r="C9" s="33">
        <f>'Data Entry'!C9</f>
        <v>1473</v>
      </c>
      <c r="D9" s="34">
        <f>IF((AND(C68&gt;0,C9&gt;0)),((C9/C68)),0)</f>
        <v>23.418124006359299</v>
      </c>
      <c r="E9" s="33">
        <f>'Data Entry'!G9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1473</v>
      </c>
      <c r="Q9" s="42">
        <f>(C$68*L68)-C9</f>
        <v>4817</v>
      </c>
      <c r="R9" s="42">
        <f t="shared" si="5"/>
        <v>6292</v>
      </c>
      <c r="S9" s="30">
        <f t="shared" si="6"/>
        <v>54607739472</v>
      </c>
      <c r="T9" s="30">
        <f t="shared" si="7"/>
        <v>89297708460</v>
      </c>
      <c r="U9" s="31">
        <f t="shared" si="8"/>
        <v>0.6115245330899054</v>
      </c>
    </row>
    <row r="10" spans="2:21" ht="18" customHeight="1">
      <c r="B10" s="32" t="str">
        <f>'Data Entry'!A10</f>
        <v>5. Cases Involving Secure Detention</v>
      </c>
      <c r="C10" s="33">
        <f>'Data Entry'!C10</f>
        <v>739</v>
      </c>
      <c r="D10" s="34">
        <f>IF(((AND(C68&gt;0,C10&gt;0))),(C10/(C68)),0)</f>
        <v>11.748807631160572</v>
      </c>
      <c r="E10" s="33">
        <f>'Data Entry'!G10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739</v>
      </c>
      <c r="Q10" s="42">
        <f>(C$68*L68)-C10</f>
        <v>5551</v>
      </c>
      <c r="R10" s="42">
        <f t="shared" si="5"/>
        <v>6292</v>
      </c>
      <c r="S10" s="30">
        <f t="shared" si="6"/>
        <v>13744773328</v>
      </c>
      <c r="T10" s="30">
        <f t="shared" si="7"/>
        <v>51624130860</v>
      </c>
      <c r="U10" s="31">
        <f t="shared" si="8"/>
        <v>0.26624706506487422</v>
      </c>
    </row>
    <row r="11" spans="2:21" ht="18" customHeight="1">
      <c r="B11" s="32" t="str">
        <f>'Data Entry'!A11</f>
        <v>6. Cases Petitioned (Charge Filed)</v>
      </c>
      <c r="C11" s="33">
        <f>'Data Entry'!C11</f>
        <v>3332</v>
      </c>
      <c r="D11" s="34">
        <f>IF(((AND(C68&gt;0,C11&gt;0))),(C11/(C68)),0)</f>
        <v>52.972972972972975</v>
      </c>
      <c r="E11" s="33">
        <f>'Data Entry'!G11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2</v>
      </c>
      <c r="P11" s="42">
        <f t="shared" si="4"/>
        <v>3332</v>
      </c>
      <c r="Q11" s="42">
        <f>(C$68*L68)-C11</f>
        <v>2958</v>
      </c>
      <c r="R11" s="42">
        <f t="shared" si="5"/>
        <v>6292</v>
      </c>
      <c r="S11" s="30">
        <f t="shared" si="6"/>
        <v>279420773632</v>
      </c>
      <c r="T11" s="30">
        <f t="shared" si="7"/>
        <v>124073017600</v>
      </c>
      <c r="U11" s="31">
        <f t="shared" si="8"/>
        <v>2.2520672023374728</v>
      </c>
    </row>
    <row r="12" spans="2:21" ht="18" customHeight="1">
      <c r="B12" s="32" t="str">
        <f>'Data Entry'!A12</f>
        <v>7. Cases Resulting in Delinquent Findings</v>
      </c>
      <c r="C12" s="33">
        <f>'Data Entry'!C12</f>
        <v>1949</v>
      </c>
      <c r="D12" s="34">
        <f>IF(((AND(C69&gt;0,C12&gt;0))),(C12/(C69)),0)</f>
        <v>58.493397358943575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1949</v>
      </c>
      <c r="Q12" s="42">
        <f>(C69*L69)-C12</f>
        <v>1383</v>
      </c>
      <c r="R12" s="42">
        <f t="shared" si="5"/>
        <v>3332</v>
      </c>
      <c r="S12" s="30">
        <f t="shared" si="6"/>
        <v>0</v>
      </c>
      <c r="T12" s="30">
        <f t="shared" si="7"/>
        <v>0</v>
      </c>
      <c r="U12" s="31" t="str">
        <f t="shared" si="8"/>
        <v>- -</v>
      </c>
    </row>
    <row r="13" spans="2:21" ht="18" customHeight="1">
      <c r="B13" s="32" t="str">
        <f>'Data Entry'!A13</f>
        <v>8. Cases Resulting in Probation Placement</v>
      </c>
      <c r="C13" s="33">
        <f>'Data Entry'!C13</f>
        <v>1947</v>
      </c>
      <c r="D13" s="34">
        <f>IF(((AND(C70&gt;0,C13&gt;0))),(C13/(C70)),0)</f>
        <v>99.897383273473579</v>
      </c>
      <c r="E13" s="33">
        <f>'Data Entry'!G13</f>
        <v>3</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3</v>
      </c>
      <c r="O13" s="42">
        <f>(D70*L70)-E13</f>
        <v>-3</v>
      </c>
      <c r="P13" s="42">
        <f t="shared" si="4"/>
        <v>1947</v>
      </c>
      <c r="Q13" s="42">
        <f>(C70*L70)-C13</f>
        <v>1.9999999999997726</v>
      </c>
      <c r="R13" s="42">
        <f t="shared" si="5"/>
        <v>1948.9999999999998</v>
      </c>
      <c r="S13" s="30">
        <f t="shared" si="6"/>
        <v>66631260140.999977</v>
      </c>
      <c r="T13" s="30">
        <f t="shared" si="7"/>
        <v>0</v>
      </c>
      <c r="U13" s="31" t="e">
        <f t="shared" si="8"/>
        <v>#DIV/0!</v>
      </c>
    </row>
    <row r="14" spans="2:21" ht="30.75" customHeight="1">
      <c r="B14" s="32" t="str">
        <f>'Data Entry'!A14</f>
        <v xml:space="preserve">9. Cases Resulting in Confinement in Secure Juvenile Correctional Facilities </v>
      </c>
      <c r="C14" s="33">
        <f>'Data Entry'!C14</f>
        <v>522</v>
      </c>
      <c r="D14" s="34">
        <f>IF(((AND(C70&gt;0,C14&gt;0))), ((C14/(C70))),0)</f>
        <v>26.782965623396617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522</v>
      </c>
      <c r="Q14" s="42">
        <f>(C70*L70)-C14</f>
        <v>1426.9999999999998</v>
      </c>
      <c r="R14" s="42">
        <f t="shared" si="5"/>
        <v>1948.9999999999998</v>
      </c>
      <c r="S14" s="30">
        <f t="shared" si="6"/>
        <v>0</v>
      </c>
      <c r="T14" s="30">
        <f t="shared" si="7"/>
        <v>0</v>
      </c>
      <c r="U14" s="31" t="str">
        <f t="shared" si="8"/>
        <v>- -</v>
      </c>
    </row>
    <row r="15" spans="2:21" ht="15.75" customHeight="1">
      <c r="B15" s="32" t="str">
        <f>'Data Entry'!A15</f>
        <v xml:space="preserve">10. Cases Transferred to Adult Court </v>
      </c>
      <c r="C15" s="33">
        <f>'Data Entry'!C15</f>
        <v>14</v>
      </c>
      <c r="D15" s="34">
        <f>IF(((AND(C69&gt;0,C15&gt;0))),((C15/(C69))),0)</f>
        <v>0.42016806722689076</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14</v>
      </c>
      <c r="Q15" s="42">
        <f>(C69*L69)-C15</f>
        <v>3318</v>
      </c>
      <c r="R15" s="42">
        <f t="shared" si="5"/>
        <v>3332</v>
      </c>
      <c r="S15" s="30">
        <f t="shared" si="6"/>
        <v>0</v>
      </c>
      <c r="T15" s="30">
        <f t="shared" si="7"/>
        <v>0</v>
      </c>
      <c r="U15" s="31" t="str">
        <f t="shared" si="8"/>
        <v>- -</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0</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681.10799999999995</v>
      </c>
      <c r="D42" s="56">
        <f>E6/1000</f>
        <v>0</v>
      </c>
      <c r="E42" s="56">
        <f>MAX(C42:D42)</f>
        <v>681.10799999999995</v>
      </c>
      <c r="G42" s="1" t="str">
        <f>B42</f>
        <v>per 1000 youth</v>
      </c>
      <c r="L42" s="57">
        <v>1000</v>
      </c>
      <c r="M42" s="57"/>
      <c r="R42" s="49"/>
    </row>
    <row r="43" spans="2:18" ht="15" hidden="1" customHeight="1">
      <c r="B43" s="49" t="s">
        <v>88</v>
      </c>
      <c r="C43" s="56">
        <f>C7/100</f>
        <v>43.46</v>
      </c>
      <c r="D43" s="56">
        <f>E7/100</f>
        <v>0.02</v>
      </c>
      <c r="E43" s="56">
        <f>MAX(C43:D43,0)</f>
        <v>43.46</v>
      </c>
      <c r="G43" s="1" t="str">
        <f>B43</f>
        <v>per 100 arrests</v>
      </c>
      <c r="L43" s="57">
        <v>100</v>
      </c>
      <c r="M43" s="57"/>
      <c r="R43" s="49"/>
    </row>
    <row r="44" spans="2:18" ht="15" hidden="1" customHeight="1">
      <c r="B44" s="49" t="s">
        <v>89</v>
      </c>
      <c r="C44" s="56">
        <f>C8/100</f>
        <v>62.9</v>
      </c>
      <c r="D44" s="56">
        <f>E8/100</f>
        <v>0.02</v>
      </c>
      <c r="E44" s="56">
        <f>MAX(C44:D44,0)</f>
        <v>62.9</v>
      </c>
      <c r="G44" s="1" t="str">
        <f>B44</f>
        <v>per 100 referrals</v>
      </c>
      <c r="L44" s="57">
        <v>100</v>
      </c>
      <c r="M44" s="57"/>
      <c r="R44" s="49"/>
    </row>
    <row r="45" spans="2:18" ht="15" hidden="1" customHeight="1">
      <c r="B45" s="49" t="s">
        <v>90</v>
      </c>
      <c r="C45" s="49">
        <f>C11/100</f>
        <v>33.32</v>
      </c>
      <c r="D45" s="49">
        <f>E11/100</f>
        <v>0</v>
      </c>
      <c r="E45" s="56">
        <f>MAX(C45:D45,0)</f>
        <v>33.32</v>
      </c>
      <c r="G45" s="1" t="str">
        <f>B45</f>
        <v>per 100 youth petitioned</v>
      </c>
      <c r="L45" s="57">
        <v>100</v>
      </c>
      <c r="M45" s="57"/>
      <c r="R45" s="49"/>
    </row>
    <row r="46" spans="2:18" ht="15" hidden="1" customHeight="1">
      <c r="B46" s="49" t="s">
        <v>91</v>
      </c>
      <c r="C46" s="49">
        <f>C12/100</f>
        <v>19.489999999999998</v>
      </c>
      <c r="D46" s="49">
        <f>E12/100</f>
        <v>0</v>
      </c>
      <c r="E46" s="56">
        <f>MAX(C46:D46)</f>
        <v>19.489999999999998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681.10799999999995</v>
      </c>
      <c r="D48" s="56">
        <f>D42</f>
        <v>0</v>
      </c>
      <c r="E48" s="56">
        <f>MAX(C48:D48)</f>
        <v>681.10799999999995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43.46</v>
      </c>
      <c r="D49" s="49">
        <f t="shared" si="9"/>
        <v>0.02</v>
      </c>
      <c r="E49" s="49">
        <f>MAX(C49:D49)</f>
        <v>43.46</v>
      </c>
      <c r="G49" s="1" t="str">
        <f>G43</f>
        <v>per 100 arrests</v>
      </c>
      <c r="L49" s="58">
        <f>IF(($E43&gt;0),L43,L42)</f>
        <v>100</v>
      </c>
      <c r="M49" s="58"/>
      <c r="N49" s="21"/>
      <c r="O49" s="21"/>
      <c r="P49" s="21"/>
      <c r="Q49" s="21"/>
      <c r="R49" s="21"/>
    </row>
    <row r="50" spans="2:18" ht="15" hidden="1" customHeight="1">
      <c r="B50" s="49" t="str">
        <f t="shared" si="9"/>
        <v>per 100 referrals</v>
      </c>
      <c r="C50" s="49">
        <f t="shared" si="9"/>
        <v>62.9</v>
      </c>
      <c r="D50" s="49">
        <f t="shared" si="9"/>
        <v>0.02</v>
      </c>
      <c r="E50" s="49">
        <f>MAX(C50:D50)</f>
        <v>62.9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33.32</v>
      </c>
      <c r="D51" s="49">
        <f>IF(($E45&gt;0),D45,D44)</f>
        <v>0</v>
      </c>
      <c r="E51" s="49">
        <f>MAX(C51:D51)</f>
        <v>33.32</v>
      </c>
      <c r="G51" s="1" t="str">
        <f>G45</f>
        <v>per 100 youth petitioned</v>
      </c>
      <c r="L51" s="58">
        <f>IF(($E45&gt;0),L45,L44)</f>
        <v>100</v>
      </c>
      <c r="M51" s="58"/>
    </row>
    <row r="52" spans="2:18" ht="15" hidden="1" customHeight="1">
      <c r="B52" s="49" t="str">
        <f>IF(($E46&gt;0),B46,B45)</f>
        <v>per 100 youth found delinquent</v>
      </c>
      <c r="C52" s="49">
        <f>IF(($E46&gt;0),C46,C45)</f>
        <v>19.489999999999998</v>
      </c>
      <c r="D52" s="49">
        <f>IF(($E46&gt;0),D46,D45)</f>
        <v>0</v>
      </c>
      <c r="E52" s="56">
        <f>MAX(C52:D52)</f>
        <v>19.489999999999998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681.10799999999995</v>
      </c>
      <c r="D54" s="56">
        <f>D48</f>
        <v>0</v>
      </c>
      <c r="E54" s="56">
        <f>MAX(C54:D54)</f>
        <v>681.10799999999995</v>
      </c>
      <c r="G54" s="1" t="str">
        <f>G48</f>
        <v>per 1000 youth</v>
      </c>
      <c r="L54" s="58">
        <f>L48</f>
        <v>1000</v>
      </c>
      <c r="M54" s="58"/>
    </row>
    <row r="55" spans="2:18" ht="15" hidden="1" customHeight="1">
      <c r="B55" s="49" t="str">
        <f t="shared" ref="B55:D56" si="10">IF(($E49&gt;0),B49,B48)</f>
        <v>per 100 arrests</v>
      </c>
      <c r="C55" s="49">
        <f t="shared" si="10"/>
        <v>43.46</v>
      </c>
      <c r="D55" s="49">
        <f t="shared" si="10"/>
        <v>0.02</v>
      </c>
      <c r="E55" s="49">
        <f>MAX(C55:D55)</f>
        <v>43.46</v>
      </c>
      <c r="G55" s="1" t="str">
        <f>G49</f>
        <v>per 100 arrests</v>
      </c>
      <c r="L55" s="58">
        <f>IF(($E49&gt;0),L49,L48)</f>
        <v>100</v>
      </c>
      <c r="M55" s="58"/>
    </row>
    <row r="56" spans="2:18" ht="15" hidden="1" customHeight="1">
      <c r="B56" s="49" t="str">
        <f t="shared" si="10"/>
        <v>per 100 referrals</v>
      </c>
      <c r="C56" s="49">
        <f t="shared" si="10"/>
        <v>62.9</v>
      </c>
      <c r="D56" s="49">
        <f t="shared" si="10"/>
        <v>0.02</v>
      </c>
      <c r="E56" s="49">
        <f>MAX(C56:D56)</f>
        <v>62.9</v>
      </c>
      <c r="G56" s="1" t="str">
        <f>G50</f>
        <v>per 100 referrals</v>
      </c>
      <c r="L56" s="58">
        <f>IF(($E50&gt;0),L50,L49)</f>
        <v>100</v>
      </c>
      <c r="M56" s="58"/>
    </row>
    <row r="57" spans="2:18" ht="15" hidden="1" customHeight="1">
      <c r="B57" s="49" t="str">
        <f>IF(($E51&gt;0),B51,B49)</f>
        <v>per 100 youth petitioned</v>
      </c>
      <c r="C57" s="49">
        <f>IF(($E51&gt;0),C51,C50)</f>
        <v>33.32</v>
      </c>
      <c r="D57" s="49">
        <f>IF(($E51&gt;0),D51,D50)</f>
        <v>0</v>
      </c>
      <c r="E57" s="49">
        <f>MAX(C57:D57)</f>
        <v>33.32</v>
      </c>
      <c r="G57" s="1" t="str">
        <f>G51</f>
        <v>per 100 youth petitioned</v>
      </c>
      <c r="L57" s="58">
        <f>IF(($E51&gt;0),L51,L50)</f>
        <v>100</v>
      </c>
      <c r="M57" s="58"/>
    </row>
    <row r="58" spans="2:18" ht="15" hidden="1" customHeight="1">
      <c r="B58" s="49" t="str">
        <f>IF(($E52&gt;0),B52,B51)</f>
        <v>per 100 youth found delinquent</v>
      </c>
      <c r="C58" s="49">
        <f>IF(($E52&gt;0),C52,C51)</f>
        <v>19.489999999999998</v>
      </c>
      <c r="D58" s="49">
        <f>IF(($E52&gt;0),D52,D51)</f>
        <v>0</v>
      </c>
      <c r="E58" s="56">
        <f>MAX(C58:D58)</f>
        <v>19.489999999999998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681.10799999999995</v>
      </c>
      <c r="D60" s="56">
        <f>D54</f>
        <v>0</v>
      </c>
      <c r="E60" s="56">
        <f>MAX(C60:D60)</f>
        <v>681.10799999999995</v>
      </c>
      <c r="G60" s="1" t="str">
        <f>G54</f>
        <v>per 1000 youth</v>
      </c>
      <c r="L60" s="58">
        <f>L54</f>
        <v>1000</v>
      </c>
      <c r="M60" s="58"/>
    </row>
    <row r="61" spans="2:18" ht="15" hidden="1" customHeight="1">
      <c r="B61" s="49" t="str">
        <f t="shared" ref="B61:D62" si="11">IF(($E55&gt;0),B55,B54)</f>
        <v>per 100 arrests</v>
      </c>
      <c r="C61" s="49">
        <f t="shared" si="11"/>
        <v>43.46</v>
      </c>
      <c r="D61" s="49">
        <f t="shared" si="11"/>
        <v>0.02</v>
      </c>
      <c r="E61" s="49">
        <f>MAX(C61:D61)</f>
        <v>43.46</v>
      </c>
      <c r="G61" s="1" t="str">
        <f>G55</f>
        <v>per 100 arrests</v>
      </c>
      <c r="L61" s="58">
        <f>IF(($E55&gt;0),L55,L54)</f>
        <v>100</v>
      </c>
      <c r="M61" s="58"/>
    </row>
    <row r="62" spans="2:18" ht="15" hidden="1" customHeight="1">
      <c r="B62" s="49" t="str">
        <f t="shared" si="11"/>
        <v>per 100 referrals</v>
      </c>
      <c r="C62" s="49">
        <f t="shared" si="11"/>
        <v>62.9</v>
      </c>
      <c r="D62" s="49">
        <f t="shared" si="11"/>
        <v>0.02</v>
      </c>
      <c r="E62" s="49">
        <f>MAX(C62:D62)</f>
        <v>62.9</v>
      </c>
      <c r="G62" s="1" t="str">
        <f>G56</f>
        <v>per 100 referrals</v>
      </c>
      <c r="L62" s="58">
        <f>IF(($E56&gt;0),L56,L55)</f>
        <v>100</v>
      </c>
      <c r="M62" s="58"/>
    </row>
    <row r="63" spans="2:18" ht="15" hidden="1" customHeight="1">
      <c r="B63" s="49" t="str">
        <f>IF(($E57&gt;0),B57,B55)</f>
        <v>per 100 youth petitioned</v>
      </c>
      <c r="C63" s="49">
        <f>IF(($E57&gt;0),C57,C56)</f>
        <v>33.32</v>
      </c>
      <c r="D63" s="49">
        <f>IF(($E57&gt;0),D57,D56)</f>
        <v>0</v>
      </c>
      <c r="E63" s="49">
        <f>MAX(C63:D63)</f>
        <v>33.32</v>
      </c>
      <c r="G63" s="1" t="str">
        <f>G57</f>
        <v>per 100 youth petitioned</v>
      </c>
      <c r="L63" s="58">
        <f>IF(($E57&gt;0),L57,L56)</f>
        <v>100</v>
      </c>
      <c r="M63" s="58"/>
    </row>
    <row r="64" spans="2:18" ht="15" hidden="1" customHeight="1">
      <c r="B64" s="49" t="str">
        <f>IF(($E58&gt;0),B58,B57)</f>
        <v>per 100 youth found delinquent</v>
      </c>
      <c r="C64" s="49">
        <f>IF(($E58&gt;0),C58,C57)</f>
        <v>19.489999999999998</v>
      </c>
      <c r="D64" s="49">
        <f>IF(($E58&gt;0),D58,D57)</f>
        <v>0</v>
      </c>
      <c r="E64" s="56">
        <f>MAX(C64:D64)</f>
        <v>19.489999999999998</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681.10799999999995</v>
      </c>
      <c r="D66" s="56">
        <f>D60</f>
        <v>0</v>
      </c>
      <c r="E66" s="56">
        <f>MAX(C66:D66)</f>
        <v>681.10799999999995</v>
      </c>
      <c r="G66" s="1" t="str">
        <f>G60</f>
        <v>per 1000 youth</v>
      </c>
      <c r="L66" s="58">
        <f>L60</f>
        <v>1000</v>
      </c>
      <c r="M66" s="58">
        <f>IF((B66=G66),1,2)</f>
        <v>1</v>
      </c>
    </row>
    <row r="67" spans="2:13" ht="15" hidden="1" customHeight="1">
      <c r="B67" s="49" t="str">
        <f t="shared" ref="B67:D68" si="12">IF(($E61&gt;0),B61,B60)</f>
        <v>per 100 arrests</v>
      </c>
      <c r="C67" s="49">
        <f t="shared" si="12"/>
        <v>43.46</v>
      </c>
      <c r="D67" s="49">
        <f t="shared" si="12"/>
        <v>0.02</v>
      </c>
      <c r="E67" s="49">
        <f>MAX(C67:D67)</f>
        <v>43.46</v>
      </c>
      <c r="G67" s="1" t="str">
        <f>G61</f>
        <v>per 100 arrests</v>
      </c>
      <c r="L67" s="58">
        <f>IF(($E61&gt;0),L61,L60)</f>
        <v>100</v>
      </c>
      <c r="M67" s="58">
        <f>IF((B67=G67),1,2)</f>
        <v>1</v>
      </c>
    </row>
    <row r="68" spans="2:13" ht="15" hidden="1" customHeight="1">
      <c r="B68" s="49" t="str">
        <f t="shared" si="12"/>
        <v>per 100 referrals</v>
      </c>
      <c r="C68" s="49">
        <f t="shared" si="12"/>
        <v>62.9</v>
      </c>
      <c r="D68" s="49">
        <f t="shared" si="12"/>
        <v>0.02</v>
      </c>
      <c r="E68" s="49">
        <f>MAX(C68:D68)</f>
        <v>62.9</v>
      </c>
      <c r="G68" s="1" t="str">
        <f>G62</f>
        <v>per 100 referrals</v>
      </c>
      <c r="L68" s="58">
        <f>IF(($E62&gt;0),L62,L61)</f>
        <v>100</v>
      </c>
      <c r="M68" s="58">
        <f>IF((B68=G68),1,2)</f>
        <v>1</v>
      </c>
    </row>
    <row r="69" spans="2:13" ht="15" hidden="1" customHeight="1">
      <c r="B69" s="49" t="str">
        <f>IF(($E63&gt;0),B63,B61)</f>
        <v>per 100 youth petitioned</v>
      </c>
      <c r="C69" s="49">
        <f>IF(($E63&gt;0),C63,C62)</f>
        <v>33.32</v>
      </c>
      <c r="D69" s="49">
        <f>IF(($E63&gt;0),D63,D62)</f>
        <v>0</v>
      </c>
      <c r="E69" s="49">
        <f>MAX(C69:D69)</f>
        <v>33.32</v>
      </c>
      <c r="G69" s="1" t="str">
        <f>G63</f>
        <v>per 100 youth petitioned</v>
      </c>
      <c r="L69" s="58">
        <f>IF(($E63&gt;0),L63,L62)</f>
        <v>100</v>
      </c>
      <c r="M69" s="58">
        <f>IF((B69=G69),1,2)</f>
        <v>1</v>
      </c>
    </row>
    <row r="70" spans="2:13" ht="15" hidden="1" customHeight="1">
      <c r="B70" s="49" t="str">
        <f>IF(($E64&gt;0),B64,B63)</f>
        <v>per 100 youth found delinquent</v>
      </c>
      <c r="C70" s="49">
        <f>IF(($E64&gt;0),C64,C63)</f>
        <v>19.489999999999998</v>
      </c>
      <c r="D70" s="49">
        <f>IF(($E64&gt;0),D64,D63)</f>
        <v>0</v>
      </c>
      <c r="E70" s="56">
        <f>MAX(C70:D70)</f>
        <v>19.489999999999998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4" t="str">
        <f>'Data Entry'!H5</f>
        <v>American Indian or Alaska Native</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681108</v>
      </c>
      <c r="D6" s="34"/>
      <c r="E6" s="33">
        <f>'Data Entry'!H6</f>
        <v>7869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2. Juvenile Arrests</v>
      </c>
      <c r="C7" s="33">
        <f>'Data Entry'!C7</f>
        <v>4346</v>
      </c>
      <c r="D7" s="34">
        <f>IF((AND(C66&gt;0,C7&gt;0)),(C7/C66),0)</f>
        <v>6.3807795533160681</v>
      </c>
      <c r="E7" s="33">
        <f>'Data Entry'!H7</f>
        <v>67</v>
      </c>
      <c r="F7" s="34">
        <f>IF((AND($E$7&gt;0,$D$66&gt;0)),($E$7/$D$66),0)</f>
        <v>8.5144236878891864</v>
      </c>
      <c r="G7" s="39" t="str">
        <f t="shared" ref="G7:G15" si="0">IF(L$6=100,"*",IF(M7=FALSE,"--",IF(K7=20,"**",($F7/$D7))))</f>
        <v>*</v>
      </c>
      <c r="H7" s="40"/>
      <c r="I7" s="41"/>
      <c r="J7" s="40">
        <f>IF((ABS($U7)&gt;Defaults!D$7),1,2)</f>
        <v>1</v>
      </c>
      <c r="K7" s="39">
        <f>IF((AND(N7&gt;Defaults!B$12,(N7+O7)&gt;Defaults!B$13, P7 &gt; Defaults!B$12, (P7+Q7) &gt; Defaults!B$13)),1,20)</f>
        <v>1</v>
      </c>
      <c r="L7" s="1">
        <f t="shared" ref="L7:L15" si="1">(J7*K7+L$6)-1</f>
        <v>100</v>
      </c>
      <c r="M7" s="1" t="b">
        <f t="shared" ref="M7:M15" si="2">(ISNUMBER(J7))</f>
        <v>1</v>
      </c>
      <c r="N7" s="42">
        <f t="shared" ref="N7:N15" si="3">E7</f>
        <v>67</v>
      </c>
      <c r="O7" s="42">
        <f>E6-E7</f>
        <v>7802</v>
      </c>
      <c r="P7" s="42">
        <f t="shared" ref="P7:P15" si="4">C7</f>
        <v>4346</v>
      </c>
      <c r="Q7" s="42">
        <f>C6-C7</f>
        <v>676762</v>
      </c>
      <c r="R7" s="42">
        <f t="shared" ref="R7:R15" si="5">SUM(N7:Q7)</f>
        <v>688977</v>
      </c>
      <c r="S7" s="30">
        <f t="shared" ref="S7:S15" si="6">R7*((((N7*Q7)-(O7*P7))^2))</f>
        <v>9.0098954160476635E+19</v>
      </c>
      <c r="T7" s="30">
        <f t="shared" ref="T7:T15" si="7">(N7+O7)*(P7+Q7)*(N7+P7)*(O7+Q7)</f>
        <v>1.619136677429837E+19</v>
      </c>
      <c r="U7" s="31">
        <f t="shared" ref="U7:U15" si="8">IF((S7&gt;0),S7/T7,"- -")</f>
        <v>5.5646293124244881</v>
      </c>
    </row>
    <row r="8" spans="2:21" ht="18" customHeight="1">
      <c r="B8" s="32" t="str">
        <f>'Data Entry'!A8</f>
        <v>3. Refer to Juvenile Court</v>
      </c>
      <c r="C8" s="33">
        <f>'Data Entry'!C8</f>
        <v>6290</v>
      </c>
      <c r="D8" s="34">
        <f>IF((AND(C67&gt;0,C8&gt;0)),(C8/C67),0)</f>
        <v>144.73078693051082</v>
      </c>
      <c r="E8" s="33">
        <f>'Data Entry'!H8</f>
        <v>113</v>
      </c>
      <c r="F8" s="34">
        <f>IF((AND($E$8&gt;0,$D$67&gt;0)),($E8/$D67),0)</f>
        <v>168.65671641791045</v>
      </c>
      <c r="G8" s="39" t="str">
        <f t="shared" si="0"/>
        <v>*</v>
      </c>
      <c r="H8" s="40"/>
      <c r="I8" s="41"/>
      <c r="J8" s="40">
        <f>IF((ABS($U8)&gt;Defaults!D$7),1,2)</f>
        <v>1</v>
      </c>
      <c r="K8" s="39">
        <f>IF((AND(N8&gt;Defaults!B$12,(N8+O8)&gt;Defaults!B$13, P8 &gt; Defaults!B$12, (P8+Q8) &gt; Defaults!B$13)),1,20)</f>
        <v>1</v>
      </c>
      <c r="L8" s="1">
        <f t="shared" si="1"/>
        <v>100</v>
      </c>
      <c r="M8" s="1" t="b">
        <f t="shared" si="2"/>
        <v>1</v>
      </c>
      <c r="N8" s="42">
        <f t="shared" si="3"/>
        <v>113</v>
      </c>
      <c r="O8" s="42">
        <f>((D67*L67)-E8)+0.05</f>
        <v>-45.95</v>
      </c>
      <c r="P8" s="42">
        <f t="shared" si="4"/>
        <v>6290</v>
      </c>
      <c r="Q8" s="42">
        <f>(C$67*L67)-C8</f>
        <v>-1944</v>
      </c>
      <c r="R8" s="42">
        <f t="shared" si="5"/>
        <v>4413.05</v>
      </c>
      <c r="S8" s="30">
        <f t="shared" si="6"/>
        <v>21226364332807.363</v>
      </c>
      <c r="T8" s="30">
        <f t="shared" si="7"/>
        <v>-3712907847135.105</v>
      </c>
      <c r="U8" s="31">
        <f t="shared" si="8"/>
        <v>-5.716911166859612</v>
      </c>
    </row>
    <row r="9" spans="2:21" ht="18" customHeight="1">
      <c r="B9" s="32" t="str">
        <f>'Data Entry'!A9</f>
        <v xml:space="preserve">4. Cases Diverted </v>
      </c>
      <c r="C9" s="33">
        <f>'Data Entry'!C9</f>
        <v>1473</v>
      </c>
      <c r="D9" s="34">
        <f>IF((AND(C68&gt;0,C9&gt;0)),((C9/C68)),0)</f>
        <v>23.418124006359299</v>
      </c>
      <c r="E9" s="33">
        <f>'Data Entry'!H9</f>
        <v>11</v>
      </c>
      <c r="F9" s="34">
        <f>IF((AND($E$9&gt;0,$D$68&gt;0)),(($E$9/$D$68)),0)</f>
        <v>9.7345132743362832</v>
      </c>
      <c r="G9" s="39" t="str">
        <f t="shared" si="0"/>
        <v>*</v>
      </c>
      <c r="H9" s="40"/>
      <c r="I9" s="41"/>
      <c r="J9" s="40">
        <f>IF((ABS($U9)&gt;Defaults!D$7),1,2)</f>
        <v>1</v>
      </c>
      <c r="K9" s="39">
        <f>IF((AND(N9&gt;Defaults!B$12,(N9+O9)&gt;Defaults!B$13, P9 &gt; Defaults!B$12, (P9+Q9) &gt; Defaults!B$13)),1,20)</f>
        <v>1</v>
      </c>
      <c r="L9" s="1">
        <f t="shared" si="1"/>
        <v>100</v>
      </c>
      <c r="M9" s="1" t="b">
        <f t="shared" si="2"/>
        <v>1</v>
      </c>
      <c r="N9" s="42">
        <f t="shared" si="3"/>
        <v>11</v>
      </c>
      <c r="O9" s="42">
        <f>(D$68*L68)-E9</f>
        <v>101.99999999999999</v>
      </c>
      <c r="P9" s="42">
        <f t="shared" si="4"/>
        <v>1473</v>
      </c>
      <c r="Q9" s="42">
        <f>(C$68*L68)-C9</f>
        <v>4817</v>
      </c>
      <c r="R9" s="42">
        <f t="shared" si="5"/>
        <v>6403</v>
      </c>
      <c r="S9" s="30">
        <f t="shared" si="6"/>
        <v>60567981657642.961</v>
      </c>
      <c r="T9" s="30">
        <f t="shared" si="7"/>
        <v>5188476002919.999</v>
      </c>
      <c r="U9" s="31">
        <f t="shared" si="8"/>
        <v>11.673559176828837</v>
      </c>
    </row>
    <row r="10" spans="2:21" ht="18" customHeight="1">
      <c r="B10" s="32" t="str">
        <f>'Data Entry'!A10</f>
        <v>5. Cases Involving Secure Detention</v>
      </c>
      <c r="C10" s="33">
        <f>'Data Entry'!C10</f>
        <v>739</v>
      </c>
      <c r="D10" s="34">
        <f>IF(((AND(C68&gt;0,C10&gt;0))),(C10/(C68)),0)</f>
        <v>11.748807631160572</v>
      </c>
      <c r="E10" s="33">
        <f>'Data Entry'!H10</f>
        <v>10</v>
      </c>
      <c r="F10" s="34">
        <f>IF(((AND($E$10&gt;0,$D$68&gt;0))),($E$10/($D$68)),0)</f>
        <v>8.8495575221238951</v>
      </c>
      <c r="G10" s="39" t="str">
        <f t="shared" si="0"/>
        <v>*</v>
      </c>
      <c r="H10" s="40"/>
      <c r="I10" s="41"/>
      <c r="J10" s="40">
        <f>IF((ABS($U10)&gt;Defaults!D$7),1,2)</f>
        <v>2</v>
      </c>
      <c r="K10" s="39">
        <f>IF((AND(N10&gt;Defaults!B$12,(N10+O10)&gt;Defaults!B$13, P10 &gt; Defaults!B$12, (P10+Q10) &gt; Defaults!B$13)),1,20)</f>
        <v>1</v>
      </c>
      <c r="L10" s="1">
        <f t="shared" si="1"/>
        <v>101</v>
      </c>
      <c r="M10" s="1" t="b">
        <f t="shared" si="2"/>
        <v>1</v>
      </c>
      <c r="N10" s="42">
        <f t="shared" si="3"/>
        <v>10</v>
      </c>
      <c r="O10" s="42">
        <f>(D$68*L68)-E10</f>
        <v>102.99999999999999</v>
      </c>
      <c r="P10" s="42">
        <f t="shared" si="4"/>
        <v>739</v>
      </c>
      <c r="Q10" s="42">
        <f>(C$68*L68)-C10</f>
        <v>5551</v>
      </c>
      <c r="R10" s="42">
        <f t="shared" si="5"/>
        <v>6403</v>
      </c>
      <c r="S10" s="30">
        <f t="shared" si="6"/>
        <v>2719024018946.9961</v>
      </c>
      <c r="T10" s="30">
        <f t="shared" si="7"/>
        <v>3010001491419.9995</v>
      </c>
      <c r="U10" s="31">
        <f t="shared" si="8"/>
        <v>0.90332979126341506</v>
      </c>
    </row>
    <row r="11" spans="2:21" ht="18" customHeight="1">
      <c r="B11" s="32" t="str">
        <f>'Data Entry'!A11</f>
        <v>6. Cases Petitioned (Charge Filed)</v>
      </c>
      <c r="C11" s="33">
        <f>'Data Entry'!C11</f>
        <v>3332</v>
      </c>
      <c r="D11" s="34">
        <f>IF(((AND(C68&gt;0,C11&gt;0))),(C11/(C68)),0)</f>
        <v>52.972972972972975</v>
      </c>
      <c r="E11" s="33">
        <f>'Data Entry'!H11</f>
        <v>40</v>
      </c>
      <c r="F11" s="34">
        <f>IF(((AND($E$11&gt;0,$D$68&gt;0))),($E$11/($D$68)),0)</f>
        <v>35.398230088495581</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40</v>
      </c>
      <c r="O11" s="42">
        <f>(D$68*L68)-E11</f>
        <v>72.999999999999986</v>
      </c>
      <c r="P11" s="42">
        <f t="shared" si="4"/>
        <v>3332</v>
      </c>
      <c r="Q11" s="42">
        <f>(C$68*L68)-C11</f>
        <v>2958</v>
      </c>
      <c r="R11" s="42">
        <f t="shared" si="5"/>
        <v>6403</v>
      </c>
      <c r="S11" s="30">
        <f t="shared" si="6"/>
        <v>99912457179567.906</v>
      </c>
      <c r="T11" s="30">
        <f t="shared" si="7"/>
        <v>7264447529639.999</v>
      </c>
      <c r="U11" s="31">
        <f t="shared" si="8"/>
        <v>13.753620873701765</v>
      </c>
    </row>
    <row r="12" spans="2:21" ht="18" customHeight="1">
      <c r="B12" s="32" t="str">
        <f>'Data Entry'!A12</f>
        <v>7. Cases Resulting in Delinquent Findings</v>
      </c>
      <c r="C12" s="33">
        <f>'Data Entry'!C12</f>
        <v>1949</v>
      </c>
      <c r="D12" s="34">
        <f>IF(((AND(C69&gt;0,C12&gt;0))),(C12/(C69)),0)</f>
        <v>58.493397358943575</v>
      </c>
      <c r="E12" s="33">
        <f>'Data Entry'!H12</f>
        <v>38</v>
      </c>
      <c r="F12" s="34">
        <f>IF(((AND($D$69&gt;0,$E$12&gt;0))),(E12/(D69)),0)</f>
        <v>95</v>
      </c>
      <c r="G12" s="39" t="str">
        <f t="shared" si="0"/>
        <v>*</v>
      </c>
      <c r="H12" s="40"/>
      <c r="I12" s="41"/>
      <c r="J12" s="40">
        <f>IF((ABS($U12)&gt;Defaults!D$7),1,2)</f>
        <v>1</v>
      </c>
      <c r="K12" s="39">
        <f>IF((AND(N12&gt;Defaults!B$12,(N12+O12)&gt;Defaults!B$13, P12 &gt; Defaults!B$12, (P12+Q12) &gt; Defaults!B$13)),1,20)</f>
        <v>1</v>
      </c>
      <c r="L12" s="1">
        <f t="shared" si="1"/>
        <v>100</v>
      </c>
      <c r="M12" s="1" t="b">
        <f t="shared" si="2"/>
        <v>1</v>
      </c>
      <c r="N12" s="42">
        <f t="shared" si="3"/>
        <v>38</v>
      </c>
      <c r="O12" s="42">
        <f>(D69*L69)-E12</f>
        <v>2</v>
      </c>
      <c r="P12" s="42">
        <f t="shared" si="4"/>
        <v>1949</v>
      </c>
      <c r="Q12" s="42">
        <f>(C69*L69)-C12</f>
        <v>1383</v>
      </c>
      <c r="R12" s="42">
        <f t="shared" si="5"/>
        <v>3372</v>
      </c>
      <c r="S12" s="30">
        <f t="shared" si="6"/>
        <v>7982894164992</v>
      </c>
      <c r="T12" s="30">
        <f t="shared" si="7"/>
        <v>366785893600</v>
      </c>
      <c r="U12" s="31">
        <f t="shared" si="8"/>
        <v>21.764452516534838</v>
      </c>
    </row>
    <row r="13" spans="2:21" ht="18" customHeight="1">
      <c r="B13" s="32" t="str">
        <f>'Data Entry'!A13</f>
        <v>8. Cases Resulting in Probation Placement</v>
      </c>
      <c r="C13" s="33">
        <f>'Data Entry'!C13</f>
        <v>1947</v>
      </c>
      <c r="D13" s="34">
        <f>IF(((AND(C70&gt;0,C13&gt;0))),(C13/(C70)),0)</f>
        <v>99.897383273473579</v>
      </c>
      <c r="E13" s="33">
        <f>'Data Entry'!H13</f>
        <v>57</v>
      </c>
      <c r="F13" s="34">
        <f>IF(((AND($D$70&gt;0,$E$13&gt;0))),($E$13/($D$70)),0)</f>
        <v>150</v>
      </c>
      <c r="G13" s="39" t="str">
        <f t="shared" si="0"/>
        <v>*</v>
      </c>
      <c r="H13" s="40"/>
      <c r="I13" s="41"/>
      <c r="J13" s="40">
        <f>IF((ABS($U13)&gt;Defaults!D$7),1,2)</f>
        <v>1</v>
      </c>
      <c r="K13" s="39">
        <f>IF((AND(N13&gt;Defaults!B$12,(N13+O13)&gt;Defaults!B$13, P13 &gt; Defaults!B$12, (P13+Q13) &gt; Defaults!B$13)),1,20)</f>
        <v>1</v>
      </c>
      <c r="L13" s="1">
        <f t="shared" si="1"/>
        <v>100</v>
      </c>
      <c r="M13" s="1" t="b">
        <f t="shared" si="2"/>
        <v>1</v>
      </c>
      <c r="N13" s="42">
        <f t="shared" si="3"/>
        <v>57</v>
      </c>
      <c r="O13" s="42">
        <f>(D70*L70)-E13</f>
        <v>-19</v>
      </c>
      <c r="P13" s="42">
        <f t="shared" si="4"/>
        <v>1947</v>
      </c>
      <c r="Q13" s="42">
        <f>(C70*L70)-C13</f>
        <v>1.9999999999997726</v>
      </c>
      <c r="R13" s="42">
        <f t="shared" si="5"/>
        <v>1986.9999999999998</v>
      </c>
      <c r="S13" s="30">
        <f t="shared" si="6"/>
        <v>2735958815162.9976</v>
      </c>
      <c r="T13" s="30">
        <f t="shared" si="7"/>
        <v>-2523144216.0000334</v>
      </c>
      <c r="U13" s="31">
        <f t="shared" si="8"/>
        <v>-1084.3450001048063</v>
      </c>
    </row>
    <row r="14" spans="2:21" ht="30.75" customHeight="1">
      <c r="B14" s="32" t="str">
        <f>'Data Entry'!A14</f>
        <v xml:space="preserve">9. Cases Resulting in Confinement in Secure Juvenile Correctional Facilities </v>
      </c>
      <c r="C14" s="33">
        <f>'Data Entry'!C14</f>
        <v>522</v>
      </c>
      <c r="D14" s="34">
        <f>IF(((AND(C70&gt;0,C14&gt;0))), ((C14/(C70))),0)</f>
        <v>26.782965623396617</v>
      </c>
      <c r="E14" s="33">
        <f>'Data Entry'!H14</f>
        <v>7</v>
      </c>
      <c r="F14" s="34">
        <f>IF(((AND($D$70&gt;0,$E$14&gt;0))), (($E$14/($D$70))),0)</f>
        <v>18.421052631578949</v>
      </c>
      <c r="G14" s="39" t="str">
        <f t="shared" si="0"/>
        <v>*</v>
      </c>
      <c r="H14" s="40"/>
      <c r="I14" s="41"/>
      <c r="J14" s="40">
        <f>IF((ABS($U14)&gt;Defaults!D$7),1,2)</f>
        <v>2</v>
      </c>
      <c r="K14" s="39">
        <f>IF((AND(N14&gt;Defaults!B$12,(N14+O14)&gt;Defaults!B$13, P14 &gt; Defaults!B$12, (P14+Q14) &gt; Defaults!B$13)),1,20)</f>
        <v>1</v>
      </c>
      <c r="L14" s="1">
        <f t="shared" si="1"/>
        <v>101</v>
      </c>
      <c r="M14" s="1" t="b">
        <f t="shared" si="2"/>
        <v>1</v>
      </c>
      <c r="N14" s="42">
        <f t="shared" si="3"/>
        <v>7</v>
      </c>
      <c r="O14" s="42">
        <f>(D70*L70)-E14</f>
        <v>31</v>
      </c>
      <c r="P14" s="42">
        <f t="shared" si="4"/>
        <v>522</v>
      </c>
      <c r="Q14" s="42">
        <f>(C70*L70)-C14</f>
        <v>1426.9999999999998</v>
      </c>
      <c r="R14" s="42">
        <f t="shared" si="5"/>
        <v>1986.9999999999998</v>
      </c>
      <c r="S14" s="30">
        <f t="shared" si="6"/>
        <v>76207905763.000031</v>
      </c>
      <c r="T14" s="30">
        <f t="shared" si="7"/>
        <v>57122687483.999977</v>
      </c>
      <c r="U14" s="31">
        <f t="shared" si="8"/>
        <v>1.334109250100423</v>
      </c>
    </row>
    <row r="15" spans="2:21" ht="15.75" customHeight="1">
      <c r="B15" s="32" t="str">
        <f>'Data Entry'!A15</f>
        <v xml:space="preserve">10. Cases Transferred to Adult Court </v>
      </c>
      <c r="C15" s="33">
        <f>'Data Entry'!C15</f>
        <v>14</v>
      </c>
      <c r="D15" s="34">
        <f>IF(((AND(C69&gt;0,C15&gt;0))),((C15/(C69))),0)</f>
        <v>0.42016806722689076</v>
      </c>
      <c r="E15" s="33">
        <f>'Data Entry'!H15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40</v>
      </c>
      <c r="P15" s="42">
        <f t="shared" si="4"/>
        <v>14</v>
      </c>
      <c r="Q15" s="42">
        <f>(C69*L69)-C15</f>
        <v>3318</v>
      </c>
      <c r="R15" s="42">
        <f t="shared" si="5"/>
        <v>3372</v>
      </c>
      <c r="S15" s="30">
        <f t="shared" si="6"/>
        <v>1057459200</v>
      </c>
      <c r="T15" s="30">
        <f t="shared" si="7"/>
        <v>6265759360</v>
      </c>
      <c r="U15" s="31">
        <f t="shared" si="8"/>
        <v>0.16876792408446403</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681.10799999999995</v>
      </c>
      <c r="D42" s="56">
        <f>E6/1000</f>
        <v>7.8689999999999998</v>
      </c>
      <c r="E42" s="56">
        <f>MAX(C42:D42)</f>
        <v>681.10799999999995</v>
      </c>
      <c r="G42" s="1" t="str">
        <f>B42</f>
        <v>per 1000 youth</v>
      </c>
      <c r="L42" s="57">
        <v>1000</v>
      </c>
      <c r="M42" s="57"/>
      <c r="R42" s="49"/>
    </row>
    <row r="43" spans="2:18" ht="15" hidden="1" customHeight="1">
      <c r="B43" s="49" t="s">
        <v>88</v>
      </c>
      <c r="C43" s="56">
        <f>C7/100</f>
        <v>43.46</v>
      </c>
      <c r="D43" s="56">
        <f>E7/100</f>
        <v>0.67</v>
      </c>
      <c r="E43" s="56">
        <f>MAX(C43:D43,0)</f>
        <v>43.46</v>
      </c>
      <c r="G43" s="1" t="str">
        <f>B43</f>
        <v>per 100 arrests</v>
      </c>
      <c r="L43" s="57">
        <v>100</v>
      </c>
      <c r="M43" s="57"/>
      <c r="R43" s="49"/>
    </row>
    <row r="44" spans="2:18" ht="15" hidden="1" customHeight="1">
      <c r="B44" s="49" t="s">
        <v>89</v>
      </c>
      <c r="C44" s="56">
        <f>C8/100</f>
        <v>62.9</v>
      </c>
      <c r="D44" s="56">
        <f>E8/100</f>
        <v>1.1299999999999999</v>
      </c>
      <c r="E44" s="56">
        <f>MAX(C44:D44,0)</f>
        <v>62.9</v>
      </c>
      <c r="G44" s="1" t="str">
        <f>B44</f>
        <v>per 100 referrals</v>
      </c>
      <c r="L44" s="57">
        <v>100</v>
      </c>
      <c r="M44" s="57"/>
      <c r="R44" s="49"/>
    </row>
    <row r="45" spans="2:18" ht="15" hidden="1" customHeight="1">
      <c r="B45" s="49" t="s">
        <v>90</v>
      </c>
      <c r="C45" s="49">
        <f>C11/100</f>
        <v>33.32</v>
      </c>
      <c r="D45" s="49">
        <f>E11/100</f>
        <v>0.4</v>
      </c>
      <c r="E45" s="56">
        <f>MAX(C45:D45,0)</f>
        <v>33.32</v>
      </c>
      <c r="G45" s="1" t="str">
        <f>B45</f>
        <v>per 100 youth petitioned</v>
      </c>
      <c r="L45" s="57">
        <v>100</v>
      </c>
      <c r="M45" s="57"/>
      <c r="R45" s="49"/>
    </row>
    <row r="46" spans="2:18" ht="15" hidden="1" customHeight="1">
      <c r="B46" s="49" t="s">
        <v>91</v>
      </c>
      <c r="C46" s="49">
        <f>C12/100</f>
        <v>19.489999999999998</v>
      </c>
      <c r="D46" s="49">
        <f>E12/100</f>
        <v>0.38</v>
      </c>
      <c r="E46" s="56">
        <f>MAX(C46:D46)</f>
        <v>19.489999999999998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681.10799999999995</v>
      </c>
      <c r="D48" s="56">
        <f>D42</f>
        <v>7.8689999999999998</v>
      </c>
      <c r="E48" s="56">
        <f>MAX(C48:D48)</f>
        <v>681.10799999999995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43.46</v>
      </c>
      <c r="D49" s="49">
        <f t="shared" si="9"/>
        <v>0.67</v>
      </c>
      <c r="E49" s="49">
        <f>MAX(C49:D49)</f>
        <v>43.46</v>
      </c>
      <c r="G49" s="1" t="str">
        <f>G43</f>
        <v>per 100 arrests</v>
      </c>
      <c r="L49" s="58">
        <f>IF(($E43&gt;0),L43,L42)</f>
        <v>100</v>
      </c>
      <c r="M49" s="58"/>
      <c r="N49" s="21"/>
      <c r="O49" s="21"/>
      <c r="P49" s="21"/>
      <c r="Q49" s="21"/>
      <c r="R49" s="21"/>
    </row>
    <row r="50" spans="2:18" ht="15" hidden="1" customHeight="1">
      <c r="B50" s="49" t="str">
        <f t="shared" si="9"/>
        <v>per 100 referrals</v>
      </c>
      <c r="C50" s="49">
        <f t="shared" si="9"/>
        <v>62.9</v>
      </c>
      <c r="D50" s="49">
        <f t="shared" si="9"/>
        <v>1.1299999999999999</v>
      </c>
      <c r="E50" s="49">
        <f>MAX(C50:D50)</f>
        <v>62.9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33.32</v>
      </c>
      <c r="D51" s="49">
        <f>IF(($E45&gt;0),D45,D44)</f>
        <v>0.4</v>
      </c>
      <c r="E51" s="49">
        <f>MAX(C51:D51)</f>
        <v>33.32</v>
      </c>
      <c r="G51" s="1" t="str">
        <f>G45</f>
        <v>per 100 youth petitioned</v>
      </c>
      <c r="L51" s="58">
        <f>IF(($E45&gt;0),L45,L44)</f>
        <v>100</v>
      </c>
      <c r="M51" s="58"/>
    </row>
    <row r="52" spans="2:18" ht="15" hidden="1" customHeight="1">
      <c r="B52" s="49" t="str">
        <f>IF(($E46&gt;0),B46,B45)</f>
        <v>per 100 youth found delinquent</v>
      </c>
      <c r="C52" s="49">
        <f>IF(($E46&gt;0),C46,C45)</f>
        <v>19.489999999999998</v>
      </c>
      <c r="D52" s="49">
        <f>IF(($E46&gt;0),D46,D45)</f>
        <v>0.38</v>
      </c>
      <c r="E52" s="56">
        <f>MAX(C52:D52)</f>
        <v>19.489999999999998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681.10799999999995</v>
      </c>
      <c r="D54" s="56">
        <f>D48</f>
        <v>7.8689999999999998</v>
      </c>
      <c r="E54" s="56">
        <f>MAX(C54:D54)</f>
        <v>681.10799999999995</v>
      </c>
      <c r="G54" s="1" t="str">
        <f>G48</f>
        <v>per 1000 youth</v>
      </c>
      <c r="L54" s="58">
        <f>L48</f>
        <v>1000</v>
      </c>
      <c r="M54" s="58"/>
    </row>
    <row r="55" spans="2:18" ht="15" hidden="1" customHeight="1">
      <c r="B55" s="49" t="str">
        <f t="shared" ref="B55:D56" si="10">IF(($E49&gt;0),B49,B48)</f>
        <v>per 100 arrests</v>
      </c>
      <c r="C55" s="49">
        <f t="shared" si="10"/>
        <v>43.46</v>
      </c>
      <c r="D55" s="49">
        <f t="shared" si="10"/>
        <v>0.67</v>
      </c>
      <c r="E55" s="49">
        <f>MAX(C55:D55)</f>
        <v>43.46</v>
      </c>
      <c r="G55" s="1" t="str">
        <f>G49</f>
        <v>per 100 arrests</v>
      </c>
      <c r="L55" s="58">
        <f>IF(($E49&gt;0),L49,L48)</f>
        <v>100</v>
      </c>
      <c r="M55" s="58"/>
    </row>
    <row r="56" spans="2:18" ht="15" hidden="1" customHeight="1">
      <c r="B56" s="49" t="str">
        <f t="shared" si="10"/>
        <v>per 100 referrals</v>
      </c>
      <c r="C56" s="49">
        <f t="shared" si="10"/>
        <v>62.9</v>
      </c>
      <c r="D56" s="49">
        <f t="shared" si="10"/>
        <v>1.1299999999999999</v>
      </c>
      <c r="E56" s="49">
        <f>MAX(C56:D56)</f>
        <v>62.9</v>
      </c>
      <c r="G56" s="1" t="str">
        <f>G50</f>
        <v>per 100 referrals</v>
      </c>
      <c r="L56" s="58">
        <f>IF(($E50&gt;0),L50,L49)</f>
        <v>100</v>
      </c>
      <c r="M56" s="58"/>
    </row>
    <row r="57" spans="2:18" ht="15" hidden="1" customHeight="1">
      <c r="B57" s="49" t="str">
        <f>IF(($E51&gt;0),B51,B49)</f>
        <v>per 100 youth petitioned</v>
      </c>
      <c r="C57" s="49">
        <f>IF(($E51&gt;0),C51,C50)</f>
        <v>33.32</v>
      </c>
      <c r="D57" s="49">
        <f>IF(($E51&gt;0),D51,D50)</f>
        <v>0.4</v>
      </c>
      <c r="E57" s="49">
        <f>MAX(C57:D57)</f>
        <v>33.32</v>
      </c>
      <c r="G57" s="1" t="str">
        <f>G51</f>
        <v>per 100 youth petitioned</v>
      </c>
      <c r="L57" s="58">
        <f>IF(($E51&gt;0),L51,L50)</f>
        <v>100</v>
      </c>
      <c r="M57" s="58"/>
    </row>
    <row r="58" spans="2:18" ht="15" hidden="1" customHeight="1">
      <c r="B58" s="49" t="str">
        <f>IF(($E52&gt;0),B52,B51)</f>
        <v>per 100 youth found delinquent</v>
      </c>
      <c r="C58" s="49">
        <f>IF(($E52&gt;0),C52,C51)</f>
        <v>19.489999999999998</v>
      </c>
      <c r="D58" s="49">
        <f>IF(($E52&gt;0),D52,D51)</f>
        <v>0.38</v>
      </c>
      <c r="E58" s="56">
        <f>MAX(C58:D58)</f>
        <v>19.489999999999998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681.10799999999995</v>
      </c>
      <c r="D60" s="56">
        <f>D54</f>
        <v>7.8689999999999998</v>
      </c>
      <c r="E60" s="56">
        <f>MAX(C60:D60)</f>
        <v>681.10799999999995</v>
      </c>
      <c r="G60" s="1" t="str">
        <f>G54</f>
        <v>per 1000 youth</v>
      </c>
      <c r="L60" s="58">
        <f>L54</f>
        <v>1000</v>
      </c>
      <c r="M60" s="58"/>
    </row>
    <row r="61" spans="2:18" ht="15" hidden="1" customHeight="1">
      <c r="B61" s="49" t="str">
        <f t="shared" ref="B61:D62" si="11">IF(($E55&gt;0),B55,B54)</f>
        <v>per 100 arrests</v>
      </c>
      <c r="C61" s="49">
        <f t="shared" si="11"/>
        <v>43.46</v>
      </c>
      <c r="D61" s="49">
        <f t="shared" si="11"/>
        <v>0.67</v>
      </c>
      <c r="E61" s="49">
        <f>MAX(C61:D61)</f>
        <v>43.46</v>
      </c>
      <c r="G61" s="1" t="str">
        <f>G55</f>
        <v>per 100 arrests</v>
      </c>
      <c r="L61" s="58">
        <f>IF(($E55&gt;0),L55,L54)</f>
        <v>100</v>
      </c>
      <c r="M61" s="58"/>
    </row>
    <row r="62" spans="2:18" ht="15" hidden="1" customHeight="1">
      <c r="B62" s="49" t="str">
        <f t="shared" si="11"/>
        <v>per 100 referrals</v>
      </c>
      <c r="C62" s="49">
        <f t="shared" si="11"/>
        <v>62.9</v>
      </c>
      <c r="D62" s="49">
        <f t="shared" si="11"/>
        <v>1.1299999999999999</v>
      </c>
      <c r="E62" s="49">
        <f>MAX(C62:D62)</f>
        <v>62.9</v>
      </c>
      <c r="G62" s="1" t="str">
        <f>G56</f>
        <v>per 100 referrals</v>
      </c>
      <c r="L62" s="58">
        <f>IF(($E56&gt;0),L56,L55)</f>
        <v>100</v>
      </c>
      <c r="M62" s="58"/>
    </row>
    <row r="63" spans="2:18" ht="15" hidden="1" customHeight="1">
      <c r="B63" s="49" t="str">
        <f>IF(($E57&gt;0),B57,B55)</f>
        <v>per 100 youth petitioned</v>
      </c>
      <c r="C63" s="49">
        <f>IF(($E57&gt;0),C57,C56)</f>
        <v>33.32</v>
      </c>
      <c r="D63" s="49">
        <f>IF(($E57&gt;0),D57,D56)</f>
        <v>0.4</v>
      </c>
      <c r="E63" s="49">
        <f>MAX(C63:D63)</f>
        <v>33.32</v>
      </c>
      <c r="G63" s="1" t="str">
        <f>G57</f>
        <v>per 100 youth petitioned</v>
      </c>
      <c r="L63" s="58">
        <f>IF(($E57&gt;0),L57,L56)</f>
        <v>100</v>
      </c>
      <c r="M63" s="58"/>
    </row>
    <row r="64" spans="2:18" ht="15" hidden="1" customHeight="1">
      <c r="B64" s="49" t="str">
        <f>IF(($E58&gt;0),B58,B57)</f>
        <v>per 100 youth found delinquent</v>
      </c>
      <c r="C64" s="49">
        <f>IF(($E58&gt;0),C58,C57)</f>
        <v>19.489999999999998</v>
      </c>
      <c r="D64" s="49">
        <f>IF(($E58&gt;0),D58,D57)</f>
        <v>0.38</v>
      </c>
      <c r="E64" s="56">
        <f>MAX(C64:D64)</f>
        <v>19.489999999999998</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681.10799999999995</v>
      </c>
      <c r="D66" s="56">
        <f>D60</f>
        <v>7.8689999999999998</v>
      </c>
      <c r="E66" s="56">
        <f>MAX(C66:D66)</f>
        <v>681.10799999999995</v>
      </c>
      <c r="G66" s="1" t="str">
        <f>G60</f>
        <v>per 1000 youth</v>
      </c>
      <c r="L66" s="58">
        <f>L60</f>
        <v>1000</v>
      </c>
      <c r="M66" s="58">
        <f>IF((B66=G66),1,2)</f>
        <v>1</v>
      </c>
    </row>
    <row r="67" spans="2:13" ht="15" hidden="1" customHeight="1">
      <c r="B67" s="49" t="str">
        <f t="shared" ref="B67:D68" si="12">IF(($E61&gt;0),B61,B60)</f>
        <v>per 100 arrests</v>
      </c>
      <c r="C67" s="49">
        <f t="shared" si="12"/>
        <v>43.46</v>
      </c>
      <c r="D67" s="49">
        <f t="shared" si="12"/>
        <v>0.67</v>
      </c>
      <c r="E67" s="49">
        <f>MAX(C67:D67)</f>
        <v>43.46</v>
      </c>
      <c r="G67" s="1" t="str">
        <f>G61</f>
        <v>per 100 arrests</v>
      </c>
      <c r="L67" s="58">
        <f>IF(($E61&gt;0),L61,L60)</f>
        <v>100</v>
      </c>
      <c r="M67" s="58">
        <f>IF((B67=G67),1,2)</f>
        <v>1</v>
      </c>
    </row>
    <row r="68" spans="2:13" ht="15" hidden="1" customHeight="1">
      <c r="B68" s="49" t="str">
        <f t="shared" si="12"/>
        <v>per 100 referrals</v>
      </c>
      <c r="C68" s="49">
        <f t="shared" si="12"/>
        <v>62.9</v>
      </c>
      <c r="D68" s="49">
        <f t="shared" si="12"/>
        <v>1.1299999999999999</v>
      </c>
      <c r="E68" s="49">
        <f>MAX(C68:D68)</f>
        <v>62.9</v>
      </c>
      <c r="G68" s="1" t="str">
        <f>G62</f>
        <v>per 100 referrals</v>
      </c>
      <c r="L68" s="58">
        <f>IF(($E62&gt;0),L62,L61)</f>
        <v>100</v>
      </c>
      <c r="M68" s="58">
        <f>IF((B68=G68),1,2)</f>
        <v>1</v>
      </c>
    </row>
    <row r="69" spans="2:13" ht="15" hidden="1" customHeight="1">
      <c r="B69" s="49" t="str">
        <f>IF(($E63&gt;0),B63,B61)</f>
        <v>per 100 youth petitioned</v>
      </c>
      <c r="C69" s="49">
        <f>IF(($E63&gt;0),C63,C62)</f>
        <v>33.32</v>
      </c>
      <c r="D69" s="49">
        <f>IF(($E63&gt;0),D63,D62)</f>
        <v>0.4</v>
      </c>
      <c r="E69" s="49">
        <f>MAX(C69:D69)</f>
        <v>33.32</v>
      </c>
      <c r="G69" s="1" t="str">
        <f>G63</f>
        <v>per 100 youth petitioned</v>
      </c>
      <c r="L69" s="58">
        <f>IF(($E63&gt;0),L63,L62)</f>
        <v>100</v>
      </c>
      <c r="M69" s="58">
        <f>IF((B69=G69),1,2)</f>
        <v>1</v>
      </c>
    </row>
    <row r="70" spans="2:13" ht="15" hidden="1" customHeight="1">
      <c r="B70" s="49" t="str">
        <f>IF(($E64&gt;0),B64,B63)</f>
        <v>per 100 youth found delinquent</v>
      </c>
      <c r="C70" s="49">
        <f>IF(($E64&gt;0),C64,C63)</f>
        <v>19.489999999999998</v>
      </c>
      <c r="D70" s="49">
        <f>IF(($E64&gt;0),D64,D63)</f>
        <v>0.38</v>
      </c>
      <c r="E70" s="56">
        <f>MAX(C70:D70)</f>
        <v>19.489999999999998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U47JMPN4QEAR-1806752177-34728</_dlc_DocId>
    <_dlc_DocIdUrl xmlns="ac3811b5-0f3e-49e2-ba69-f2ffa0c782af">
      <Url>https://michiganphi.sharepoint.com/sites/CMDMC/_layouts/15/DocIdRedir.aspx?ID=U47JMPN4QEAR-1806752177-34728</Url>
      <Description>U47JMPN4QEAR-1806752177-34728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608733e283443d8390c6caf5265cb92f">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2c6c828e95003de4308dd0402143b80f"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23679-5419-4324-BF1E-0EFB98F14537}">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c3811b5-0f3e-49e2-ba69-f2ffa0c782af"/>
    <ds:schemaRef ds:uri="http://schemas.microsoft.com/office/2006/metadata/properties"/>
    <ds:schemaRef ds:uri="http://purl.org/dc/dcmitype/"/>
    <ds:schemaRef ds:uri="738f5db5-75d9-4d31-a801-79680892ab9e"/>
    <ds:schemaRef ds:uri="http://www.w3.org/XML/1998/namespace"/>
    <ds:schemaRef ds:uri="http://purl.org/dc/terms/"/>
  </ds:schemaRefs>
</ds:datastoreItem>
</file>

<file path=customXml/itemProps2.xml><?xml version="1.0" encoding="utf-8"?>
<ds:datastoreItem xmlns:ds="http://schemas.openxmlformats.org/officeDocument/2006/customXml" ds:itemID="{383AF8D7-91F2-4C60-BB14-AAB55A7E9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3811b5-0f3e-49e2-ba69-f2ffa0c782af"/>
    <ds:schemaRef ds:uri="738f5db5-75d9-4d31-a801-79680892a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C433AC-DC52-4F2B-B3F0-172083529114}">
  <ds:schemaRefs>
    <ds:schemaRef ds:uri="http://schemas.microsoft.com/sharepoint/events"/>
  </ds:schemaRefs>
</ds:datastoreItem>
</file>

<file path=customXml/itemProps4.xml><?xml version="1.0" encoding="utf-8"?>
<ds:datastoreItem xmlns:ds="http://schemas.openxmlformats.org/officeDocument/2006/customXml" ds:itemID="{D46D3DE1-E411-48FA-8A9B-C7658B081275}">
  <ds:schemaRefs>
    <ds:schemaRef ds:uri="http://schemas.microsoft.com/sharepoint/v3/contenttype/forms"/>
  </ds:schemaRefs>
</ds:datastoreItem>
</file>

<file path=docMetadata/LabelInfo.xml><?xml version="1.0" encoding="utf-8"?>
<clbl:labelList xmlns:clbl="http://schemas.microsoft.com/office/2020/mipLabelMetadata">
  <clbl:label id="{61356d44-baf7-4c51-9f34-1736d592de37}" enabled="1" method="Standard" siteId="{a4405b41-6d4f-4d51-90dd-22ba251725f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Victoria Key-Walker</cp:lastModifiedBy>
  <cp:lastPrinted>2013-05-09T15:54:08Z</cp:lastPrinted>
  <dcterms:created xsi:type="dcterms:W3CDTF">2002-11-18T06:04:28Z</dcterms:created>
  <dcterms:modified xsi:type="dcterms:W3CDTF">2024-07-15T13:13:24Z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aed55a86-b439-4d4f-ba00-a0b381b49f37</vt:lpwstr>
  </property>
</Properties>
</file>