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
    </mc:Choice>
  </mc:AlternateContent>
  <xr:revisionPtr revIDLastSave="0" documentId="8_{344872F8-3459-4DBD-92C1-5720FC1F3809}" xr6:coauthVersionLast="47" xr6:coauthVersionMax="47" xr10:uidLastSave="{00000000-0000-0000-0000-000000000000}"/>
  <bookViews>
    <workbookView xWindow="23880" yWindow="-120" windowWidth="218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3" l="1"/>
  <c r="B4" i="16" l="1"/>
  <c r="B7" i="16" l="1"/>
  <c r="B6" i="17"/>
  <c r="B7" i="13" l="1"/>
  <c r="A5" i="17" l="1"/>
  <c r="G6" i="17" l="1"/>
  <c r="C6" i="17"/>
  <c r="D6" i="17"/>
  <c r="E6" i="17"/>
  <c r="F6" i="17"/>
  <c r="I6" i="17"/>
  <c r="E30" i="16" l="1"/>
  <c r="B30" i="16"/>
  <c r="E29" i="16"/>
  <c r="B29" i="16"/>
  <c r="E28" i="16"/>
  <c r="B28" i="16"/>
  <c r="E27" i="16"/>
  <c r="B27" i="16"/>
  <c r="E26" i="16"/>
  <c r="B26" i="16"/>
  <c r="B25" i="16"/>
  <c r="J5" i="16"/>
  <c r="H4" i="16"/>
  <c r="H3" i="16"/>
  <c r="B3" i="16"/>
  <c r="B26" i="13" l="1"/>
  <c r="E26" i="13"/>
  <c r="B27" i="13"/>
  <c r="E27" i="13"/>
  <c r="B28" i="13"/>
  <c r="E28" i="13"/>
  <c r="B29" i="13"/>
  <c r="E29" i="13"/>
  <c r="B30" i="13"/>
  <c r="E30" i="13"/>
  <c r="B25" i="13"/>
  <c r="L5" i="13" l="1"/>
  <c r="N5" i="13"/>
  <c r="P5" i="13"/>
  <c r="B4" i="13" l="1"/>
  <c r="N4" i="13"/>
  <c r="B3" i="13"/>
  <c r="N3" i="13"/>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B10" i="4"/>
  <c r="B11" i="4"/>
  <c r="B12" i="4"/>
  <c r="B13" i="4"/>
  <c r="B14" i="4"/>
  <c r="B15" i="4"/>
  <c r="B48" i="4"/>
  <c r="B54" i="4" s="1"/>
  <c r="B60" i="4" s="1"/>
  <c r="B66" i="4" s="1"/>
  <c r="J27" i="4"/>
  <c r="G42" i="4"/>
  <c r="G48" i="4"/>
  <c r="G54" i="4" s="1"/>
  <c r="G60" i="4" s="1"/>
  <c r="G66" i="4" s="1"/>
  <c r="G43" i="4"/>
  <c r="G49" i="4"/>
  <c r="G55" i="4" s="1"/>
  <c r="G61" i="4" s="1"/>
  <c r="G67" i="4" s="1"/>
  <c r="G44" i="4"/>
  <c r="G50" i="4" s="1"/>
  <c r="G56" i="4" s="1"/>
  <c r="G62" i="4" s="1"/>
  <c r="G68" i="4" s="1"/>
  <c r="G45" i="4"/>
  <c r="G51" i="4"/>
  <c r="G46" i="4"/>
  <c r="L48" i="4"/>
  <c r="L54" i="4" s="1"/>
  <c r="L60" i="4" s="1"/>
  <c r="L66"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L54" i="8"/>
  <c r="L60" i="8"/>
  <c r="L66" i="8" s="1"/>
  <c r="G56" i="8"/>
  <c r="G62" i="8" s="1"/>
  <c r="G68" i="8" s="1"/>
  <c r="G58" i="8"/>
  <c r="G64" i="8" s="1"/>
  <c r="G70" i="8" s="1"/>
  <c r="E3" i="9"/>
  <c r="B4" i="9"/>
  <c r="E4" i="9"/>
  <c r="B5" i="9"/>
  <c r="D6" i="9"/>
  <c r="E6" i="9"/>
  <c r="G6" i="9"/>
  <c r="H6" i="9"/>
  <c r="I6" i="9"/>
  <c r="B18" i="9"/>
  <c r="E2" i="10"/>
  <c r="D18" i="10" s="1"/>
  <c r="F2" i="10"/>
  <c r="G2" i="10"/>
  <c r="F18" i="10" s="1"/>
  <c r="H2" i="10"/>
  <c r="G18" i="10" s="1"/>
  <c r="I2" i="10"/>
  <c r="H18" i="10" s="1"/>
  <c r="J2" i="10"/>
  <c r="I18" i="10" s="1"/>
  <c r="B3" i="10"/>
  <c r="F15" i="10"/>
  <c r="B16" i="10"/>
  <c r="F16" i="10"/>
  <c r="B17" i="10"/>
  <c r="C18" i="10"/>
  <c r="E18" i="10"/>
  <c r="J18" i="10"/>
  <c r="B30" i="10"/>
  <c r="A15" i="11"/>
  <c r="F27" i="8" l="1"/>
  <c r="M66" i="8"/>
  <c r="F27" i="2"/>
  <c r="M66" i="2"/>
  <c r="F27" i="6"/>
  <c r="M66" i="6"/>
  <c r="M66" i="5"/>
  <c r="F27" i="5"/>
  <c r="M66" i="3"/>
  <c r="F27" i="3"/>
  <c r="F27" i="7"/>
  <c r="M66" i="7"/>
  <c r="F27" i="4"/>
  <c r="M66" i="4"/>
  <c r="H5" i="16"/>
  <c r="H5" i="13"/>
  <c r="F5" i="16"/>
  <c r="F5" i="13"/>
  <c r="F6" i="9"/>
  <c r="D5" i="16"/>
  <c r="D5" i="13"/>
  <c r="D8" i="16" l="1"/>
  <c r="D8" i="13"/>
  <c r="E7" i="2"/>
  <c r="C8" i="16"/>
  <c r="C8" i="13"/>
  <c r="C7" i="2"/>
  <c r="C7" i="6"/>
  <c r="C7" i="3"/>
  <c r="C7" i="4"/>
  <c r="C7" i="7"/>
  <c r="C7" i="5"/>
  <c r="C7" i="8"/>
  <c r="P7" i="13" l="1"/>
  <c r="L7" i="13"/>
  <c r="E6" i="6"/>
  <c r="I3" i="10"/>
  <c r="D7" i="16"/>
  <c r="D7" i="13"/>
  <c r="E6" i="2"/>
  <c r="E3" i="10"/>
  <c r="P7" i="7"/>
  <c r="C43" i="7"/>
  <c r="C43" i="2"/>
  <c r="P7" i="2"/>
  <c r="D43" i="2"/>
  <c r="N7" i="2"/>
  <c r="N7" i="13"/>
  <c r="J3" i="10"/>
  <c r="E6" i="7"/>
  <c r="J7" i="13"/>
  <c r="H3" i="10"/>
  <c r="E6" i="5"/>
  <c r="P7" i="4"/>
  <c r="C43" i="4"/>
  <c r="H7" i="16"/>
  <c r="H7" i="13"/>
  <c r="G3" i="10"/>
  <c r="E6" i="3"/>
  <c r="C43" i="8"/>
  <c r="P7" i="8"/>
  <c r="P7" i="3"/>
  <c r="C43" i="3"/>
  <c r="F7" i="13"/>
  <c r="F7" i="16"/>
  <c r="F3" i="10"/>
  <c r="E6" i="4"/>
  <c r="C43" i="5"/>
  <c r="P7" i="5"/>
  <c r="P7" i="6"/>
  <c r="C43" i="6"/>
  <c r="K3" i="10" l="1"/>
  <c r="E6" i="8"/>
  <c r="D42" i="8" s="1"/>
  <c r="D48" i="8" s="1"/>
  <c r="D54" i="8" s="1"/>
  <c r="D60" i="8" s="1"/>
  <c r="D66" i="8" s="1"/>
  <c r="J7" i="16"/>
  <c r="C7" i="16"/>
  <c r="C7" i="13"/>
  <c r="D3" i="10"/>
  <c r="C6" i="2"/>
  <c r="C6" i="3"/>
  <c r="C6" i="8"/>
  <c r="C6" i="6"/>
  <c r="C6" i="7"/>
  <c r="C6" i="5"/>
  <c r="C6" i="4"/>
  <c r="D42" i="3"/>
  <c r="D48" i="3" s="1"/>
  <c r="D54" i="3" s="1"/>
  <c r="D60" i="3" s="1"/>
  <c r="D66" i="3" s="1"/>
  <c r="D42" i="7"/>
  <c r="D48" i="7" s="1"/>
  <c r="D54" i="7" s="1"/>
  <c r="D60" i="7" s="1"/>
  <c r="D66" i="7" s="1"/>
  <c r="D42" i="4"/>
  <c r="D48" i="4" s="1"/>
  <c r="D54" i="4" s="1"/>
  <c r="D60" i="4" s="1"/>
  <c r="D66" i="4" s="1"/>
  <c r="J10" i="10"/>
  <c r="J8" i="10"/>
  <c r="J12" i="10"/>
  <c r="J9" i="10"/>
  <c r="J5" i="10"/>
  <c r="J4" i="10"/>
  <c r="J6" i="10"/>
  <c r="J7" i="10"/>
  <c r="J11" i="10"/>
  <c r="E43" i="2"/>
  <c r="D42" i="5"/>
  <c r="D48" i="5" s="1"/>
  <c r="D54" i="5" s="1"/>
  <c r="D60" i="5" s="1"/>
  <c r="D66" i="5" s="1"/>
  <c r="E4" i="10"/>
  <c r="D42" i="6"/>
  <c r="D48" i="6" s="1"/>
  <c r="D54" i="6" s="1"/>
  <c r="D60" i="6" s="1"/>
  <c r="D66" i="6" s="1"/>
  <c r="H9" i="10"/>
  <c r="H7" i="10"/>
  <c r="H11" i="10"/>
  <c r="H4" i="10"/>
  <c r="H12" i="10"/>
  <c r="H8" i="10"/>
  <c r="H6" i="10"/>
  <c r="H5" i="10"/>
  <c r="H10" i="10"/>
  <c r="D42" i="2"/>
  <c r="D48" i="2" s="1"/>
  <c r="D54" i="2" s="1"/>
  <c r="D60" i="2" s="1"/>
  <c r="D66" i="2" s="1"/>
  <c r="F7" i="2" s="1"/>
  <c r="O7" i="2"/>
  <c r="G12" i="10"/>
  <c r="I14" i="17"/>
  <c r="I11" i="10"/>
  <c r="G11" i="10"/>
  <c r="F11" i="10"/>
  <c r="I10" i="10"/>
  <c r="F10" i="10"/>
  <c r="F9" i="10"/>
  <c r="I7" i="10"/>
  <c r="G7" i="10"/>
  <c r="I5" i="10"/>
  <c r="I4" i="10"/>
  <c r="F4" i="10"/>
  <c r="E8" i="10" l="1"/>
  <c r="E11" i="10"/>
  <c r="E10" i="10"/>
  <c r="C16" i="1"/>
  <c r="C17" i="16" s="1"/>
  <c r="E7" i="7"/>
  <c r="F7" i="7" s="1"/>
  <c r="N8" i="13"/>
  <c r="D11" i="16"/>
  <c r="D11" i="13"/>
  <c r="E10" i="2"/>
  <c r="C13" i="16"/>
  <c r="C13" i="13"/>
  <c r="C12" i="4"/>
  <c r="C12" i="8"/>
  <c r="C12" i="6"/>
  <c r="C12" i="2"/>
  <c r="C12" i="7"/>
  <c r="C12" i="3"/>
  <c r="C12" i="5"/>
  <c r="E13" i="7"/>
  <c r="N13" i="7" s="1"/>
  <c r="N14" i="13"/>
  <c r="E8" i="5"/>
  <c r="J9" i="13"/>
  <c r="H14" i="16"/>
  <c r="E13" i="3"/>
  <c r="N13" i="3" s="1"/>
  <c r="H14" i="13"/>
  <c r="C49" i="2"/>
  <c r="B49" i="2"/>
  <c r="L49" i="2"/>
  <c r="D49" i="2"/>
  <c r="C42" i="2"/>
  <c r="Q7" i="2"/>
  <c r="K7" i="2" s="1"/>
  <c r="H8" i="16"/>
  <c r="E7" i="3"/>
  <c r="F7" i="3" s="1"/>
  <c r="H8" i="13"/>
  <c r="C10" i="16"/>
  <c r="C10" i="13"/>
  <c r="C9" i="5"/>
  <c r="P9" i="5" s="1"/>
  <c r="C9" i="4"/>
  <c r="P9" i="4" s="1"/>
  <c r="C9" i="7"/>
  <c r="P9" i="7" s="1"/>
  <c r="C9" i="2"/>
  <c r="P9" i="2" s="1"/>
  <c r="C9" i="3"/>
  <c r="P9" i="3" s="1"/>
  <c r="C9" i="8"/>
  <c r="P9" i="8" s="1"/>
  <c r="C9" i="6"/>
  <c r="P9" i="6" s="1"/>
  <c r="E9" i="6"/>
  <c r="L10" i="13"/>
  <c r="F11" i="16"/>
  <c r="E10" i="4"/>
  <c r="F11" i="13"/>
  <c r="E11" i="6"/>
  <c r="L12" i="13"/>
  <c r="D13" i="16"/>
  <c r="D13" i="13"/>
  <c r="E12" i="2"/>
  <c r="E12" i="6"/>
  <c r="L13" i="13"/>
  <c r="F14" i="16"/>
  <c r="E13" i="4"/>
  <c r="N13" i="4" s="1"/>
  <c r="F14" i="13"/>
  <c r="E14" i="5"/>
  <c r="N14" i="5" s="1"/>
  <c r="J15" i="13"/>
  <c r="C16" i="16"/>
  <c r="C16" i="13"/>
  <c r="C15" i="5"/>
  <c r="P15" i="5" s="1"/>
  <c r="C15" i="7"/>
  <c r="P15" i="7" s="1"/>
  <c r="C15" i="4"/>
  <c r="P15" i="4" s="1"/>
  <c r="C15" i="6"/>
  <c r="P15" i="6" s="1"/>
  <c r="C15" i="2"/>
  <c r="P15" i="2" s="1"/>
  <c r="C15" i="3"/>
  <c r="P15" i="3" s="1"/>
  <c r="C15" i="8"/>
  <c r="P15" i="8" s="1"/>
  <c r="E15" i="7"/>
  <c r="N15" i="7" s="1"/>
  <c r="N16" i="13"/>
  <c r="E8" i="7"/>
  <c r="N9" i="13"/>
  <c r="F16" i="16"/>
  <c r="E15" i="4"/>
  <c r="N15" i="4" s="1"/>
  <c r="F16" i="13"/>
  <c r="E10" i="5"/>
  <c r="J11" i="13"/>
  <c r="E9" i="10"/>
  <c r="G10" i="10"/>
  <c r="C42" i="6"/>
  <c r="Q7" i="6"/>
  <c r="D6" i="10"/>
  <c r="D9" i="10"/>
  <c r="D12" i="10"/>
  <c r="D7" i="10"/>
  <c r="D8" i="10"/>
  <c r="D10" i="10"/>
  <c r="D5" i="10"/>
  <c r="D11" i="10"/>
  <c r="D4" i="10"/>
  <c r="E8" i="6"/>
  <c r="L9" i="13"/>
  <c r="E10" i="7"/>
  <c r="N11" i="13"/>
  <c r="E12" i="5"/>
  <c r="J13" i="13"/>
  <c r="H15" i="16"/>
  <c r="E14" i="3"/>
  <c r="N14" i="3" s="1"/>
  <c r="H15" i="13"/>
  <c r="E15" i="6"/>
  <c r="N15" i="6" s="1"/>
  <c r="L16" i="13"/>
  <c r="H9" i="16"/>
  <c r="E8" i="3"/>
  <c r="H9" i="13"/>
  <c r="D9" i="16"/>
  <c r="D9" i="13"/>
  <c r="E8" i="2"/>
  <c r="Q7" i="7"/>
  <c r="C42" i="7"/>
  <c r="J8" i="13"/>
  <c r="E7" i="5"/>
  <c r="C9" i="16"/>
  <c r="C9" i="13"/>
  <c r="C8" i="6"/>
  <c r="C8" i="8"/>
  <c r="C8" i="2"/>
  <c r="C8" i="3"/>
  <c r="C8" i="4"/>
  <c r="C8" i="7"/>
  <c r="C8" i="5"/>
  <c r="F10" i="16"/>
  <c r="F10" i="13"/>
  <c r="E9" i="4"/>
  <c r="E9" i="7"/>
  <c r="N10" i="13"/>
  <c r="H11" i="16"/>
  <c r="E10" i="3"/>
  <c r="H11" i="13"/>
  <c r="D12" i="16"/>
  <c r="D12" i="13"/>
  <c r="E11" i="2"/>
  <c r="E11" i="7"/>
  <c r="N12" i="13"/>
  <c r="F13" i="16"/>
  <c r="E12" i="4"/>
  <c r="F13" i="13"/>
  <c r="E12" i="7"/>
  <c r="N13" i="13"/>
  <c r="E13" i="5"/>
  <c r="N13" i="5" s="1"/>
  <c r="J14" i="13"/>
  <c r="C15" i="16"/>
  <c r="C15" i="13"/>
  <c r="C14" i="2"/>
  <c r="P14" i="2" s="1"/>
  <c r="C14" i="3"/>
  <c r="P14" i="3" s="1"/>
  <c r="C14" i="5"/>
  <c r="P14" i="5" s="1"/>
  <c r="C14" i="4"/>
  <c r="P14" i="4" s="1"/>
  <c r="C14" i="8"/>
  <c r="P14" i="8" s="1"/>
  <c r="C14" i="6"/>
  <c r="P14" i="6" s="1"/>
  <c r="C14" i="7"/>
  <c r="P14" i="7" s="1"/>
  <c r="E14" i="6"/>
  <c r="N14" i="6" s="1"/>
  <c r="L15" i="13"/>
  <c r="D16" i="16"/>
  <c r="D16" i="13"/>
  <c r="E15" i="2"/>
  <c r="N15" i="2" s="1"/>
  <c r="D10" i="16"/>
  <c r="D10" i="13"/>
  <c r="E9" i="2"/>
  <c r="H12" i="16"/>
  <c r="E11" i="3"/>
  <c r="H12" i="13"/>
  <c r="D15" i="16"/>
  <c r="D15" i="13"/>
  <c r="E14" i="2"/>
  <c r="N14" i="2" s="1"/>
  <c r="C11" i="16"/>
  <c r="C11" i="13"/>
  <c r="C10" i="5"/>
  <c r="P10" i="5" s="1"/>
  <c r="C10" i="7"/>
  <c r="P10" i="7" s="1"/>
  <c r="C10" i="3"/>
  <c r="P10" i="3" s="1"/>
  <c r="C10" i="2"/>
  <c r="P10" i="2" s="1"/>
  <c r="C10" i="8"/>
  <c r="P10" i="8" s="1"/>
  <c r="C10" i="6"/>
  <c r="P10" i="6" s="1"/>
  <c r="C10" i="4"/>
  <c r="P10" i="4" s="1"/>
  <c r="F12" i="10"/>
  <c r="F7" i="10"/>
  <c r="F6" i="10"/>
  <c r="E5" i="10"/>
  <c r="E6" i="10"/>
  <c r="I8" i="10"/>
  <c r="I12" i="10"/>
  <c r="G8" i="10"/>
  <c r="G4" i="10"/>
  <c r="Q7" i="4"/>
  <c r="C42" i="4"/>
  <c r="C42" i="8"/>
  <c r="Q7" i="8"/>
  <c r="F8" i="16"/>
  <c r="E7" i="4"/>
  <c r="F7" i="4" s="1"/>
  <c r="F8" i="13"/>
  <c r="G13" i="17"/>
  <c r="E9" i="5"/>
  <c r="J10" i="13"/>
  <c r="E11" i="5"/>
  <c r="J12" i="13"/>
  <c r="D14" i="16"/>
  <c r="D14" i="13"/>
  <c r="E13" i="2"/>
  <c r="N13" i="2" s="1"/>
  <c r="E7" i="6"/>
  <c r="F7" i="6" s="1"/>
  <c r="L8" i="13"/>
  <c r="F9" i="16"/>
  <c r="E8" i="4"/>
  <c r="F9" i="13"/>
  <c r="H10" i="16"/>
  <c r="E9" i="3"/>
  <c r="N9" i="3" s="1"/>
  <c r="H10" i="13"/>
  <c r="E10" i="6"/>
  <c r="L11" i="13"/>
  <c r="F12" i="16"/>
  <c r="E11" i="4"/>
  <c r="F12" i="13"/>
  <c r="H13" i="16"/>
  <c r="E12" i="3"/>
  <c r="H13" i="13"/>
  <c r="E13" i="6"/>
  <c r="N13" i="6" s="1"/>
  <c r="L14" i="13"/>
  <c r="F15" i="16"/>
  <c r="E14" i="4"/>
  <c r="N14" i="4" s="1"/>
  <c r="F15" i="13"/>
  <c r="E14" i="7"/>
  <c r="N14" i="7" s="1"/>
  <c r="N15" i="13"/>
  <c r="E15" i="5"/>
  <c r="N15" i="5" s="1"/>
  <c r="J16" i="13"/>
  <c r="B16" i="1"/>
  <c r="A14" i="17"/>
  <c r="K14" i="17" s="1"/>
  <c r="C3" i="10"/>
  <c r="L6" i="6"/>
  <c r="D16" i="1"/>
  <c r="I16" i="1"/>
  <c r="L6" i="5"/>
  <c r="F16" i="1"/>
  <c r="C14" i="17"/>
  <c r="J16" i="1"/>
  <c r="H16" i="1"/>
  <c r="G14" i="17"/>
  <c r="D14" i="17"/>
  <c r="L6" i="4"/>
  <c r="B14" i="17"/>
  <c r="L6" i="7"/>
  <c r="G16" i="1"/>
  <c r="L6" i="3"/>
  <c r="F14" i="17"/>
  <c r="L6" i="2"/>
  <c r="E14" i="17"/>
  <c r="L6" i="8"/>
  <c r="E16" i="1"/>
  <c r="C12" i="16"/>
  <c r="C12" i="13"/>
  <c r="C11" i="2"/>
  <c r="C11" i="5"/>
  <c r="C11" i="4"/>
  <c r="C11" i="8"/>
  <c r="C11" i="6"/>
  <c r="C11" i="3"/>
  <c r="C11" i="7"/>
  <c r="C14" i="16"/>
  <c r="C14" i="13"/>
  <c r="C13" i="3"/>
  <c r="P13" i="3" s="1"/>
  <c r="C13" i="8"/>
  <c r="P13" i="8" s="1"/>
  <c r="C13" i="5"/>
  <c r="P13" i="5" s="1"/>
  <c r="C13" i="2"/>
  <c r="P13" i="2" s="1"/>
  <c r="C13" i="4"/>
  <c r="P13" i="4" s="1"/>
  <c r="C13" i="6"/>
  <c r="P13" i="6" s="1"/>
  <c r="C13" i="7"/>
  <c r="P13" i="7" s="1"/>
  <c r="H16" i="16"/>
  <c r="E15" i="3"/>
  <c r="N15" i="3" s="1"/>
  <c r="H16" i="13"/>
  <c r="F8" i="10"/>
  <c r="F5" i="10"/>
  <c r="E12" i="10"/>
  <c r="E7" i="10"/>
  <c r="I9" i="10"/>
  <c r="I6" i="10"/>
  <c r="G9" i="10"/>
  <c r="G5" i="10"/>
  <c r="G6" i="10"/>
  <c r="C42" i="5"/>
  <c r="Q7" i="5"/>
  <c r="Q7" i="3"/>
  <c r="C42" i="3"/>
  <c r="A8" i="17"/>
  <c r="K8" i="17" s="1"/>
  <c r="A7" i="17"/>
  <c r="K7" i="17" s="1"/>
  <c r="A12" i="17"/>
  <c r="K12" i="17" s="1"/>
  <c r="A10" i="17"/>
  <c r="K10" i="17" s="1"/>
  <c r="A9" i="17"/>
  <c r="K9" i="17" s="1"/>
  <c r="A11" i="17"/>
  <c r="K11" i="17" s="1"/>
  <c r="C17" i="13" l="1"/>
  <c r="J13" i="16"/>
  <c r="P13" i="13"/>
  <c r="E12" i="8"/>
  <c r="K9" i="10"/>
  <c r="J24" i="10" s="1"/>
  <c r="P11" i="13"/>
  <c r="J11" i="16"/>
  <c r="E10" i="8"/>
  <c r="N10" i="8" s="1"/>
  <c r="K7" i="10"/>
  <c r="J22" i="10" s="1"/>
  <c r="J16" i="16"/>
  <c r="E15" i="8"/>
  <c r="N15" i="8" s="1"/>
  <c r="P16" i="13"/>
  <c r="K12" i="10"/>
  <c r="J27" i="10" s="1"/>
  <c r="E8" i="8"/>
  <c r="P9" i="13"/>
  <c r="J9" i="16"/>
  <c r="K5" i="10"/>
  <c r="J20" i="10" s="1"/>
  <c r="J15" i="16"/>
  <c r="E14" i="8"/>
  <c r="N14" i="8" s="1"/>
  <c r="P15" i="13"/>
  <c r="K11" i="10"/>
  <c r="J26" i="10" s="1"/>
  <c r="E11" i="8"/>
  <c r="P12" i="13"/>
  <c r="J12" i="16"/>
  <c r="K8" i="10"/>
  <c r="J23" i="10" s="1"/>
  <c r="J14" i="16"/>
  <c r="P14" i="13"/>
  <c r="E13" i="8"/>
  <c r="N13" i="8" s="1"/>
  <c r="K10" i="10"/>
  <c r="J25" i="10" s="1"/>
  <c r="J10" i="16"/>
  <c r="E9" i="8"/>
  <c r="N9" i="8" s="1"/>
  <c r="P10" i="13"/>
  <c r="K6" i="10"/>
  <c r="J21" i="10" s="1"/>
  <c r="J8" i="16"/>
  <c r="E7" i="8"/>
  <c r="P8" i="13"/>
  <c r="K4" i="10"/>
  <c r="J19" i="10" s="1"/>
  <c r="R7" i="2"/>
  <c r="S7" i="2" s="1"/>
  <c r="E7" i="17"/>
  <c r="E49" i="2"/>
  <c r="C55" i="2" s="1"/>
  <c r="L14" i="17"/>
  <c r="E42" i="5"/>
  <c r="C48" i="5"/>
  <c r="D7" i="17"/>
  <c r="C45" i="6"/>
  <c r="P11" i="6"/>
  <c r="P11" i="2"/>
  <c r="C45" i="2"/>
  <c r="Q17" i="13"/>
  <c r="K17" i="16"/>
  <c r="O17" i="13"/>
  <c r="H16" i="9"/>
  <c r="I28" i="10" s="1"/>
  <c r="C8" i="17"/>
  <c r="N12" i="3"/>
  <c r="D46" i="3"/>
  <c r="D45" i="4"/>
  <c r="N11" i="4"/>
  <c r="N10" i="6"/>
  <c r="C12" i="17"/>
  <c r="F13" i="17"/>
  <c r="D45" i="5"/>
  <c r="N11" i="5"/>
  <c r="C13" i="17"/>
  <c r="B8" i="17"/>
  <c r="D10" i="17"/>
  <c r="N9" i="2"/>
  <c r="N12" i="7"/>
  <c r="D46" i="7"/>
  <c r="B10" i="17"/>
  <c r="D11" i="17"/>
  <c r="P8" i="4"/>
  <c r="C44" i="4"/>
  <c r="P8" i="6"/>
  <c r="C44" i="6"/>
  <c r="N7" i="5"/>
  <c r="D43" i="5"/>
  <c r="E43" i="5" s="1"/>
  <c r="F7" i="5"/>
  <c r="O7" i="5"/>
  <c r="D44" i="3"/>
  <c r="N8" i="3"/>
  <c r="G11" i="17"/>
  <c r="D20" i="10"/>
  <c r="C20" i="10"/>
  <c r="G20" i="10"/>
  <c r="F20" i="10"/>
  <c r="I20" i="10"/>
  <c r="H20" i="10"/>
  <c r="E20" i="10"/>
  <c r="G27" i="10"/>
  <c r="C27" i="10"/>
  <c r="H27" i="10"/>
  <c r="I27" i="10"/>
  <c r="E27" i="10"/>
  <c r="D27" i="10"/>
  <c r="F27" i="10"/>
  <c r="C48" i="6"/>
  <c r="E42" i="6"/>
  <c r="C7" i="17"/>
  <c r="G12" i="17"/>
  <c r="E8" i="17"/>
  <c r="D46" i="6"/>
  <c r="N12" i="6"/>
  <c r="C11" i="17"/>
  <c r="E42" i="2"/>
  <c r="C48" i="2"/>
  <c r="P12" i="3"/>
  <c r="C46" i="3"/>
  <c r="C46" i="8"/>
  <c r="P12" i="8"/>
  <c r="B11" i="17"/>
  <c r="L7" i="17"/>
  <c r="L12" i="17"/>
  <c r="I10" i="17"/>
  <c r="P11" i="8"/>
  <c r="C45" i="8"/>
  <c r="K17" i="13"/>
  <c r="F16" i="9"/>
  <c r="G28" i="10" s="1"/>
  <c r="H14" i="17"/>
  <c r="E17" i="13"/>
  <c r="E17" i="16"/>
  <c r="C16" i="9"/>
  <c r="D28" i="10" s="1"/>
  <c r="G8" i="17"/>
  <c r="C48" i="8"/>
  <c r="E42" i="8"/>
  <c r="C9" i="17"/>
  <c r="G10" i="17"/>
  <c r="N11" i="2"/>
  <c r="D45" i="2"/>
  <c r="N9" i="7"/>
  <c r="I12" i="17"/>
  <c r="C44" i="3"/>
  <c r="P8" i="3"/>
  <c r="D8" i="17"/>
  <c r="E9" i="17"/>
  <c r="N8" i="6"/>
  <c r="D44" i="6"/>
  <c r="I25" i="10"/>
  <c r="E25" i="10"/>
  <c r="C25" i="10"/>
  <c r="D25" i="10"/>
  <c r="H25" i="10"/>
  <c r="G25" i="10"/>
  <c r="F25" i="10"/>
  <c r="F24" i="10"/>
  <c r="C24" i="10"/>
  <c r="E24" i="10"/>
  <c r="G24" i="10"/>
  <c r="D24" i="10"/>
  <c r="H24" i="10"/>
  <c r="I24" i="10"/>
  <c r="E11" i="17"/>
  <c r="B9" i="17"/>
  <c r="F10" i="17"/>
  <c r="N9" i="6"/>
  <c r="D43" i="3"/>
  <c r="E43" i="3" s="1"/>
  <c r="N7" i="3"/>
  <c r="O7" i="3"/>
  <c r="E12" i="17"/>
  <c r="C46" i="7"/>
  <c r="P12" i="7"/>
  <c r="C46" i="4"/>
  <c r="P12" i="4"/>
  <c r="N10" i="2"/>
  <c r="L9" i="17"/>
  <c r="L10" i="17"/>
  <c r="E42" i="3"/>
  <c r="C48" i="3"/>
  <c r="C10" i="17"/>
  <c r="F11" i="17"/>
  <c r="N7" i="6"/>
  <c r="D43" i="6"/>
  <c r="E43" i="6" s="1"/>
  <c r="O7" i="6"/>
  <c r="N9" i="5"/>
  <c r="E42" i="4"/>
  <c r="C48" i="4"/>
  <c r="I11" i="17"/>
  <c r="D45" i="3"/>
  <c r="N11" i="3"/>
  <c r="I8" i="17"/>
  <c r="G9" i="17"/>
  <c r="N10" i="3"/>
  <c r="N9" i="4"/>
  <c r="P8" i="5"/>
  <c r="C44" i="5"/>
  <c r="C44" i="2"/>
  <c r="P8" i="2"/>
  <c r="E42" i="7"/>
  <c r="C48" i="7"/>
  <c r="B12" i="17"/>
  <c r="D12" i="17"/>
  <c r="F7" i="17"/>
  <c r="N10" i="7"/>
  <c r="D19" i="10"/>
  <c r="I19" i="10"/>
  <c r="G19" i="10"/>
  <c r="F19" i="10"/>
  <c r="C19" i="10"/>
  <c r="E19" i="10"/>
  <c r="H19" i="10"/>
  <c r="C23" i="10"/>
  <c r="G23" i="10"/>
  <c r="F23" i="10"/>
  <c r="E23" i="10"/>
  <c r="D23" i="10"/>
  <c r="H23" i="10"/>
  <c r="I23" i="10"/>
  <c r="G21" i="10"/>
  <c r="E21" i="10"/>
  <c r="I21" i="10"/>
  <c r="F21" i="10"/>
  <c r="C21" i="10"/>
  <c r="D21" i="10"/>
  <c r="H21" i="10"/>
  <c r="N8" i="7"/>
  <c r="D44" i="7"/>
  <c r="I7" i="17"/>
  <c r="F9" i="17"/>
  <c r="D46" i="2"/>
  <c r="N12" i="2"/>
  <c r="N10" i="4"/>
  <c r="I9" i="17"/>
  <c r="C46" i="2"/>
  <c r="P12" i="2"/>
  <c r="N7" i="7"/>
  <c r="D43" i="7"/>
  <c r="E43" i="7" s="1"/>
  <c r="O7" i="7"/>
  <c r="L8" i="17"/>
  <c r="L11" i="17"/>
  <c r="P11" i="7"/>
  <c r="C45" i="7"/>
  <c r="C45" i="4"/>
  <c r="E45" i="4" s="1"/>
  <c r="P11" i="4"/>
  <c r="I17" i="13"/>
  <c r="I17" i="16"/>
  <c r="E16" i="9"/>
  <c r="F28" i="10" s="1"/>
  <c r="D9" i="17"/>
  <c r="N8" i="4"/>
  <c r="D44" i="4"/>
  <c r="E10" i="17"/>
  <c r="D43" i="4"/>
  <c r="E43" i="4" s="1"/>
  <c r="N7" i="4"/>
  <c r="O7" i="4"/>
  <c r="C45" i="3"/>
  <c r="P11" i="3"/>
  <c r="C45" i="5"/>
  <c r="P11" i="5"/>
  <c r="G17" i="13"/>
  <c r="G17" i="16"/>
  <c r="D16" i="9"/>
  <c r="E28" i="10" s="1"/>
  <c r="M17" i="13"/>
  <c r="G16" i="9"/>
  <c r="H28" i="10" s="1"/>
  <c r="C10" i="10"/>
  <c r="C4" i="10"/>
  <c r="C11" i="10"/>
  <c r="C8" i="10"/>
  <c r="C7" i="10"/>
  <c r="C6" i="10"/>
  <c r="C5" i="10"/>
  <c r="C9" i="10"/>
  <c r="C12" i="10"/>
  <c r="A13" i="17"/>
  <c r="K13" i="17" s="1"/>
  <c r="B13" i="17"/>
  <c r="I13" i="17"/>
  <c r="B7" i="17"/>
  <c r="F8" i="17"/>
  <c r="D46" i="4"/>
  <c r="N12" i="4"/>
  <c r="D45" i="7"/>
  <c r="N11" i="7"/>
  <c r="P8" i="7"/>
  <c r="C44" i="7"/>
  <c r="C44" i="8"/>
  <c r="P8" i="8"/>
  <c r="E13" i="17"/>
  <c r="D44" i="2"/>
  <c r="N8" i="2"/>
  <c r="D46" i="5"/>
  <c r="N12" i="5"/>
  <c r="F12" i="17"/>
  <c r="F26" i="10"/>
  <c r="D26" i="10"/>
  <c r="I26" i="10"/>
  <c r="H26" i="10"/>
  <c r="E26" i="10"/>
  <c r="G26" i="10"/>
  <c r="C26" i="10"/>
  <c r="C22" i="10"/>
  <c r="D22" i="10"/>
  <c r="F22" i="10"/>
  <c r="E22" i="10"/>
  <c r="H22" i="10"/>
  <c r="I22" i="10"/>
  <c r="G22" i="10"/>
  <c r="N10" i="5"/>
  <c r="G7" i="17"/>
  <c r="D45" i="6"/>
  <c r="N11" i="6"/>
  <c r="D13" i="17"/>
  <c r="D44" i="5"/>
  <c r="N8" i="5"/>
  <c r="P12" i="5"/>
  <c r="C46" i="5"/>
  <c r="C46" i="6"/>
  <c r="P12" i="6"/>
  <c r="L13" i="17"/>
  <c r="T7" i="2"/>
  <c r="U7" i="2" l="1"/>
  <c r="J7" i="2" s="1"/>
  <c r="M7" i="2" s="1"/>
  <c r="E45" i="5"/>
  <c r="E44" i="3"/>
  <c r="D50" i="3" s="1"/>
  <c r="E46" i="3"/>
  <c r="L52" i="3" s="1"/>
  <c r="E46" i="7"/>
  <c r="L52" i="7" s="1"/>
  <c r="E46" i="6"/>
  <c r="L52" i="6" s="1"/>
  <c r="E45" i="3"/>
  <c r="C51" i="3" s="1"/>
  <c r="E46" i="5"/>
  <c r="B52" i="5" s="1"/>
  <c r="D46" i="8"/>
  <c r="E46" i="8" s="1"/>
  <c r="N12" i="8"/>
  <c r="O25" i="8" s="1"/>
  <c r="F7" i="8"/>
  <c r="O7" i="8"/>
  <c r="N7" i="8"/>
  <c r="D43" i="8"/>
  <c r="E43" i="8" s="1"/>
  <c r="N11" i="8"/>
  <c r="D45" i="8"/>
  <c r="E45" i="8" s="1"/>
  <c r="N8" i="8"/>
  <c r="D44" i="8"/>
  <c r="E44" i="8" s="1"/>
  <c r="L55" i="2"/>
  <c r="B55" i="2"/>
  <c r="D55" i="2"/>
  <c r="E55" i="2" s="1"/>
  <c r="H9" i="17"/>
  <c r="H13" i="17"/>
  <c r="E45" i="7"/>
  <c r="E46" i="2"/>
  <c r="O25" i="2"/>
  <c r="E44" i="7"/>
  <c r="E46" i="4"/>
  <c r="T7" i="3"/>
  <c r="R7" i="3"/>
  <c r="S7" i="3" s="1"/>
  <c r="K7" i="3"/>
  <c r="C54" i="2"/>
  <c r="E48" i="2"/>
  <c r="R7" i="5"/>
  <c r="S7" i="5" s="1"/>
  <c r="E44" i="6"/>
  <c r="H11" i="17"/>
  <c r="E45" i="6"/>
  <c r="L51" i="5"/>
  <c r="B51" i="5"/>
  <c r="C51" i="5"/>
  <c r="D51" i="5"/>
  <c r="R7" i="4"/>
  <c r="S7" i="4" s="1"/>
  <c r="K7" i="4"/>
  <c r="T7" i="4"/>
  <c r="D49" i="7"/>
  <c r="B49" i="7"/>
  <c r="L49" i="7"/>
  <c r="C49" i="7"/>
  <c r="H12" i="17"/>
  <c r="E48" i="4"/>
  <c r="C54" i="4"/>
  <c r="C54" i="3"/>
  <c r="E48" i="3"/>
  <c r="L49" i="3"/>
  <c r="B49" i="3"/>
  <c r="C49" i="3"/>
  <c r="D49" i="3"/>
  <c r="B50" i="3"/>
  <c r="L50" i="3"/>
  <c r="H10" i="17"/>
  <c r="E45" i="2"/>
  <c r="H7" i="17"/>
  <c r="O25" i="4"/>
  <c r="B49" i="4"/>
  <c r="D49" i="4"/>
  <c r="C49" i="4"/>
  <c r="L49" i="4"/>
  <c r="R7" i="7"/>
  <c r="S7" i="7" s="1"/>
  <c r="U7" i="7" s="1"/>
  <c r="J7" i="7" s="1"/>
  <c r="K7" i="7"/>
  <c r="T7" i="7"/>
  <c r="E44" i="2"/>
  <c r="D49" i="6"/>
  <c r="L49" i="6"/>
  <c r="C49" i="6"/>
  <c r="B49" i="6"/>
  <c r="D52" i="3"/>
  <c r="D49" i="5"/>
  <c r="B49" i="5"/>
  <c r="L49" i="5"/>
  <c r="C49" i="5"/>
  <c r="E44" i="4"/>
  <c r="E48" i="5"/>
  <c r="C54" i="5"/>
  <c r="D52" i="6"/>
  <c r="O25" i="5"/>
  <c r="C51" i="4"/>
  <c r="B51" i="4"/>
  <c r="L51" i="4"/>
  <c r="D51" i="4"/>
  <c r="E48" i="7"/>
  <c r="C54" i="7"/>
  <c r="E44" i="5"/>
  <c r="T7" i="6"/>
  <c r="K7" i="6"/>
  <c r="R7" i="6"/>
  <c r="S7" i="6" s="1"/>
  <c r="H8" i="17"/>
  <c r="C54" i="8"/>
  <c r="E48" i="8"/>
  <c r="O25" i="6"/>
  <c r="E48" i="6"/>
  <c r="C54" i="6"/>
  <c r="T7" i="5"/>
  <c r="K7" i="5"/>
  <c r="O25" i="7"/>
  <c r="O25" i="3"/>
  <c r="B52" i="6" l="1"/>
  <c r="C52" i="6"/>
  <c r="C52" i="3"/>
  <c r="B52" i="7"/>
  <c r="C50" i="3"/>
  <c r="E50" i="3" s="1"/>
  <c r="L7" i="2"/>
  <c r="L7" i="9" s="1"/>
  <c r="D52" i="7"/>
  <c r="B52" i="3"/>
  <c r="C52" i="7"/>
  <c r="U7" i="5"/>
  <c r="J7" i="5" s="1"/>
  <c r="M7" i="5" s="1"/>
  <c r="G7" i="5" s="1"/>
  <c r="D52" i="5"/>
  <c r="L52" i="5"/>
  <c r="C52" i="5"/>
  <c r="B51" i="3"/>
  <c r="L51" i="3"/>
  <c r="D51" i="3"/>
  <c r="E51" i="3" s="1"/>
  <c r="C52" i="8"/>
  <c r="D52" i="8"/>
  <c r="B52" i="8"/>
  <c r="L52" i="8"/>
  <c r="D51" i="8"/>
  <c r="C51" i="8"/>
  <c r="B51" i="8"/>
  <c r="L51" i="8"/>
  <c r="L50" i="8"/>
  <c r="B50" i="8"/>
  <c r="C50" i="8"/>
  <c r="D50" i="8"/>
  <c r="C49" i="8"/>
  <c r="B49" i="8"/>
  <c r="D49" i="8"/>
  <c r="L49" i="8"/>
  <c r="T7" i="8"/>
  <c r="R7" i="8"/>
  <c r="S7" i="8" s="1"/>
  <c r="K7" i="8"/>
  <c r="U7" i="6"/>
  <c r="J7" i="6" s="1"/>
  <c r="L7" i="6" s="1"/>
  <c r="E49" i="5"/>
  <c r="B55" i="5" s="1"/>
  <c r="E49" i="4"/>
  <c r="L55" i="4" s="1"/>
  <c r="E49" i="6"/>
  <c r="L55" i="6" s="1"/>
  <c r="E49" i="3"/>
  <c r="L55" i="3" s="1"/>
  <c r="E49" i="7"/>
  <c r="D55" i="7" s="1"/>
  <c r="E52" i="3"/>
  <c r="U7" i="3"/>
  <c r="J7" i="3" s="1"/>
  <c r="M7" i="3" s="1"/>
  <c r="E51" i="5"/>
  <c r="B57" i="5" s="1"/>
  <c r="C60" i="6"/>
  <c r="E54" i="6"/>
  <c r="E51" i="4"/>
  <c r="E52" i="6"/>
  <c r="D50" i="4"/>
  <c r="C50" i="4"/>
  <c r="B50" i="4"/>
  <c r="L50" i="4"/>
  <c r="M7" i="7"/>
  <c r="G7" i="7" s="1"/>
  <c r="L7" i="7"/>
  <c r="L51" i="2"/>
  <c r="B51" i="2"/>
  <c r="D51" i="2"/>
  <c r="C51" i="2"/>
  <c r="D50" i="7"/>
  <c r="C50" i="7"/>
  <c r="L50" i="7"/>
  <c r="B50" i="7"/>
  <c r="L50" i="5"/>
  <c r="C50" i="5"/>
  <c r="B50" i="5"/>
  <c r="D50" i="5"/>
  <c r="B50" i="2"/>
  <c r="L50" i="2"/>
  <c r="C50" i="2"/>
  <c r="D50" i="2"/>
  <c r="C60" i="3"/>
  <c r="E54" i="3"/>
  <c r="U7" i="4"/>
  <c r="J7" i="4" s="1"/>
  <c r="E54" i="2"/>
  <c r="C60" i="2"/>
  <c r="B61" i="2"/>
  <c r="L61" i="2"/>
  <c r="D61" i="2"/>
  <c r="C61" i="2"/>
  <c r="E54" i="7"/>
  <c r="C60" i="7"/>
  <c r="C60" i="4"/>
  <c r="E54" i="4"/>
  <c r="L51" i="6"/>
  <c r="B51" i="6"/>
  <c r="C51" i="6"/>
  <c r="D51" i="6"/>
  <c r="B50" i="6"/>
  <c r="C50" i="6"/>
  <c r="L50" i="6"/>
  <c r="D50" i="6"/>
  <c r="B52" i="2"/>
  <c r="D52" i="2"/>
  <c r="C52" i="2"/>
  <c r="L52" i="2"/>
  <c r="N8" i="16"/>
  <c r="T8" i="13"/>
  <c r="E54" i="8"/>
  <c r="C60" i="8"/>
  <c r="C60" i="5"/>
  <c r="E54" i="5"/>
  <c r="B52" i="4"/>
  <c r="D52" i="4"/>
  <c r="L52" i="4"/>
  <c r="C52" i="4"/>
  <c r="L51" i="7"/>
  <c r="D51" i="7"/>
  <c r="C51" i="7"/>
  <c r="B51" i="7"/>
  <c r="L7" i="5" l="1"/>
  <c r="E52" i="5"/>
  <c r="D58" i="5" s="1"/>
  <c r="E52" i="7"/>
  <c r="E51" i="8"/>
  <c r="C57" i="8" s="1"/>
  <c r="B58" i="3"/>
  <c r="L58" i="3"/>
  <c r="B58" i="7"/>
  <c r="L58" i="7"/>
  <c r="D58" i="7"/>
  <c r="C58" i="7"/>
  <c r="D58" i="3"/>
  <c r="D57" i="3"/>
  <c r="C57" i="3"/>
  <c r="L57" i="3"/>
  <c r="B57" i="3"/>
  <c r="E52" i="8"/>
  <c r="C58" i="8" s="1"/>
  <c r="D55" i="3"/>
  <c r="D55" i="5"/>
  <c r="M7" i="6"/>
  <c r="G7" i="6" s="1"/>
  <c r="G7" i="9" s="1"/>
  <c r="E50" i="8"/>
  <c r="D56" i="8" s="1"/>
  <c r="U7" i="8"/>
  <c r="J7" i="8" s="1"/>
  <c r="M7" i="8" s="1"/>
  <c r="E49" i="8"/>
  <c r="B55" i="6"/>
  <c r="L7" i="3"/>
  <c r="N7" i="9" s="1"/>
  <c r="D55" i="4"/>
  <c r="C55" i="7"/>
  <c r="E55" i="7" s="1"/>
  <c r="D61" i="7" s="1"/>
  <c r="B55" i="4"/>
  <c r="C55" i="5"/>
  <c r="C55" i="4"/>
  <c r="L55" i="5"/>
  <c r="C58" i="3"/>
  <c r="D55" i="6"/>
  <c r="C55" i="6"/>
  <c r="L57" i="5"/>
  <c r="E52" i="4"/>
  <c r="B58" i="4" s="1"/>
  <c r="C58" i="5"/>
  <c r="E58" i="5" s="1"/>
  <c r="L58" i="5"/>
  <c r="C55" i="3"/>
  <c r="B58" i="5"/>
  <c r="B55" i="3"/>
  <c r="C57" i="5"/>
  <c r="L55" i="7"/>
  <c r="D57" i="5"/>
  <c r="B55" i="7"/>
  <c r="E51" i="7"/>
  <c r="B57" i="7" s="1"/>
  <c r="E50" i="7"/>
  <c r="B56" i="7" s="1"/>
  <c r="Q8" i="16"/>
  <c r="O7" i="9"/>
  <c r="W8" i="13"/>
  <c r="E52" i="2"/>
  <c r="E51" i="6"/>
  <c r="C66" i="4"/>
  <c r="E60" i="4"/>
  <c r="E61" i="2"/>
  <c r="M7" i="4"/>
  <c r="L7" i="4"/>
  <c r="E50" i="2"/>
  <c r="E51" i="2"/>
  <c r="Q7" i="9"/>
  <c r="Y8" i="13"/>
  <c r="S8" i="16"/>
  <c r="E50" i="4"/>
  <c r="E60" i="5"/>
  <c r="C66" i="5"/>
  <c r="E50" i="6"/>
  <c r="D57" i="8"/>
  <c r="L57" i="8"/>
  <c r="B57" i="8"/>
  <c r="E50" i="5"/>
  <c r="H7" i="9"/>
  <c r="O8" i="13"/>
  <c r="E60" i="6"/>
  <c r="C66" i="6"/>
  <c r="K8" i="13"/>
  <c r="F7" i="9"/>
  <c r="C66" i="8"/>
  <c r="E60" i="8"/>
  <c r="C66" i="7"/>
  <c r="E60" i="7"/>
  <c r="E60" i="2"/>
  <c r="C66" i="2"/>
  <c r="C66" i="3"/>
  <c r="E60" i="3"/>
  <c r="C58" i="6"/>
  <c r="L58" i="6"/>
  <c r="D58" i="6"/>
  <c r="B58" i="6"/>
  <c r="C56" i="3"/>
  <c r="B56" i="3"/>
  <c r="L56" i="3"/>
  <c r="D56" i="3"/>
  <c r="D57" i="4"/>
  <c r="B57" i="4"/>
  <c r="C57" i="4"/>
  <c r="L57" i="4"/>
  <c r="R8" i="16"/>
  <c r="P7" i="9"/>
  <c r="X8" i="13"/>
  <c r="E58" i="7" l="1"/>
  <c r="E58" i="3"/>
  <c r="D64" i="3" s="1"/>
  <c r="E55" i="4"/>
  <c r="L61" i="4" s="1"/>
  <c r="B56" i="8"/>
  <c r="E55" i="5"/>
  <c r="D61" i="5" s="1"/>
  <c r="E57" i="3"/>
  <c r="D63" i="3" s="1"/>
  <c r="M8" i="13"/>
  <c r="P8" i="16"/>
  <c r="V8" i="13"/>
  <c r="D58" i="8"/>
  <c r="E58" i="8" s="1"/>
  <c r="B58" i="8"/>
  <c r="L57" i="7"/>
  <c r="L64" i="7" s="1"/>
  <c r="L58" i="4"/>
  <c r="L58" i="8"/>
  <c r="E55" i="3"/>
  <c r="L61" i="3" s="1"/>
  <c r="C57" i="7"/>
  <c r="D58" i="4"/>
  <c r="C56" i="8"/>
  <c r="E56" i="8" s="1"/>
  <c r="C62" i="8" s="1"/>
  <c r="L7" i="8"/>
  <c r="Z8" i="13" s="1"/>
  <c r="L56" i="8"/>
  <c r="D55" i="8"/>
  <c r="B55" i="8"/>
  <c r="C55" i="8"/>
  <c r="L55" i="8"/>
  <c r="D57" i="7"/>
  <c r="D64" i="7" s="1"/>
  <c r="C56" i="7"/>
  <c r="D56" i="7"/>
  <c r="E55" i="6"/>
  <c r="L61" i="6" s="1"/>
  <c r="L56" i="7"/>
  <c r="C58" i="4"/>
  <c r="L61" i="7"/>
  <c r="B64" i="7"/>
  <c r="B61" i="7"/>
  <c r="C61" i="7"/>
  <c r="E61" i="7" s="1"/>
  <c r="E57" i="5"/>
  <c r="B63" i="5" s="1"/>
  <c r="E57" i="4"/>
  <c r="C64" i="7"/>
  <c r="E56" i="3"/>
  <c r="B62" i="3" s="1"/>
  <c r="E66" i="3"/>
  <c r="D7" i="3"/>
  <c r="G7" i="3" s="1"/>
  <c r="E66" i="2"/>
  <c r="D7" i="2"/>
  <c r="G7" i="2" s="1"/>
  <c r="C56" i="4"/>
  <c r="D56" i="4"/>
  <c r="B56" i="4"/>
  <c r="L56" i="4"/>
  <c r="L57" i="2"/>
  <c r="D57" i="2"/>
  <c r="C57" i="2"/>
  <c r="B57" i="2"/>
  <c r="L64" i="5"/>
  <c r="D64" i="5"/>
  <c r="C64" i="5"/>
  <c r="B64" i="5"/>
  <c r="E58" i="6"/>
  <c r="E66" i="8"/>
  <c r="D7" i="8"/>
  <c r="G7" i="8" s="1"/>
  <c r="E57" i="8"/>
  <c r="D7" i="5"/>
  <c r="E66" i="5"/>
  <c r="C67" i="2"/>
  <c r="D8" i="2" s="1"/>
  <c r="D67" i="2"/>
  <c r="B67" i="2"/>
  <c r="L67" i="2"/>
  <c r="D7" i="4"/>
  <c r="G7" i="4" s="1"/>
  <c r="E66" i="4"/>
  <c r="E66" i="7"/>
  <c r="D7" i="7"/>
  <c r="C56" i="2"/>
  <c r="L56" i="2"/>
  <c r="B56" i="2"/>
  <c r="D56" i="2"/>
  <c r="L57" i="6"/>
  <c r="D57" i="6"/>
  <c r="B57" i="6"/>
  <c r="C57" i="6"/>
  <c r="D7" i="6"/>
  <c r="E66" i="6"/>
  <c r="L56" i="5"/>
  <c r="C56" i="5"/>
  <c r="B56" i="5"/>
  <c r="D56" i="5"/>
  <c r="D61" i="4"/>
  <c r="C61" i="4"/>
  <c r="D58" i="2"/>
  <c r="L58" i="2"/>
  <c r="C58" i="2"/>
  <c r="B58" i="2"/>
  <c r="C56" i="6"/>
  <c r="L56" i="6"/>
  <c r="B56" i="6"/>
  <c r="D56" i="6"/>
  <c r="O8" i="16"/>
  <c r="U8" i="13"/>
  <c r="M7" i="9"/>
  <c r="L64" i="3" l="1"/>
  <c r="B64" i="3"/>
  <c r="C64" i="3"/>
  <c r="B61" i="4"/>
  <c r="L64" i="8"/>
  <c r="B61" i="3"/>
  <c r="C61" i="5"/>
  <c r="E61" i="5" s="1"/>
  <c r="D67" i="5" s="1"/>
  <c r="D61" i="3"/>
  <c r="B61" i="5"/>
  <c r="L61" i="5"/>
  <c r="C61" i="6"/>
  <c r="B63" i="3"/>
  <c r="B61" i="6"/>
  <c r="C63" i="3"/>
  <c r="E63" i="3" s="1"/>
  <c r="D69" i="3" s="1"/>
  <c r="D61" i="6"/>
  <c r="L63" i="3"/>
  <c r="C61" i="3"/>
  <c r="T8" i="16"/>
  <c r="B64" i="8"/>
  <c r="C64" i="8"/>
  <c r="D64" i="8"/>
  <c r="E58" i="4"/>
  <c r="D64" i="4" s="1"/>
  <c r="L62" i="8"/>
  <c r="D62" i="8"/>
  <c r="E62" i="8" s="1"/>
  <c r="D68" i="8" s="1"/>
  <c r="B62" i="8"/>
  <c r="L63" i="4"/>
  <c r="E56" i="7"/>
  <c r="D62" i="7" s="1"/>
  <c r="L63" i="5"/>
  <c r="R7" i="9"/>
  <c r="E64" i="7"/>
  <c r="E55" i="8"/>
  <c r="D61" i="8" s="1"/>
  <c r="E57" i="7"/>
  <c r="C63" i="7" s="1"/>
  <c r="B67" i="7"/>
  <c r="M67" i="7" s="1"/>
  <c r="C63" i="4"/>
  <c r="D63" i="4"/>
  <c r="B63" i="4"/>
  <c r="C63" i="5"/>
  <c r="D63" i="5"/>
  <c r="D62" i="3"/>
  <c r="C67" i="7"/>
  <c r="D8" i="7" s="1"/>
  <c r="L67" i="7"/>
  <c r="D67" i="7"/>
  <c r="F8" i="7" s="1"/>
  <c r="C62" i="3"/>
  <c r="L62" i="3"/>
  <c r="E61" i="4"/>
  <c r="L67" i="4" s="1"/>
  <c r="E64" i="3"/>
  <c r="B70" i="3" s="1"/>
  <c r="E56" i="4"/>
  <c r="L62" i="4" s="1"/>
  <c r="E56" i="6"/>
  <c r="B62" i="6" s="1"/>
  <c r="E58" i="2"/>
  <c r="B64" i="2" s="1"/>
  <c r="E67" i="2"/>
  <c r="O8" i="2"/>
  <c r="F8" i="2"/>
  <c r="L63" i="8"/>
  <c r="C63" i="8"/>
  <c r="B63" i="8"/>
  <c r="D63" i="8"/>
  <c r="G8" i="16"/>
  <c r="D7" i="9"/>
  <c r="G8" i="13"/>
  <c r="K8" i="16"/>
  <c r="I7" i="9"/>
  <c r="Q8" i="13"/>
  <c r="E8" i="16"/>
  <c r="E8" i="13"/>
  <c r="C7" i="9"/>
  <c r="E57" i="6"/>
  <c r="E56" i="2"/>
  <c r="Q8" i="2"/>
  <c r="E64" i="5"/>
  <c r="L70" i="5" s="1"/>
  <c r="E57" i="2"/>
  <c r="F28" i="2"/>
  <c r="M67" i="2"/>
  <c r="B64" i="6"/>
  <c r="L64" i="6"/>
  <c r="C64" i="6"/>
  <c r="D64" i="6"/>
  <c r="I8" i="16"/>
  <c r="I8" i="13"/>
  <c r="E7" i="9"/>
  <c r="E56" i="5"/>
  <c r="E61" i="6" l="1"/>
  <c r="C67" i="6" s="1"/>
  <c r="E61" i="3"/>
  <c r="D67" i="3" s="1"/>
  <c r="F8" i="3" s="1"/>
  <c r="C64" i="4"/>
  <c r="E64" i="4" s="1"/>
  <c r="L64" i="4"/>
  <c r="B64" i="4"/>
  <c r="B67" i="5"/>
  <c r="F28" i="5" s="1"/>
  <c r="C67" i="5"/>
  <c r="D8" i="5" s="1"/>
  <c r="B67" i="3"/>
  <c r="F28" i="3" s="1"/>
  <c r="L67" i="5"/>
  <c r="O8" i="5" s="1"/>
  <c r="D62" i="4"/>
  <c r="L67" i="6"/>
  <c r="Q8" i="6" s="1"/>
  <c r="B62" i="4"/>
  <c r="E64" i="8"/>
  <c r="L70" i="8" s="1"/>
  <c r="L62" i="7"/>
  <c r="C62" i="7"/>
  <c r="E62" i="7" s="1"/>
  <c r="C64" i="2"/>
  <c r="E62" i="3"/>
  <c r="B68" i="3" s="1"/>
  <c r="L61" i="8"/>
  <c r="F28" i="7"/>
  <c r="L68" i="8"/>
  <c r="O11" i="8" s="1"/>
  <c r="E63" i="4"/>
  <c r="B69" i="4" s="1"/>
  <c r="M69" i="4" s="1"/>
  <c r="B62" i="7"/>
  <c r="B61" i="8"/>
  <c r="B63" i="7"/>
  <c r="B70" i="7"/>
  <c r="F33" i="7" s="1"/>
  <c r="C61" i="8"/>
  <c r="E61" i="8" s="1"/>
  <c r="B69" i="3"/>
  <c r="M69" i="3" s="1"/>
  <c r="D63" i="7"/>
  <c r="E63" i="7" s="1"/>
  <c r="L63" i="7"/>
  <c r="L70" i="7" s="1"/>
  <c r="C70" i="7"/>
  <c r="L64" i="2"/>
  <c r="L70" i="3"/>
  <c r="C69" i="3"/>
  <c r="D12" i="3" s="1"/>
  <c r="E63" i="5"/>
  <c r="L69" i="5" s="1"/>
  <c r="Q8" i="7"/>
  <c r="D64" i="2"/>
  <c r="L69" i="3"/>
  <c r="O12" i="3" s="1"/>
  <c r="B68" i="8"/>
  <c r="F30" i="8" s="1"/>
  <c r="D67" i="6"/>
  <c r="E67" i="6" s="1"/>
  <c r="B67" i="6"/>
  <c r="M67" i="6" s="1"/>
  <c r="D70" i="3"/>
  <c r="B70" i="5"/>
  <c r="F33" i="5" s="1"/>
  <c r="O8" i="7"/>
  <c r="C68" i="8"/>
  <c r="C62" i="4"/>
  <c r="C70" i="3"/>
  <c r="D13" i="3" s="1"/>
  <c r="E67" i="7"/>
  <c r="D62" i="6"/>
  <c r="D67" i="4"/>
  <c r="C67" i="4"/>
  <c r="Q8" i="4" s="1"/>
  <c r="B67" i="4"/>
  <c r="M67" i="4" s="1"/>
  <c r="C62" i="6"/>
  <c r="L62" i="6"/>
  <c r="C63" i="6"/>
  <c r="L63" i="6"/>
  <c r="D63" i="6"/>
  <c r="B63" i="6"/>
  <c r="C62" i="5"/>
  <c r="B62" i="5"/>
  <c r="L62" i="5"/>
  <c r="D62" i="5"/>
  <c r="F8" i="5"/>
  <c r="F10" i="8"/>
  <c r="F9" i="8"/>
  <c r="F11" i="8"/>
  <c r="C62" i="2"/>
  <c r="L62" i="2"/>
  <c r="B62" i="2"/>
  <c r="D62" i="2"/>
  <c r="F15" i="3"/>
  <c r="F12" i="3"/>
  <c r="E63" i="8"/>
  <c r="D8" i="6"/>
  <c r="E64" i="6"/>
  <c r="C63" i="2"/>
  <c r="L63" i="2"/>
  <c r="B63" i="2"/>
  <c r="D63" i="2"/>
  <c r="D70" i="5"/>
  <c r="C70" i="5"/>
  <c r="M70" i="3"/>
  <c r="F33" i="3"/>
  <c r="F34" i="3"/>
  <c r="R8" i="2"/>
  <c r="S8" i="2" s="1"/>
  <c r="K8" i="2"/>
  <c r="T8" i="2"/>
  <c r="C67" i="3" l="1"/>
  <c r="D8" i="3" s="1"/>
  <c r="L67" i="3"/>
  <c r="Q8" i="3" s="1"/>
  <c r="E67" i="5"/>
  <c r="M67" i="5"/>
  <c r="L68" i="3"/>
  <c r="C68" i="3"/>
  <c r="D9" i="3" s="1"/>
  <c r="M67" i="3"/>
  <c r="E62" i="4"/>
  <c r="D68" i="4" s="1"/>
  <c r="D68" i="3"/>
  <c r="Q8" i="5"/>
  <c r="K8" i="5" s="1"/>
  <c r="B69" i="5"/>
  <c r="F35" i="5" s="1"/>
  <c r="D70" i="8"/>
  <c r="F13" i="8" s="1"/>
  <c r="E64" i="2"/>
  <c r="D70" i="2" s="1"/>
  <c r="B70" i="8"/>
  <c r="F29" i="8"/>
  <c r="L68" i="7"/>
  <c r="C68" i="7"/>
  <c r="D11" i="7" s="1"/>
  <c r="B68" i="7"/>
  <c r="M68" i="7" s="1"/>
  <c r="Q11" i="8"/>
  <c r="T11" i="8" s="1"/>
  <c r="C70" i="8"/>
  <c r="D14" i="8" s="1"/>
  <c r="M70" i="5"/>
  <c r="D14" i="3"/>
  <c r="F35" i="4"/>
  <c r="F35" i="3"/>
  <c r="E70" i="3"/>
  <c r="Q14" i="3"/>
  <c r="D68" i="7"/>
  <c r="F10" i="7" s="1"/>
  <c r="F34" i="5"/>
  <c r="D15" i="3"/>
  <c r="O13" i="3"/>
  <c r="F14" i="3"/>
  <c r="O10" i="8"/>
  <c r="O9" i="8"/>
  <c r="Q9" i="8"/>
  <c r="F32" i="3"/>
  <c r="D69" i="4"/>
  <c r="F32" i="4"/>
  <c r="L69" i="4"/>
  <c r="M68" i="8"/>
  <c r="C69" i="4"/>
  <c r="D12" i="4" s="1"/>
  <c r="F34" i="7"/>
  <c r="M70" i="7"/>
  <c r="C69" i="5"/>
  <c r="D15" i="5" s="1"/>
  <c r="D69" i="5"/>
  <c r="O12" i="5" s="1"/>
  <c r="K8" i="7"/>
  <c r="D70" i="7"/>
  <c r="E70" i="7" s="1"/>
  <c r="O14" i="3"/>
  <c r="D69" i="7"/>
  <c r="F15" i="7" s="1"/>
  <c r="L69" i="7"/>
  <c r="C69" i="7"/>
  <c r="D12" i="7" s="1"/>
  <c r="B69" i="7"/>
  <c r="F32" i="7" s="1"/>
  <c r="O8" i="6"/>
  <c r="T8" i="6" s="1"/>
  <c r="Q14" i="7"/>
  <c r="D14" i="7"/>
  <c r="D13" i="7"/>
  <c r="Q13" i="7"/>
  <c r="Q15" i="3"/>
  <c r="Q13" i="3"/>
  <c r="F31" i="8"/>
  <c r="E69" i="3"/>
  <c r="R8" i="7"/>
  <c r="S8" i="7" s="1"/>
  <c r="D67" i="8"/>
  <c r="C67" i="8"/>
  <c r="B67" i="8"/>
  <c r="L67" i="8"/>
  <c r="Q12" i="3"/>
  <c r="T12" i="3" s="1"/>
  <c r="O15" i="3"/>
  <c r="T8" i="7"/>
  <c r="F8" i="6"/>
  <c r="F28" i="6"/>
  <c r="F28" i="4"/>
  <c r="D8" i="4"/>
  <c r="F13" i="3"/>
  <c r="D9" i="8"/>
  <c r="E62" i="6"/>
  <c r="B68" i="6" s="1"/>
  <c r="E67" i="4"/>
  <c r="Q10" i="8"/>
  <c r="E68" i="8"/>
  <c r="D11" i="8"/>
  <c r="D10" i="8"/>
  <c r="F8" i="4"/>
  <c r="O8" i="4"/>
  <c r="R8" i="4" s="1"/>
  <c r="S8" i="4" s="1"/>
  <c r="E62" i="5"/>
  <c r="B68" i="5" s="1"/>
  <c r="E63" i="2"/>
  <c r="C69" i="2" s="1"/>
  <c r="E63" i="6"/>
  <c r="D69" i="6" s="1"/>
  <c r="E62" i="2"/>
  <c r="D68" i="2" s="1"/>
  <c r="U8" i="2"/>
  <c r="J8" i="2" s="1"/>
  <c r="M8" i="2" s="1"/>
  <c r="G8" i="2" s="1"/>
  <c r="L70" i="6"/>
  <c r="C70" i="6"/>
  <c r="B70" i="6"/>
  <c r="D70" i="6"/>
  <c r="F29" i="7"/>
  <c r="L69" i="8"/>
  <c r="C69" i="8"/>
  <c r="B69" i="8"/>
  <c r="D69" i="8"/>
  <c r="M68" i="3"/>
  <c r="F31" i="3"/>
  <c r="F29" i="3"/>
  <c r="F30" i="3"/>
  <c r="Q14" i="5"/>
  <c r="E70" i="5"/>
  <c r="D14" i="5"/>
  <c r="Q13" i="5"/>
  <c r="D13" i="5"/>
  <c r="B70" i="4"/>
  <c r="C70" i="4"/>
  <c r="D70" i="4"/>
  <c r="L70" i="4"/>
  <c r="F14" i="5"/>
  <c r="O13" i="5"/>
  <c r="F13" i="5"/>
  <c r="O14" i="5"/>
  <c r="O8" i="3" l="1"/>
  <c r="C68" i="4"/>
  <c r="B68" i="4"/>
  <c r="M68" i="4" s="1"/>
  <c r="O11" i="3"/>
  <c r="K11" i="8"/>
  <c r="O10" i="3"/>
  <c r="L68" i="4"/>
  <c r="K8" i="3"/>
  <c r="R11" i="8"/>
  <c r="S11" i="8" s="1"/>
  <c r="F10" i="3"/>
  <c r="E67" i="3"/>
  <c r="R8" i="6"/>
  <c r="S8" i="6" s="1"/>
  <c r="U8" i="6" s="1"/>
  <c r="J8" i="6" s="1"/>
  <c r="F32" i="5"/>
  <c r="D11" i="3"/>
  <c r="M69" i="5"/>
  <c r="O13" i="8"/>
  <c r="O9" i="3"/>
  <c r="O15" i="7"/>
  <c r="Q14" i="8"/>
  <c r="Q10" i="3"/>
  <c r="F11" i="3"/>
  <c r="F9" i="3"/>
  <c r="K8" i="6"/>
  <c r="Q9" i="3"/>
  <c r="R14" i="3"/>
  <c r="S14" i="3" s="1"/>
  <c r="T8" i="5"/>
  <c r="D15" i="7"/>
  <c r="O9" i="7"/>
  <c r="E68" i="3"/>
  <c r="D10" i="3"/>
  <c r="Q11" i="3"/>
  <c r="D10" i="7"/>
  <c r="F9" i="7"/>
  <c r="M69" i="7"/>
  <c r="R13" i="3"/>
  <c r="S13" i="3" s="1"/>
  <c r="B70" i="2"/>
  <c r="F33" i="2" s="1"/>
  <c r="E68" i="7"/>
  <c r="Q10" i="7"/>
  <c r="F35" i="7"/>
  <c r="Q11" i="7"/>
  <c r="D9" i="7"/>
  <c r="C70" i="2"/>
  <c r="D13" i="2" s="1"/>
  <c r="R8" i="5"/>
  <c r="S8" i="5" s="1"/>
  <c r="F11" i="7"/>
  <c r="T8" i="3"/>
  <c r="R8" i="3"/>
  <c r="S8" i="3" s="1"/>
  <c r="L70" i="2"/>
  <c r="Q9" i="7"/>
  <c r="K10" i="8"/>
  <c r="Q15" i="5"/>
  <c r="C69" i="6"/>
  <c r="D12" i="6" s="1"/>
  <c r="F31" i="7"/>
  <c r="F12" i="7"/>
  <c r="F14" i="8"/>
  <c r="O14" i="8"/>
  <c r="T14" i="8" s="1"/>
  <c r="F34" i="8"/>
  <c r="M70" i="8"/>
  <c r="F33" i="8"/>
  <c r="F30" i="7"/>
  <c r="R12" i="3"/>
  <c r="S12" i="3" s="1"/>
  <c r="U12" i="3" s="1"/>
  <c r="J12" i="3" s="1"/>
  <c r="M12" i="3" s="1"/>
  <c r="O10" i="7"/>
  <c r="D15" i="4"/>
  <c r="O11" i="7"/>
  <c r="D13" i="8"/>
  <c r="E70" i="8"/>
  <c r="E69" i="4"/>
  <c r="O12" i="7"/>
  <c r="Q13" i="8"/>
  <c r="F13" i="7"/>
  <c r="D12" i="5"/>
  <c r="Q12" i="5"/>
  <c r="K12" i="5" s="1"/>
  <c r="T13" i="3"/>
  <c r="K15" i="3"/>
  <c r="K13" i="3"/>
  <c r="K14" i="3"/>
  <c r="U8" i="7"/>
  <c r="J8" i="7" s="1"/>
  <c r="L8" i="7" s="1"/>
  <c r="Y9" i="13" s="1"/>
  <c r="Q12" i="7"/>
  <c r="E69" i="5"/>
  <c r="Q12" i="4"/>
  <c r="K12" i="3"/>
  <c r="T14" i="3"/>
  <c r="T9" i="8"/>
  <c r="K9" i="8"/>
  <c r="R9" i="8"/>
  <c r="S9" i="8" s="1"/>
  <c r="E69" i="7"/>
  <c r="R15" i="3"/>
  <c r="S15" i="3" s="1"/>
  <c r="O15" i="5"/>
  <c r="Q15" i="4"/>
  <c r="Q15" i="7"/>
  <c r="T15" i="3"/>
  <c r="F15" i="5"/>
  <c r="O15" i="4"/>
  <c r="O12" i="4"/>
  <c r="F12" i="4"/>
  <c r="F15" i="4"/>
  <c r="F12" i="5"/>
  <c r="F14" i="7"/>
  <c r="L8" i="2"/>
  <c r="N9" i="16" s="1"/>
  <c r="O13" i="7"/>
  <c r="T13" i="7" s="1"/>
  <c r="O14" i="7"/>
  <c r="T14" i="7" s="1"/>
  <c r="L68" i="6"/>
  <c r="M67" i="8"/>
  <c r="F28" i="8"/>
  <c r="D8" i="8"/>
  <c r="E67" i="8"/>
  <c r="Q8" i="8"/>
  <c r="O8" i="8"/>
  <c r="F8" i="8"/>
  <c r="C68" i="6"/>
  <c r="T10" i="8"/>
  <c r="R10" i="8"/>
  <c r="S10" i="8" s="1"/>
  <c r="D68" i="6"/>
  <c r="C68" i="2"/>
  <c r="D11" i="2" s="1"/>
  <c r="C68" i="5"/>
  <c r="D10" i="5" s="1"/>
  <c r="B68" i="2"/>
  <c r="F31" i="2" s="1"/>
  <c r="B69" i="2"/>
  <c r="M69" i="2" s="1"/>
  <c r="L69" i="2"/>
  <c r="Q12" i="2" s="1"/>
  <c r="K8" i="4"/>
  <c r="T8" i="4"/>
  <c r="U8" i="4" s="1"/>
  <c r="J8" i="4" s="1"/>
  <c r="L69" i="6"/>
  <c r="O12" i="6" s="1"/>
  <c r="L68" i="5"/>
  <c r="B69" i="6"/>
  <c r="M69" i="6" s="1"/>
  <c r="D68" i="5"/>
  <c r="F9" i="5" s="1"/>
  <c r="L68" i="2"/>
  <c r="D69" i="2"/>
  <c r="F12" i="2" s="1"/>
  <c r="F34" i="4"/>
  <c r="M70" i="4"/>
  <c r="F33" i="4"/>
  <c r="R14" i="5"/>
  <c r="S14" i="5" s="1"/>
  <c r="U14" i="5" s="1"/>
  <c r="J14" i="5" s="1"/>
  <c r="K14" i="5"/>
  <c r="T14" i="5"/>
  <c r="D14" i="2"/>
  <c r="U11" i="8"/>
  <c r="J11" i="8" s="1"/>
  <c r="F14" i="4"/>
  <c r="O14" i="4"/>
  <c r="F13" i="4"/>
  <c r="O13" i="4"/>
  <c r="D11" i="4"/>
  <c r="D9" i="4"/>
  <c r="D10" i="4"/>
  <c r="Q9" i="4"/>
  <c r="E68" i="4"/>
  <c r="F9" i="2"/>
  <c r="F11" i="2"/>
  <c r="F10" i="2"/>
  <c r="Q15" i="8"/>
  <c r="Q12" i="8"/>
  <c r="D12" i="8"/>
  <c r="D15" i="8"/>
  <c r="E69" i="8"/>
  <c r="D15" i="2"/>
  <c r="D12" i="2"/>
  <c r="F31" i="6"/>
  <c r="F30" i="6"/>
  <c r="M68" i="6"/>
  <c r="F29" i="6"/>
  <c r="D13" i="4"/>
  <c r="E70" i="4"/>
  <c r="Q13" i="4"/>
  <c r="D14" i="4"/>
  <c r="Q14" i="4"/>
  <c r="F12" i="6"/>
  <c r="F15" i="6"/>
  <c r="F13" i="6"/>
  <c r="O14" i="6"/>
  <c r="O13" i="6"/>
  <c r="F14" i="6"/>
  <c r="R13" i="5"/>
  <c r="S13" i="5" s="1"/>
  <c r="U13" i="5" s="1"/>
  <c r="J13" i="5" s="1"/>
  <c r="K13" i="5"/>
  <c r="T13" i="5"/>
  <c r="F11" i="4"/>
  <c r="F10" i="4"/>
  <c r="F9" i="4"/>
  <c r="F14" i="2"/>
  <c r="F13" i="2"/>
  <c r="F15" i="8"/>
  <c r="F12" i="8"/>
  <c r="O12" i="8"/>
  <c r="O15" i="8"/>
  <c r="F29" i="4"/>
  <c r="F31" i="4"/>
  <c r="F30" i="4"/>
  <c r="E9" i="16"/>
  <c r="C8" i="9"/>
  <c r="E9" i="13"/>
  <c r="F34" i="6"/>
  <c r="M70" i="6"/>
  <c r="F33" i="6"/>
  <c r="F30" i="5"/>
  <c r="F29" i="5"/>
  <c r="F31" i="5"/>
  <c r="M68" i="5"/>
  <c r="F35" i="8"/>
  <c r="M69" i="8"/>
  <c r="F32" i="8"/>
  <c r="Q14" i="6"/>
  <c r="Q13" i="6"/>
  <c r="D13" i="6"/>
  <c r="E70" i="6"/>
  <c r="D14" i="6"/>
  <c r="Q11" i="4" l="1"/>
  <c r="K11" i="3"/>
  <c r="R10" i="3"/>
  <c r="S10" i="3" s="1"/>
  <c r="T10" i="3"/>
  <c r="D15" i="6"/>
  <c r="O10" i="4"/>
  <c r="R10" i="4" s="1"/>
  <c r="S10" i="4" s="1"/>
  <c r="K10" i="3"/>
  <c r="O9" i="4"/>
  <c r="K9" i="4" s="1"/>
  <c r="O11" i="4"/>
  <c r="T11" i="4" s="1"/>
  <c r="M70" i="2"/>
  <c r="E70" i="2"/>
  <c r="U8" i="5"/>
  <c r="J8" i="5" s="1"/>
  <c r="M8" i="5" s="1"/>
  <c r="G8" i="5" s="1"/>
  <c r="R11" i="3"/>
  <c r="S11" i="3" s="1"/>
  <c r="Q10" i="4"/>
  <c r="R15" i="7"/>
  <c r="S15" i="7" s="1"/>
  <c r="R9" i="3"/>
  <c r="S9" i="3" s="1"/>
  <c r="R10" i="7"/>
  <c r="S10" i="7" s="1"/>
  <c r="T9" i="13"/>
  <c r="R15" i="5"/>
  <c r="S15" i="5" s="1"/>
  <c r="T9" i="3"/>
  <c r="K9" i="3"/>
  <c r="Q10" i="6"/>
  <c r="T15" i="4"/>
  <c r="U8" i="3"/>
  <c r="J8" i="3" s="1"/>
  <c r="M8" i="3" s="1"/>
  <c r="G8" i="3" s="1"/>
  <c r="I9" i="13" s="1"/>
  <c r="R13" i="8"/>
  <c r="S13" i="8" s="1"/>
  <c r="T9" i="7"/>
  <c r="R12" i="7"/>
  <c r="S12" i="7" s="1"/>
  <c r="Q14" i="2"/>
  <c r="K15" i="5"/>
  <c r="O14" i="2"/>
  <c r="R14" i="2" s="1"/>
  <c r="S14" i="2" s="1"/>
  <c r="T11" i="3"/>
  <c r="U11" i="3" s="1"/>
  <c r="J11" i="3" s="1"/>
  <c r="M11" i="3" s="1"/>
  <c r="G11" i="3" s="1"/>
  <c r="E69" i="6"/>
  <c r="R14" i="8"/>
  <c r="S14" i="8" s="1"/>
  <c r="U14" i="8" s="1"/>
  <c r="J14" i="8" s="1"/>
  <c r="R11" i="7"/>
  <c r="S11" i="7" s="1"/>
  <c r="R12" i="5"/>
  <c r="S12" i="5" s="1"/>
  <c r="U12" i="5" s="1"/>
  <c r="J12" i="5" s="1"/>
  <c r="F34" i="2"/>
  <c r="D9" i="6"/>
  <c r="K15" i="4"/>
  <c r="L8" i="9"/>
  <c r="D9" i="5"/>
  <c r="O9" i="6"/>
  <c r="U13" i="3"/>
  <c r="J13" i="3" s="1"/>
  <c r="M13" i="3" s="1"/>
  <c r="G13" i="3" s="1"/>
  <c r="I14" i="13" s="1"/>
  <c r="K11" i="7"/>
  <c r="T15" i="7"/>
  <c r="K10" i="7"/>
  <c r="F29" i="2"/>
  <c r="T10" i="7"/>
  <c r="U10" i="7" s="1"/>
  <c r="J10" i="7" s="1"/>
  <c r="T12" i="5"/>
  <c r="R15" i="4"/>
  <c r="S15" i="4" s="1"/>
  <c r="T11" i="7"/>
  <c r="F30" i="2"/>
  <c r="K13" i="8"/>
  <c r="T12" i="7"/>
  <c r="F10" i="6"/>
  <c r="F9" i="6"/>
  <c r="O11" i="6"/>
  <c r="T13" i="8"/>
  <c r="Q11" i="6"/>
  <c r="R11" i="6" s="1"/>
  <c r="S11" i="6" s="1"/>
  <c r="R9" i="7"/>
  <c r="S9" i="7" s="1"/>
  <c r="Q8" i="9"/>
  <c r="O10" i="6"/>
  <c r="M68" i="2"/>
  <c r="F11" i="6"/>
  <c r="K15" i="7"/>
  <c r="Q9" i="6"/>
  <c r="T9" i="6" s="1"/>
  <c r="D11" i="6"/>
  <c r="O15" i="6"/>
  <c r="K9" i="7"/>
  <c r="Q13" i="2"/>
  <c r="M8" i="7"/>
  <c r="G8" i="7" s="1"/>
  <c r="O9" i="13" s="1"/>
  <c r="K12" i="7"/>
  <c r="K14" i="8"/>
  <c r="D10" i="6"/>
  <c r="O13" i="2"/>
  <c r="S9" i="16"/>
  <c r="U14" i="3"/>
  <c r="J14" i="3" s="1"/>
  <c r="N30" i="3" s="1"/>
  <c r="G12" i="3"/>
  <c r="E12" i="9" s="1"/>
  <c r="Q15" i="2"/>
  <c r="U15" i="3"/>
  <c r="J15" i="3" s="1"/>
  <c r="L15" i="3" s="1"/>
  <c r="P16" i="16" s="1"/>
  <c r="R12" i="4"/>
  <c r="S12" i="4" s="1"/>
  <c r="Q15" i="6"/>
  <c r="Q12" i="6"/>
  <c r="K12" i="6" s="1"/>
  <c r="T15" i="5"/>
  <c r="D11" i="5"/>
  <c r="F10" i="5"/>
  <c r="U9" i="8"/>
  <c r="J9" i="8" s="1"/>
  <c r="M9" i="8" s="1"/>
  <c r="G9" i="8" s="1"/>
  <c r="K10" i="16" s="1"/>
  <c r="E68" i="5"/>
  <c r="T12" i="4"/>
  <c r="K12" i="4"/>
  <c r="R13" i="7"/>
  <c r="S13" i="7" s="1"/>
  <c r="U13" i="7" s="1"/>
  <c r="J13" i="7" s="1"/>
  <c r="M13" i="7" s="1"/>
  <c r="G13" i="7" s="1"/>
  <c r="O14" i="13" s="1"/>
  <c r="K13" i="7"/>
  <c r="R14" i="7"/>
  <c r="S14" i="7" s="1"/>
  <c r="U14" i="7" s="1"/>
  <c r="J14" i="7" s="1"/>
  <c r="K14" i="7"/>
  <c r="O9" i="5"/>
  <c r="Q10" i="5"/>
  <c r="E68" i="6"/>
  <c r="U10" i="8"/>
  <c r="J10" i="8" s="1"/>
  <c r="L10" i="8" s="1"/>
  <c r="Z11" i="13" s="1"/>
  <c r="F11" i="5"/>
  <c r="Q11" i="5"/>
  <c r="R8" i="8"/>
  <c r="S8" i="8" s="1"/>
  <c r="K8" i="8"/>
  <c r="T8" i="8"/>
  <c r="O12" i="2"/>
  <c r="K12" i="2" s="1"/>
  <c r="O10" i="5"/>
  <c r="O11" i="5"/>
  <c r="F32" i="2"/>
  <c r="F15" i="2"/>
  <c r="E69" i="2"/>
  <c r="D9" i="2"/>
  <c r="O15" i="2"/>
  <c r="F35" i="2"/>
  <c r="E68" i="2"/>
  <c r="Q10" i="2"/>
  <c r="Q9" i="5"/>
  <c r="D10" i="2"/>
  <c r="O10" i="2"/>
  <c r="F32" i="6"/>
  <c r="U10" i="3"/>
  <c r="J10" i="3" s="1"/>
  <c r="F35" i="6"/>
  <c r="L12" i="3"/>
  <c r="N12" i="9" s="1"/>
  <c r="O9" i="2"/>
  <c r="Q9" i="2"/>
  <c r="O11" i="2"/>
  <c r="Q11" i="2"/>
  <c r="R12" i="8"/>
  <c r="S12" i="8" s="1"/>
  <c r="K12" i="8"/>
  <c r="T12" i="8"/>
  <c r="R14" i="6"/>
  <c r="S14" i="6" s="1"/>
  <c r="K14" i="6"/>
  <c r="T14" i="6"/>
  <c r="M8" i="4"/>
  <c r="G8" i="4" s="1"/>
  <c r="L8" i="4"/>
  <c r="U15" i="5"/>
  <c r="J15" i="5" s="1"/>
  <c r="T15" i="8"/>
  <c r="R15" i="8"/>
  <c r="S15" i="8" s="1"/>
  <c r="K15" i="8"/>
  <c r="K14" i="4"/>
  <c r="R14" i="4"/>
  <c r="S14" i="4" s="1"/>
  <c r="T14" i="4"/>
  <c r="M13" i="5"/>
  <c r="G13" i="5" s="1"/>
  <c r="L13" i="5"/>
  <c r="M14" i="5"/>
  <c r="G14" i="5" s="1"/>
  <c r="N30" i="5"/>
  <c r="L14" i="5"/>
  <c r="R9" i="4"/>
  <c r="S9" i="4" s="1"/>
  <c r="T13" i="6"/>
  <c r="K13" i="6"/>
  <c r="R13" i="6"/>
  <c r="S13" i="6" s="1"/>
  <c r="R13" i="4"/>
  <c r="S13" i="4" s="1"/>
  <c r="T13" i="4"/>
  <c r="K13" i="4"/>
  <c r="L11" i="8"/>
  <c r="M11" i="8"/>
  <c r="G11" i="8" s="1"/>
  <c r="M8" i="6"/>
  <c r="G8" i="6" s="1"/>
  <c r="L8" i="6"/>
  <c r="K10" i="4" l="1"/>
  <c r="L8" i="3"/>
  <c r="P9" i="16" s="1"/>
  <c r="R10" i="6"/>
  <c r="S10" i="6" s="1"/>
  <c r="U15" i="4"/>
  <c r="J15" i="4" s="1"/>
  <c r="M15" i="4" s="1"/>
  <c r="G15" i="4" s="1"/>
  <c r="G16" i="16" s="1"/>
  <c r="L8" i="5"/>
  <c r="Q9" i="16" s="1"/>
  <c r="U9" i="3"/>
  <c r="J9" i="3" s="1"/>
  <c r="L9" i="3" s="1"/>
  <c r="T10" i="4"/>
  <c r="T9" i="4"/>
  <c r="U15" i="7"/>
  <c r="J15" i="7" s="1"/>
  <c r="M15" i="7" s="1"/>
  <c r="G15" i="7" s="1"/>
  <c r="O16" i="13" s="1"/>
  <c r="R11" i="4"/>
  <c r="S11" i="4" s="1"/>
  <c r="U11" i="4" s="1"/>
  <c r="J11" i="4" s="1"/>
  <c r="K11" i="4"/>
  <c r="L10" i="3"/>
  <c r="P11" i="16" s="1"/>
  <c r="U12" i="4"/>
  <c r="J12" i="4" s="1"/>
  <c r="L12" i="4" s="1"/>
  <c r="M12" i="9" s="1"/>
  <c r="U9" i="7"/>
  <c r="J9" i="7" s="1"/>
  <c r="I9" i="16"/>
  <c r="T14" i="2"/>
  <c r="U14" i="2" s="1"/>
  <c r="J14" i="2" s="1"/>
  <c r="N30" i="2" s="1"/>
  <c r="K14" i="2"/>
  <c r="U11" i="7"/>
  <c r="J11" i="7" s="1"/>
  <c r="M11" i="7" s="1"/>
  <c r="G11" i="7" s="1"/>
  <c r="H11" i="9" s="1"/>
  <c r="E8" i="9"/>
  <c r="U13" i="8"/>
  <c r="J13" i="8" s="1"/>
  <c r="M13" i="8" s="1"/>
  <c r="G13" i="8" s="1"/>
  <c r="U12" i="7"/>
  <c r="J12" i="7" s="1"/>
  <c r="K10" i="6"/>
  <c r="T10" i="5"/>
  <c r="M14" i="8"/>
  <c r="G14" i="8" s="1"/>
  <c r="N30" i="8"/>
  <c r="R12" i="6"/>
  <c r="S12" i="6" s="1"/>
  <c r="T15" i="6"/>
  <c r="T10" i="6"/>
  <c r="T15" i="2"/>
  <c r="T13" i="2"/>
  <c r="R9" i="6"/>
  <c r="S9" i="6" s="1"/>
  <c r="U9" i="6" s="1"/>
  <c r="J9" i="6" s="1"/>
  <c r="T12" i="6"/>
  <c r="I14" i="16"/>
  <c r="H8" i="9"/>
  <c r="L13" i="3"/>
  <c r="V14" i="13" s="1"/>
  <c r="L14" i="8"/>
  <c r="Z15" i="13" s="1"/>
  <c r="T11" i="6"/>
  <c r="U11" i="6" s="1"/>
  <c r="J11" i="6" s="1"/>
  <c r="E13" i="9"/>
  <c r="R10" i="5"/>
  <c r="S10" i="5" s="1"/>
  <c r="U10" i="5" s="1"/>
  <c r="J10" i="5" s="1"/>
  <c r="M10" i="3"/>
  <c r="G10" i="3" s="1"/>
  <c r="I11" i="16" s="1"/>
  <c r="K10" i="5"/>
  <c r="Q10" i="13"/>
  <c r="R13" i="2"/>
  <c r="S13" i="2" s="1"/>
  <c r="T12" i="2"/>
  <c r="K11" i="6"/>
  <c r="K9" i="6"/>
  <c r="K13" i="2"/>
  <c r="N8" i="9"/>
  <c r="V9" i="13"/>
  <c r="N15" i="9"/>
  <c r="T10" i="2"/>
  <c r="R15" i="2"/>
  <c r="S15" i="2" s="1"/>
  <c r="L9" i="8"/>
  <c r="Z10" i="13" s="1"/>
  <c r="V16" i="13"/>
  <c r="R15" i="6"/>
  <c r="S15" i="6" s="1"/>
  <c r="T11" i="16"/>
  <c r="L14" i="3"/>
  <c r="N14" i="9" s="1"/>
  <c r="M15" i="3"/>
  <c r="G15" i="3" s="1"/>
  <c r="E15" i="9" s="1"/>
  <c r="I13" i="16"/>
  <c r="I13" i="13"/>
  <c r="M10" i="8"/>
  <c r="G10" i="8" s="1"/>
  <c r="K11" i="16" s="1"/>
  <c r="R12" i="2"/>
  <c r="S12" i="2" s="1"/>
  <c r="K10" i="2"/>
  <c r="K9" i="5"/>
  <c r="K15" i="6"/>
  <c r="M14" i="3"/>
  <c r="G14" i="3" s="1"/>
  <c r="I15" i="13" s="1"/>
  <c r="H13" i="9"/>
  <c r="M12" i="4"/>
  <c r="G12" i="4" s="1"/>
  <c r="G13" i="13" s="1"/>
  <c r="R11" i="5"/>
  <c r="S11" i="5" s="1"/>
  <c r="U11" i="5" s="1"/>
  <c r="J11" i="5" s="1"/>
  <c r="L13" i="7"/>
  <c r="K11" i="5"/>
  <c r="I9" i="9"/>
  <c r="T11" i="5"/>
  <c r="R10" i="9"/>
  <c r="R10" i="2"/>
  <c r="S10" i="2" s="1"/>
  <c r="P13" i="16"/>
  <c r="T9" i="5"/>
  <c r="R9" i="5"/>
  <c r="S9" i="5" s="1"/>
  <c r="K15" i="2"/>
  <c r="L14" i="7"/>
  <c r="N30" i="7"/>
  <c r="M14" i="7"/>
  <c r="G14" i="7" s="1"/>
  <c r="U8" i="8"/>
  <c r="J8" i="8" s="1"/>
  <c r="V13" i="13"/>
  <c r="L11" i="3"/>
  <c r="P12" i="16" s="1"/>
  <c r="T11" i="2"/>
  <c r="T9" i="2"/>
  <c r="R11" i="2"/>
  <c r="S11" i="2" s="1"/>
  <c r="K11" i="2"/>
  <c r="K9" i="2"/>
  <c r="R9" i="2"/>
  <c r="S9" i="2" s="1"/>
  <c r="U14" i="4"/>
  <c r="J14" i="4" s="1"/>
  <c r="M14" i="4" s="1"/>
  <c r="G14" i="4" s="1"/>
  <c r="U13" i="4"/>
  <c r="J13" i="4" s="1"/>
  <c r="L13" i="4" s="1"/>
  <c r="U13" i="6"/>
  <c r="J13" i="6" s="1"/>
  <c r="M13" i="6" s="1"/>
  <c r="G13" i="6" s="1"/>
  <c r="U14" i="6"/>
  <c r="J14" i="6" s="1"/>
  <c r="L14" i="6" s="1"/>
  <c r="M9" i="3"/>
  <c r="G9" i="3" s="1"/>
  <c r="F8" i="9"/>
  <c r="K9" i="13"/>
  <c r="G8" i="9"/>
  <c r="M9" i="13"/>
  <c r="U9" i="4"/>
  <c r="J9" i="4" s="1"/>
  <c r="Q14" i="16"/>
  <c r="W14" i="13"/>
  <c r="O13" i="9"/>
  <c r="M9" i="7"/>
  <c r="G9" i="7" s="1"/>
  <c r="L9" i="7"/>
  <c r="U15" i="8"/>
  <c r="J15" i="8" s="1"/>
  <c r="M12" i="5"/>
  <c r="G12" i="5" s="1"/>
  <c r="L12" i="5"/>
  <c r="G9" i="16"/>
  <c r="D8" i="9"/>
  <c r="G9" i="13"/>
  <c r="U12" i="8"/>
  <c r="J12" i="8" s="1"/>
  <c r="F14" i="9"/>
  <c r="K15" i="13"/>
  <c r="F13" i="9"/>
  <c r="K14" i="13"/>
  <c r="L12" i="7"/>
  <c r="M12" i="7"/>
  <c r="G12" i="7" s="1"/>
  <c r="L15" i="5"/>
  <c r="M15" i="5"/>
  <c r="G15" i="5" s="1"/>
  <c r="K12" i="16"/>
  <c r="I11" i="9"/>
  <c r="Q12" i="13"/>
  <c r="L10" i="7"/>
  <c r="M10" i="7"/>
  <c r="G10" i="7" s="1"/>
  <c r="R9" i="16"/>
  <c r="P8" i="9"/>
  <c r="X9" i="13"/>
  <c r="T12" i="16"/>
  <c r="R11" i="9"/>
  <c r="Z12" i="13"/>
  <c r="Q15" i="16"/>
  <c r="O14" i="9"/>
  <c r="W15" i="13"/>
  <c r="U10" i="4"/>
  <c r="J10" i="4" s="1"/>
  <c r="O9" i="16"/>
  <c r="M8" i="9"/>
  <c r="U9" i="13"/>
  <c r="I12" i="16"/>
  <c r="E11" i="9"/>
  <c r="I12" i="13"/>
  <c r="O12" i="13" l="1"/>
  <c r="U9" i="2"/>
  <c r="J9" i="2" s="1"/>
  <c r="L15" i="4"/>
  <c r="L15" i="7"/>
  <c r="S16" i="16" s="1"/>
  <c r="W9" i="13"/>
  <c r="O8" i="9"/>
  <c r="U10" i="6"/>
  <c r="J10" i="6" s="1"/>
  <c r="M10" i="6" s="1"/>
  <c r="G10" i="6" s="1"/>
  <c r="M11" i="13" s="1"/>
  <c r="V11" i="13"/>
  <c r="N10" i="9"/>
  <c r="U16" i="13"/>
  <c r="L11" i="7"/>
  <c r="Q11" i="9" s="1"/>
  <c r="I13" i="9"/>
  <c r="K14" i="16"/>
  <c r="L13" i="8"/>
  <c r="T14" i="16" s="1"/>
  <c r="G16" i="13"/>
  <c r="Q15" i="9"/>
  <c r="D15" i="9"/>
  <c r="Y16" i="13"/>
  <c r="U13" i="2"/>
  <c r="J13" i="2" s="1"/>
  <c r="M13" i="2" s="1"/>
  <c r="G13" i="2" s="1"/>
  <c r="R14" i="9"/>
  <c r="T15" i="16"/>
  <c r="U12" i="6"/>
  <c r="J12" i="6" s="1"/>
  <c r="T10" i="16"/>
  <c r="K15" i="16"/>
  <c r="Q15" i="13"/>
  <c r="I14" i="9"/>
  <c r="N13" i="9"/>
  <c r="G13" i="16"/>
  <c r="P14" i="16"/>
  <c r="U15" i="6"/>
  <c r="J15" i="6" s="1"/>
  <c r="M15" i="6" s="1"/>
  <c r="G15" i="6" s="1"/>
  <c r="G15" i="9" s="1"/>
  <c r="E10" i="9"/>
  <c r="O13" i="16"/>
  <c r="U15" i="2"/>
  <c r="J15" i="2" s="1"/>
  <c r="L15" i="2" s="1"/>
  <c r="D12" i="9"/>
  <c r="U12" i="2"/>
  <c r="J12" i="2" s="1"/>
  <c r="L12" i="2" s="1"/>
  <c r="L12" i="9" s="1"/>
  <c r="I11" i="13"/>
  <c r="L9" i="6"/>
  <c r="X10" i="13" s="1"/>
  <c r="I16" i="16"/>
  <c r="Q11" i="13"/>
  <c r="Q14" i="13"/>
  <c r="U9" i="5"/>
  <c r="J9" i="5" s="1"/>
  <c r="M9" i="5" s="1"/>
  <c r="G9" i="5" s="1"/>
  <c r="K10" i="13" s="1"/>
  <c r="V15" i="13"/>
  <c r="U10" i="2"/>
  <c r="J10" i="2" s="1"/>
  <c r="L10" i="2" s="1"/>
  <c r="R9" i="9"/>
  <c r="I16" i="13"/>
  <c r="P15" i="16"/>
  <c r="H15" i="9"/>
  <c r="U13" i="13"/>
  <c r="I10" i="9"/>
  <c r="I15" i="16"/>
  <c r="E14" i="9"/>
  <c r="Q13" i="9"/>
  <c r="Y14" i="13"/>
  <c r="S14" i="16"/>
  <c r="M14" i="6"/>
  <c r="G14" i="6" s="1"/>
  <c r="G14" i="9" s="1"/>
  <c r="L14" i="2"/>
  <c r="N15" i="16" s="1"/>
  <c r="M14" i="2"/>
  <c r="G14" i="2" s="1"/>
  <c r="C14" i="9" s="1"/>
  <c r="O15" i="13"/>
  <c r="H14" i="9"/>
  <c r="S15" i="16"/>
  <c r="Y15" i="13"/>
  <c r="Q14" i="9"/>
  <c r="M8" i="8"/>
  <c r="G8" i="8" s="1"/>
  <c r="L8" i="8"/>
  <c r="M13" i="4"/>
  <c r="G13" i="4" s="1"/>
  <c r="D13" i="9" s="1"/>
  <c r="N30" i="6"/>
  <c r="L14" i="4"/>
  <c r="O15" i="16" s="1"/>
  <c r="N30" i="4"/>
  <c r="L13" i="6"/>
  <c r="X14" i="13" s="1"/>
  <c r="N11" i="9"/>
  <c r="U11" i="2"/>
  <c r="J11" i="2" s="1"/>
  <c r="M11" i="2" s="1"/>
  <c r="G11" i="2" s="1"/>
  <c r="E12" i="16" s="1"/>
  <c r="V12" i="13"/>
  <c r="M9" i="2"/>
  <c r="G9" i="2" s="1"/>
  <c r="C9" i="9" s="1"/>
  <c r="L9" i="2"/>
  <c r="T10" i="13" s="1"/>
  <c r="M9" i="6"/>
  <c r="G9" i="6" s="1"/>
  <c r="G9" i="9" s="1"/>
  <c r="L12" i="6"/>
  <c r="M12" i="6"/>
  <c r="G12" i="6" s="1"/>
  <c r="L11" i="4"/>
  <c r="M11" i="4"/>
  <c r="G11" i="4" s="1"/>
  <c r="G15" i="16"/>
  <c r="G15" i="13"/>
  <c r="D14" i="9"/>
  <c r="H10" i="9"/>
  <c r="O11" i="13"/>
  <c r="Q16" i="16"/>
  <c r="W16" i="13"/>
  <c r="O15" i="9"/>
  <c r="L15" i="8"/>
  <c r="M15" i="8"/>
  <c r="G15" i="8" s="1"/>
  <c r="M11" i="5"/>
  <c r="G11" i="5" s="1"/>
  <c r="L11" i="5"/>
  <c r="I10" i="13"/>
  <c r="I10" i="16"/>
  <c r="E9" i="9"/>
  <c r="S11" i="16"/>
  <c r="Y11" i="13"/>
  <c r="Q10" i="9"/>
  <c r="O13" i="13"/>
  <c r="H12" i="9"/>
  <c r="O14" i="16"/>
  <c r="U14" i="13"/>
  <c r="M13" i="9"/>
  <c r="L12" i="8"/>
  <c r="M12" i="8"/>
  <c r="G12" i="8" s="1"/>
  <c r="S10" i="16"/>
  <c r="Q9" i="9"/>
  <c r="Y10" i="13"/>
  <c r="S13" i="16"/>
  <c r="Y13" i="13"/>
  <c r="Q12" i="9"/>
  <c r="M11" i="6"/>
  <c r="G11" i="6" s="1"/>
  <c r="L11" i="6"/>
  <c r="Q13" i="16"/>
  <c r="W13" i="13"/>
  <c r="O12" i="9"/>
  <c r="O10" i="13"/>
  <c r="H9" i="9"/>
  <c r="M9" i="4"/>
  <c r="G9" i="4" s="1"/>
  <c r="L9" i="4"/>
  <c r="L10" i="5"/>
  <c r="M10" i="5"/>
  <c r="G10" i="5" s="1"/>
  <c r="M10" i="4"/>
  <c r="G10" i="4" s="1"/>
  <c r="L10" i="4"/>
  <c r="G13" i="9"/>
  <c r="M14" i="13"/>
  <c r="R15" i="16"/>
  <c r="P14" i="9"/>
  <c r="X15" i="13"/>
  <c r="F15" i="9"/>
  <c r="K16" i="13"/>
  <c r="F12" i="9"/>
  <c r="K13" i="13"/>
  <c r="P10" i="16"/>
  <c r="V10" i="13"/>
  <c r="N9" i="9"/>
  <c r="G10" i="9" l="1"/>
  <c r="L10" i="6"/>
  <c r="X11" i="13" s="1"/>
  <c r="M15" i="9"/>
  <c r="O16" i="16"/>
  <c r="L13" i="2"/>
  <c r="T14" i="13" s="1"/>
  <c r="M16" i="13"/>
  <c r="S12" i="16"/>
  <c r="Y12" i="13"/>
  <c r="M15" i="2"/>
  <c r="G15" i="2" s="1"/>
  <c r="E16" i="13" s="1"/>
  <c r="R13" i="9"/>
  <c r="Z14" i="13"/>
  <c r="P9" i="9"/>
  <c r="E14" i="13"/>
  <c r="E14" i="16"/>
  <c r="F9" i="9"/>
  <c r="L9" i="5"/>
  <c r="W10" i="13" s="1"/>
  <c r="C13" i="9"/>
  <c r="L14" i="9"/>
  <c r="R10" i="16"/>
  <c r="L15" i="6"/>
  <c r="R16" i="16" s="1"/>
  <c r="N13" i="16"/>
  <c r="T13" i="13"/>
  <c r="M12" i="2"/>
  <c r="G12" i="2" s="1"/>
  <c r="M10" i="2"/>
  <c r="G10" i="2" s="1"/>
  <c r="E11" i="16" s="1"/>
  <c r="L10" i="9"/>
  <c r="N11" i="16"/>
  <c r="T11" i="13"/>
  <c r="T15" i="13"/>
  <c r="E15" i="16"/>
  <c r="E15" i="13"/>
  <c r="R14" i="16"/>
  <c r="M15" i="13"/>
  <c r="P13" i="9"/>
  <c r="C11" i="9"/>
  <c r="E10" i="13"/>
  <c r="G14" i="16"/>
  <c r="U15" i="13"/>
  <c r="E10" i="16"/>
  <c r="L9" i="9"/>
  <c r="R8" i="9"/>
  <c r="T9" i="16"/>
  <c r="Z9" i="13"/>
  <c r="K9" i="16"/>
  <c r="I8" i="9"/>
  <c r="Q9" i="13"/>
  <c r="G14" i="13"/>
  <c r="M14" i="9"/>
  <c r="E12" i="13"/>
  <c r="L11" i="2"/>
  <c r="N12" i="16" s="1"/>
  <c r="N10" i="16"/>
  <c r="M10" i="13"/>
  <c r="G11" i="16"/>
  <c r="G11" i="13"/>
  <c r="D10" i="9"/>
  <c r="Q11" i="16"/>
  <c r="O10" i="9"/>
  <c r="W11" i="13"/>
  <c r="R12" i="16"/>
  <c r="X12" i="13"/>
  <c r="P11" i="9"/>
  <c r="O10" i="16"/>
  <c r="U10" i="13"/>
  <c r="M9" i="9"/>
  <c r="G11" i="9"/>
  <c r="M12" i="13"/>
  <c r="E16" i="16"/>
  <c r="K13" i="16"/>
  <c r="Q13" i="13"/>
  <c r="I12" i="9"/>
  <c r="K16" i="16"/>
  <c r="I15" i="9"/>
  <c r="Q16" i="13"/>
  <c r="G10" i="16"/>
  <c r="G10" i="13"/>
  <c r="D9" i="9"/>
  <c r="T13" i="16"/>
  <c r="Z13" i="13"/>
  <c r="R12" i="9"/>
  <c r="T16" i="16"/>
  <c r="Z16" i="13"/>
  <c r="R15" i="9"/>
  <c r="G12" i="13"/>
  <c r="G12" i="16"/>
  <c r="D11" i="9"/>
  <c r="O11" i="16"/>
  <c r="M10" i="9"/>
  <c r="U11" i="13"/>
  <c r="F10" i="9"/>
  <c r="K11" i="13"/>
  <c r="Q12" i="16"/>
  <c r="W12" i="13"/>
  <c r="O11" i="9"/>
  <c r="O12" i="16"/>
  <c r="M11" i="9"/>
  <c r="U12" i="13"/>
  <c r="M13" i="13"/>
  <c r="G12" i="9"/>
  <c r="N16" i="16"/>
  <c r="T16" i="13"/>
  <c r="L15" i="9"/>
  <c r="F11" i="9"/>
  <c r="K12" i="13"/>
  <c r="R13" i="16"/>
  <c r="X13" i="13"/>
  <c r="P12" i="9"/>
  <c r="N14" i="16" l="1"/>
  <c r="P10" i="9"/>
  <c r="L13" i="9"/>
  <c r="R11" i="16"/>
  <c r="C15" i="9"/>
  <c r="Q10" i="16"/>
  <c r="O9" i="9"/>
  <c r="X16" i="13"/>
  <c r="C10" i="9"/>
  <c r="P15" i="9"/>
  <c r="C12" i="9"/>
  <c r="E13" i="16"/>
  <c r="E13" i="13"/>
  <c r="E11" i="13"/>
  <c r="L11" i="9"/>
  <c r="T12" i="13"/>
</calcChain>
</file>

<file path=xl/sharedStrings.xml><?xml version="1.0" encoding="utf-8"?>
<sst xmlns="http://schemas.openxmlformats.org/spreadsheetml/2006/main" count="661" uniqueCount="145">
  <si>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</si>
  <si>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</si>
  <si>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</si>
  <si>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</si>
  <si>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</si>
  <si>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</si>
  <si>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</si>
  <si>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</si>
  <si>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</si>
  <si>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</si>
  <si>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</si>
  <si>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</si>
  <si>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</si>
  <si>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</si>
  <si>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</si>
  <si>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</si>
  <si>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</si>
  <si>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</si>
  <si>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</si>
  <si>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</si>
  <si>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</si>
  <si>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</si>
  <si>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</si>
  <si>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</si>
  <si>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</si>
  <si>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</si>
  <si>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</si>
  <si>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</si>
  <si>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</si>
  <si>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</si>
  <si>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</si>
  <si>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</si>
  <si>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</si>
  <si>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</si>
  <si>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</si>
  <si>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</si>
  <si>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</si>
  <si>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</si>
  <si>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</si>
  <si>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</si>
  <si>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</si>
  <si>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</si>
  <si>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</si>
  <si>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</si>
  <si>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</si>
  <si>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</si>
  <si>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</si>
  <si>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</si>
  <si>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</si>
  <si>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</si>
  <si>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</si>
  <si>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</si>
  <si>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</si>
  <si>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</si>
  <si>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</si>
  <si>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</si>
  <si>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</si>
  <si>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</si>
  <si>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</si>
  <si>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</si>
  <si>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</si>
  <si>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</si>
  <si>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</si>
  <si>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</si>
  <si>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</si>
  <si>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</si>
  <si>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</si>
  <si>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</si>
  <si>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</si>
  <si>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</si>
  <si>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</si>
  <si>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</si>
  <si>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</si>
  <si>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</si>
  <si>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</si>
  <si>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</si>
  <si>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</si>
  <si>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</si>
  <si>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</si>
  <si>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</si>
  <si>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</si>
  <si>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</si>
  <si>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</si>
  <si>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</si>
  <si>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</si>
  <si>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</si>
  <si>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</si>
  <si>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</si>
  <si>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</si>
  <si>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</si>
  <si>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</si>
  <si>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</si>
  <si>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</si>
  <si>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</si>
  <si>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</si>
  <si>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</si>
  <si>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</si>
  <si>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</si>
  <si>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</si>
  <si>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</si>
  <si>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</si>
  <si>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</si>
  <si>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</si>
  <si>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</si>
  <si>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</si>
  <si>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</si>
  <si>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</si>
  <si>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</si>
  <si>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</si>
  <si>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</si>
  <si>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</si>
  <si>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</si>
  <si>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</si>
  <si>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</si>
  <si>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</si>
  <si>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</si>
  <si>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</si>
  <si>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</si>
  <si>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</si>
  <si>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</si>
  <si>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</si>
  <si>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</si>
  <si>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</si>
  <si>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</si>
  <si>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</si>
  <si>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</si>
  <si>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</si>
  <si>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</si>
  <si>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</si>
  <si>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</si>
  <si>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</si>
  <si>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</si>
  <si>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</si>
  <si>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</si>
  <si>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</si>
  <si>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</si>
  <si>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</si>
  <si>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</si>
  <si>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All Reporting Counties</t>
  </si>
  <si>
    <t>Note: The non-reporting counties for 2012 (for decision points 3-10) were Clinton, Emmet, Antrim, Lake, Tuscola, Berrien, Branch, Delta, Ingham, Kalamazoo, Kent, Macomb, Oakland, Ottawa, and Wayne.</t>
  </si>
  <si>
    <t xml:space="preserve">1. Population at Risk (age 10-16) </t>
  </si>
  <si>
    <t>Item 2.Arrest: Michigan State Police</t>
  </si>
  <si>
    <t>2. Juvenile Arrests</t>
  </si>
  <si>
    <t>10/1/20 through 9/30/21</t>
  </si>
  <si>
    <t>Item 1. Population: U.S. Census estimate (from C. Puzzanchera, A. Sladky, and W. Kang, "Easy Access to Juvenile Populations: 1990-2020," Online, accessed October 13, 2021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</si>
</sst>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6"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18">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30" fillId="0" borderId="1" xfId="0" applyNumberFormat="1" applyFont="1" applyBorder="1" applyAlignment="1">
      <alignment vertical="top" wrapText="1"/>
    </xf>
    <xf numFmtId="3" fontId="5" fillId="0" borderId="2" xfId="0" applyNumberFormat="1" applyFont="1" applyBorder="1" applyAlignment="1">
      <alignment horizontal="right" vertical="center"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2" fillId="0" borderId="0" xfId="0" applyNumberFormat="1" applyFont="1" applyAlignment="1">
      <alignment wrapText="1"/>
    </xf>
    <xf numFmtId="0" fontId="0" fillId="0" borderId="0" xfId="0"/>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cellXfs>
  <cellStyles count="3">
    <cellStyle name="40% - Accent1" xfId="2" builtinId="31"/>
    <cellStyle name="Accent1" xfId="1" builtinId="29"/>
    <cellStyle name="Normal" xfId="0" builtinId="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All Reporting Counties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N=20</c:v>
                </c:pt>
                <c:pt idx="1">
                  <c:v>Confinement, total N=675</c:v>
                </c:pt>
                <c:pt idx="2">
                  <c:v>Delinquent Findings, total N=2274</c:v>
                </c:pt>
                <c:pt idx="3">
                  <c:v>Petitions, total N=3704</c:v>
                </c:pt>
                <c:pt idx="4">
                  <c:v>Detentions, total N=1193</c:v>
                </c:pt>
                <c:pt idx="5">
                  <c:v>Referrals, total N=6528</c:v>
                </c:pt>
                <c:pt idx="6">
                  <c:v>Arrests, total N=4635</c:v>
                </c:pt>
                <c:pt idx="7">
                  <c:v>Population, total N=856181</c:v>
                </c:pt>
              </c:strCache>
            </c:strRef>
          </c:cat>
          <c:val>
            <c:numRef>
              <c:f>'Stacked 100%'!$B$7:$B$14</c:f>
              <c:numCache>
                <c:formatCode>0%</c:formatCode>
                <c:ptCount val="8"/>
                <c:pt idx="0">
                  <c:v>0.55000000000000004</c:v>
                </c:pt>
                <c:pt idx="1">
                  <c:v>0.26518518518518519</c:v>
                </c:pt>
                <c:pt idx="2">
                  <c:v>0.29243623570800353</c:v>
                </c:pt>
                <c:pt idx="3">
                  <c:v>0.32262419006479481</c:v>
                </c:pt>
                <c:pt idx="4">
                  <c:v>0.46018440905280805</c:v>
                </c:pt>
                <c:pt idx="5">
                  <c:v>0.27787990196078433</c:v>
                </c:pt>
                <c:pt idx="6">
                  <c:v>0.37087378640776697</c:v>
                </c:pt>
                <c:pt idx="7">
                  <c:v>0.17330914841604755</c:v>
                </c:pt>
              </c:numCache>
            </c:numRef>
          </c:val>
          <c:extLst>
            <c:ext xmlns:c16="http://schemas.microsoft.com/office/drawing/2014/chart" uri="{C3380CC4-5D6E-409C-BE32-E72D297353CC}">
              <c16:uniqueId val="{00000000-FA19-4927-880B-8FC4A6B96E0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N=20</c:v>
                </c:pt>
                <c:pt idx="1">
                  <c:v>Confinement, total N=675</c:v>
                </c:pt>
                <c:pt idx="2">
                  <c:v>Delinquent Findings, total N=2274</c:v>
                </c:pt>
                <c:pt idx="3">
                  <c:v>Petitions, total N=3704</c:v>
                </c:pt>
                <c:pt idx="4">
                  <c:v>Detentions, total N=1193</c:v>
                </c:pt>
                <c:pt idx="5">
                  <c:v>Referrals, total N=6528</c:v>
                </c:pt>
                <c:pt idx="6">
                  <c:v>Arrests, total N=4635</c:v>
                </c:pt>
                <c:pt idx="7">
                  <c:v>Population, total N=856181</c:v>
                </c:pt>
              </c:strCache>
            </c:strRef>
          </c:cat>
          <c:val>
            <c:numRef>
              <c:f>'Stacked 100%'!$C$7:$C$14</c:f>
              <c:numCache>
                <c:formatCode>0%</c:formatCode>
                <c:ptCount val="8"/>
                <c:pt idx="0">
                  <c:v>0</c:v>
                </c:pt>
                <c:pt idx="1">
                  <c:v>3.5555555555555556E-2</c:v>
                </c:pt>
                <c:pt idx="2">
                  <c:v>2.7704485488126648E-2</c:v>
                </c:pt>
                <c:pt idx="3">
                  <c:v>2.2138228941684664E-2</c:v>
                </c:pt>
                <c:pt idx="4">
                  <c:v>3.269069572506287E-2</c:v>
                </c:pt>
                <c:pt idx="5">
                  <c:v>2.1905637254901959E-2</c:v>
                </c:pt>
                <c:pt idx="6">
                  <c:v>2.0064724919093852E-2</c:v>
                </c:pt>
                <c:pt idx="7">
                  <c:v>8.8747589586781306E-2</c:v>
                </c:pt>
              </c:numCache>
            </c:numRef>
          </c:val>
          <c:extLst>
            <c:ext xmlns:c16="http://schemas.microsoft.com/office/drawing/2014/chart" uri="{C3380CC4-5D6E-409C-BE32-E72D297353CC}">
              <c16:uniqueId val="{00000001-FA19-4927-880B-8FC4A6B96E0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N=20</c:v>
                </c:pt>
                <c:pt idx="1">
                  <c:v>Confinement, total N=675</c:v>
                </c:pt>
                <c:pt idx="2">
                  <c:v>Delinquent Findings, total N=2274</c:v>
                </c:pt>
                <c:pt idx="3">
                  <c:v>Petitions, total N=3704</c:v>
                </c:pt>
                <c:pt idx="4">
                  <c:v>Detentions, total N=1193</c:v>
                </c:pt>
                <c:pt idx="5">
                  <c:v>Referrals, total N=6528</c:v>
                </c:pt>
                <c:pt idx="6">
                  <c:v>Arrests, total N=4635</c:v>
                </c:pt>
                <c:pt idx="7">
                  <c:v>Population, total N=856181</c:v>
                </c:pt>
              </c:strCache>
            </c:strRef>
          </c:cat>
          <c:val>
            <c:numRef>
              <c:f>'Stacked 100%'!$H$7:$H$14</c:f>
              <c:numCache>
                <c:formatCode>0%</c:formatCode>
                <c:ptCount val="8"/>
                <c:pt idx="0">
                  <c:v>0</c:v>
                </c:pt>
                <c:pt idx="1">
                  <c:v>8.9986282578875178E-5</c:v>
                </c:pt>
                <c:pt idx="2">
                  <c:v>1.8564801600285899E-5</c:v>
                </c:pt>
                <c:pt idx="3">
                  <c:v>1.1516357309125853E-5</c:v>
                </c:pt>
                <c:pt idx="4">
                  <c:v>5.6209419433985201E-5</c:v>
                </c:pt>
                <c:pt idx="5">
                  <c:v>6.7582179930795841E-6</c:v>
                </c:pt>
                <c:pt idx="6">
                  <c:v>1.7222740068122918E-6</c:v>
                </c:pt>
                <c:pt idx="7">
                  <c:v>5.4873780398670716E-8</c:v>
                </c:pt>
              </c:numCache>
            </c:numRef>
          </c:val>
          <c:extLst>
            <c:ext xmlns:c16="http://schemas.microsoft.com/office/drawing/2014/chart" uri="{C3380CC4-5D6E-409C-BE32-E72D297353CC}">
              <c16:uniqueId val="{00000002-FA19-4927-880B-8FC4A6B96E0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N=20</c:v>
                </c:pt>
                <c:pt idx="1">
                  <c:v>Confinement, total N=675</c:v>
                </c:pt>
                <c:pt idx="2">
                  <c:v>Delinquent Findings, total N=2274</c:v>
                </c:pt>
                <c:pt idx="3">
                  <c:v>Petitions, total N=3704</c:v>
                </c:pt>
                <c:pt idx="4">
                  <c:v>Detentions, total N=1193</c:v>
                </c:pt>
                <c:pt idx="5">
                  <c:v>Referrals, total N=6528</c:v>
                </c:pt>
                <c:pt idx="6">
                  <c:v>Arrests, total N=4635</c:v>
                </c:pt>
                <c:pt idx="7">
                  <c:v>Population, total N=856181</c:v>
                </c:pt>
              </c:strCache>
            </c:strRef>
          </c:cat>
          <c:val>
            <c:numRef>
              <c:f>'Stacked 100%'!$I$7:$I$14</c:f>
              <c:numCache>
                <c:formatCode>0%</c:formatCode>
                <c:ptCount val="8"/>
                <c:pt idx="0">
                  <c:v>0.45</c:v>
                </c:pt>
                <c:pt idx="1">
                  <c:v>0.557037037037037</c:v>
                </c:pt>
                <c:pt idx="2">
                  <c:v>0.56464379947229548</c:v>
                </c:pt>
                <c:pt idx="3">
                  <c:v>0.54319654427645792</c:v>
                </c:pt>
                <c:pt idx="4">
                  <c:v>0.39396479463537298</c:v>
                </c:pt>
                <c:pt idx="5">
                  <c:v>0.56694240196078427</c:v>
                </c:pt>
                <c:pt idx="6">
                  <c:v>0.56224379719525353</c:v>
                </c:pt>
                <c:pt idx="7">
                  <c:v>0.6909613738216569</c:v>
                </c:pt>
              </c:numCache>
            </c:numRef>
          </c:val>
          <c:extLst>
            <c:ext xmlns:c16="http://schemas.microsoft.com/office/drawing/2014/chart" uri="{C3380CC4-5D6E-409C-BE32-E72D297353CC}">
              <c16:uniqueId val="{00000003-FA19-4927-880B-8FC4A6B96E0C}"/>
            </c:ext>
          </c:extLst>
        </c:ser>
        <c:dLbls>
          <c:showLegendKey val="0"/>
          <c:showVal val="0"/>
          <c:showCatName val="0"/>
          <c:showSerName val="0"/>
          <c:showPercent val="0"/>
          <c:showBubbleSize val="0"/>
        </c:dLbls>
        <c:gapWidth val="150"/>
        <c:overlap val="100"/>
        <c:axId val="126325504"/>
        <c:axId val="1263270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N=20</c:v>
                </c:pt>
                <c:pt idx="1">
                  <c:v>Confinement, total N=675</c:v>
                </c:pt>
                <c:pt idx="2">
                  <c:v>Delinquent Findings, total N=2274</c:v>
                </c:pt>
                <c:pt idx="3">
                  <c:v>Petitions, total N=3704</c:v>
                </c:pt>
                <c:pt idx="4">
                  <c:v>Detentions, total N=1193</c:v>
                </c:pt>
                <c:pt idx="5">
                  <c:v>Referrals, total N=6528</c:v>
                </c:pt>
                <c:pt idx="6">
                  <c:v>Arrests, total N=4635</c:v>
                </c:pt>
                <c:pt idx="7">
                  <c:v>Population, total N=856181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19-4927-880B-8FC4A6B96E0C}"/>
            </c:ext>
          </c:extLst>
        </c:ser>
        <c:dLbls>
          <c:showLegendKey val="0"/>
          <c:showVal val="0"/>
          <c:showCatName val="0"/>
          <c:showSerName val="0"/>
          <c:showPercent val="0"/>
          <c:showBubbleSize val="0"/>
        </c:dLbls>
        <c:gapWidth val="150"/>
        <c:overlap val="100"/>
        <c:axId val="126330368"/>
        <c:axId val="126328832"/>
      </c:barChart>
      <c:catAx>
        <c:axId val="1263255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26327040"/>
        <c:crosses val="autoZero"/>
        <c:auto val="1"/>
        <c:lblAlgn val="ctr"/>
        <c:lblOffset val="100"/>
        <c:noMultiLvlLbl val="0"/>
      </c:catAx>
      <c:valAx>
        <c:axId val="1263270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26325504"/>
        <c:crosses val="autoZero"/>
        <c:crossBetween val="between"/>
      </c:valAx>
      <c:valAx>
        <c:axId val="126328832"/>
        <c:scaling>
          <c:orientation val="minMax"/>
        </c:scaling>
        <c:delete val="1"/>
        <c:axPos val="t"/>
        <c:numFmt formatCode="0%" sourceLinked="1"/>
        <c:majorTickMark val="out"/>
        <c:minorTickMark val="none"/>
        <c:tickLblPos val="nextTo"/>
        <c:crossAx val="126330368"/>
        <c:crosses val="max"/>
        <c:crossBetween val="between"/>
      </c:valAx>
      <c:catAx>
        <c:axId val="126330368"/>
        <c:scaling>
          <c:orientation val="minMax"/>
        </c:scaling>
        <c:delete val="1"/>
        <c:axPos val="l"/>
        <c:numFmt formatCode="General" sourceLinked="1"/>
        <c:majorTickMark val="out"/>
        <c:minorTickMark val="none"/>
        <c:tickLblPos val="nextTo"/>
        <c:crossAx val="126328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M12" sqref="M12"/>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124</v>
      </c>
      <c r="B2" s="4"/>
      <c r="C2" s="4"/>
      <c r="D2" s="4"/>
      <c r="E2" s="4"/>
      <c r="F2" s="4"/>
    </row>
    <row r="3" spans="1:11" ht="15" customHeight="1" x14ac:dyDescent="0.25">
      <c r="A3" s="134" t="s">
        <v>138</v>
      </c>
      <c r="B3" s="4"/>
      <c r="C3" s="5" t="s">
        <v>109</v>
      </c>
      <c r="D3" s="6"/>
      <c r="E3" s="6"/>
      <c r="F3" s="6"/>
      <c r="G3" s="7"/>
      <c r="H3" s="7"/>
    </row>
    <row r="4" spans="1:11" ht="15" customHeight="1" x14ac:dyDescent="0.25">
      <c r="A4" s="4"/>
      <c r="B4" s="4"/>
      <c r="C4" s="171" t="s">
        <v>143</v>
      </c>
      <c r="D4" s="171"/>
      <c r="E4" s="171"/>
      <c r="F4" s="171"/>
      <c r="G4" s="8"/>
    </row>
    <row r="5" spans="1:11" ht="65.25" customHeight="1" thickBot="1" x14ac:dyDescent="0.3">
      <c r="A5" s="8"/>
      <c r="B5" s="9" t="s">
        <v>2</v>
      </c>
      <c r="C5" s="9" t="s">
        <v>3</v>
      </c>
      <c r="D5" s="9" t="s">
        <v>134</v>
      </c>
      <c r="E5" s="9" t="s">
        <v>4</v>
      </c>
      <c r="F5" s="9" t="s">
        <v>5</v>
      </c>
      <c r="G5" s="9" t="s">
        <v>137</v>
      </c>
      <c r="H5" s="9" t="s">
        <v>6</v>
      </c>
      <c r="I5" s="9" t="s">
        <v>126</v>
      </c>
      <c r="J5" s="9" t="s">
        <v>7</v>
      </c>
      <c r="K5" s="9" t="s">
        <v>118</v>
      </c>
    </row>
    <row r="6" spans="1:11" ht="15.75" customHeight="1" thickBot="1" x14ac:dyDescent="0.25">
      <c r="A6" s="10" t="s">
        <v>140</v>
      </c>
      <c r="B6" s="11">
        <v>856181</v>
      </c>
      <c r="C6" s="11">
        <v>591588</v>
      </c>
      <c r="D6" s="11">
        <v>148384</v>
      </c>
      <c r="E6" s="11">
        <v>75984</v>
      </c>
      <c r="F6" s="11">
        <v>33353</v>
      </c>
      <c r="G6" s="11">
        <v>0</v>
      </c>
      <c r="H6" s="11">
        <v>6872</v>
      </c>
      <c r="I6" s="11">
        <v>0</v>
      </c>
      <c r="J6" s="168">
        <v>264593</v>
      </c>
      <c r="K6" s="11">
        <v>0</v>
      </c>
    </row>
    <row r="7" spans="1:11" ht="15.75" customHeight="1" thickBot="1" x14ac:dyDescent="0.25">
      <c r="A7" s="167" t="s">
        <v>142</v>
      </c>
      <c r="B7" s="11">
        <v>4635</v>
      </c>
      <c r="C7" s="11">
        <v>2606</v>
      </c>
      <c r="D7" s="11">
        <v>1719</v>
      </c>
      <c r="E7" s="11">
        <v>93</v>
      </c>
      <c r="F7" s="11">
        <v>11</v>
      </c>
      <c r="G7" s="11">
        <v>2</v>
      </c>
      <c r="H7" s="11">
        <v>24</v>
      </c>
      <c r="I7" s="11">
        <v>0</v>
      </c>
      <c r="J7" s="168">
        <v>1849</v>
      </c>
      <c r="K7" s="11">
        <v>180</v>
      </c>
    </row>
    <row r="8" spans="1:11" ht="15.75" customHeight="1" thickBot="1" x14ac:dyDescent="0.25">
      <c r="A8" s="10" t="s">
        <v>9</v>
      </c>
      <c r="B8" s="11">
        <v>6528</v>
      </c>
      <c r="C8" s="11">
        <v>3701</v>
      </c>
      <c r="D8" s="11">
        <v>1814</v>
      </c>
      <c r="E8" s="11">
        <v>143</v>
      </c>
      <c r="F8" s="11">
        <v>10</v>
      </c>
      <c r="G8" s="11">
        <v>0</v>
      </c>
      <c r="H8" s="11">
        <v>58</v>
      </c>
      <c r="I8" s="11">
        <v>220</v>
      </c>
      <c r="J8" s="168">
        <v>2245</v>
      </c>
      <c r="K8" s="11">
        <v>582</v>
      </c>
    </row>
    <row r="9" spans="1:11" ht="15.75" customHeight="1" thickBot="1" x14ac:dyDescent="0.25">
      <c r="A9" s="10" t="s">
        <v>10</v>
      </c>
      <c r="B9" s="11">
        <v>1146</v>
      </c>
      <c r="C9" s="11">
        <v>689</v>
      </c>
      <c r="D9" s="11">
        <v>336</v>
      </c>
      <c r="E9" s="11">
        <v>23</v>
      </c>
      <c r="F9" s="11">
        <v>8</v>
      </c>
      <c r="G9" s="11">
        <v>0</v>
      </c>
      <c r="H9" s="11">
        <v>2</v>
      </c>
      <c r="I9" s="11">
        <v>29</v>
      </c>
      <c r="J9" s="168">
        <v>398</v>
      </c>
      <c r="K9" s="11">
        <v>59</v>
      </c>
    </row>
    <row r="10" spans="1:11" ht="15.75" customHeight="1" thickBot="1" x14ac:dyDescent="0.25">
      <c r="A10" s="10" t="s">
        <v>11</v>
      </c>
      <c r="B10" s="11">
        <v>1193</v>
      </c>
      <c r="C10" s="11">
        <v>470</v>
      </c>
      <c r="D10" s="11">
        <v>549</v>
      </c>
      <c r="E10" s="11">
        <v>39</v>
      </c>
      <c r="F10" s="11">
        <v>0</v>
      </c>
      <c r="G10" s="11">
        <v>0</v>
      </c>
      <c r="H10" s="11">
        <v>2</v>
      </c>
      <c r="I10" s="11">
        <v>78</v>
      </c>
      <c r="J10" s="168">
        <v>668</v>
      </c>
      <c r="K10" s="11">
        <v>55</v>
      </c>
    </row>
    <row r="11" spans="1:11" ht="15.75" customHeight="1" thickBot="1" x14ac:dyDescent="0.25">
      <c r="A11" s="10" t="s">
        <v>12</v>
      </c>
      <c r="B11" s="11">
        <v>3704</v>
      </c>
      <c r="C11" s="11">
        <v>2012</v>
      </c>
      <c r="D11" s="11">
        <v>1195</v>
      </c>
      <c r="E11" s="11">
        <v>82</v>
      </c>
      <c r="F11" s="11">
        <v>2</v>
      </c>
      <c r="G11" s="11">
        <v>0</v>
      </c>
      <c r="H11" s="11">
        <v>23</v>
      </c>
      <c r="I11" s="11">
        <v>133</v>
      </c>
      <c r="J11" s="168">
        <v>1435</v>
      </c>
      <c r="K11" s="11">
        <v>257</v>
      </c>
    </row>
    <row r="12" spans="1:11" ht="15.75" customHeight="1" thickBot="1" x14ac:dyDescent="0.25">
      <c r="A12" s="10" t="s">
        <v>13</v>
      </c>
      <c r="B12" s="11">
        <v>2274</v>
      </c>
      <c r="C12" s="11">
        <v>1284</v>
      </c>
      <c r="D12" s="11">
        <v>665</v>
      </c>
      <c r="E12" s="11">
        <v>63</v>
      </c>
      <c r="F12" s="11">
        <v>0</v>
      </c>
      <c r="G12" s="11">
        <v>0</v>
      </c>
      <c r="H12" s="11">
        <v>18</v>
      </c>
      <c r="I12" s="11">
        <v>78</v>
      </c>
      <c r="J12" s="168">
        <v>824</v>
      </c>
      <c r="K12" s="11">
        <v>166</v>
      </c>
    </row>
    <row r="13" spans="1:11" ht="15.75" customHeight="1" thickBot="1" x14ac:dyDescent="0.25">
      <c r="A13" s="10" t="s">
        <v>135</v>
      </c>
      <c r="B13" s="11">
        <v>2333</v>
      </c>
      <c r="C13" s="11">
        <v>1376</v>
      </c>
      <c r="D13" s="11">
        <v>612</v>
      </c>
      <c r="E13" s="11">
        <v>70</v>
      </c>
      <c r="F13" s="11">
        <v>0</v>
      </c>
      <c r="G13" s="11">
        <v>0</v>
      </c>
      <c r="H13" s="11">
        <v>34</v>
      </c>
      <c r="I13" s="11">
        <v>82</v>
      </c>
      <c r="J13" s="168">
        <v>798</v>
      </c>
      <c r="K13" s="11">
        <v>159</v>
      </c>
    </row>
    <row r="14" spans="1:11" ht="26.25" customHeight="1" thickBot="1" x14ac:dyDescent="0.25">
      <c r="A14" s="10" t="s">
        <v>125</v>
      </c>
      <c r="B14" s="11">
        <v>675</v>
      </c>
      <c r="C14" s="11">
        <v>376</v>
      </c>
      <c r="D14" s="11">
        <v>179</v>
      </c>
      <c r="E14" s="11">
        <v>24</v>
      </c>
      <c r="F14" s="11">
        <v>0</v>
      </c>
      <c r="G14" s="11">
        <v>0</v>
      </c>
      <c r="H14" s="11">
        <v>4</v>
      </c>
      <c r="I14" s="11">
        <v>37</v>
      </c>
      <c r="J14" s="168">
        <v>244</v>
      </c>
      <c r="K14" s="11">
        <v>55</v>
      </c>
    </row>
    <row r="15" spans="1:11" ht="15.75" customHeight="1" thickBot="1" x14ac:dyDescent="0.25">
      <c r="A15" s="10" t="s">
        <v>16</v>
      </c>
      <c r="B15" s="11">
        <v>20</v>
      </c>
      <c r="C15" s="11">
        <v>9</v>
      </c>
      <c r="D15" s="11">
        <v>11</v>
      </c>
      <c r="E15" s="11">
        <v>0</v>
      </c>
      <c r="F15" s="11">
        <v>0</v>
      </c>
      <c r="G15" s="11">
        <v>0</v>
      </c>
      <c r="H15" s="11">
        <v>0</v>
      </c>
      <c r="I15" s="11">
        <v>0</v>
      </c>
      <c r="J15" s="168">
        <v>11</v>
      </c>
      <c r="K15" s="11">
        <v>0</v>
      </c>
    </row>
    <row r="16" spans="1:11" s="14" customFormat="1" ht="15" customHeight="1" x14ac:dyDescent="0.2">
      <c r="A16" s="12" t="s">
        <v>17</v>
      </c>
      <c r="B16" s="13" t="str">
        <f>IF((B6 &gt; ($B6/100)),"Yes","No")</f>
        <v>Yes</v>
      </c>
      <c r="C16" s="13" t="str">
        <f>IF((C6 &gt; ($B6/100)),"Yes","No")</f>
        <v>Yes</v>
      </c>
      <c r="D16" s="13" t="str">
        <f t="shared" ref="D16:J16" si="0">IF((D6 &gt; ($B6/100)),"Yes","No")</f>
        <v>Yes</v>
      </c>
      <c r="E16" s="13" t="str">
        <f t="shared" si="0"/>
        <v>Yes</v>
      </c>
      <c r="F16" s="13" t="str">
        <f t="shared" si="0"/>
        <v>Yes</v>
      </c>
      <c r="G16" s="13" t="str">
        <f t="shared" si="0"/>
        <v>No</v>
      </c>
      <c r="H16" s="13" t="str">
        <f t="shared" si="0"/>
        <v>No</v>
      </c>
      <c r="I16" s="13" t="str">
        <f t="shared" si="0"/>
        <v>No</v>
      </c>
      <c r="J16" s="13" t="str">
        <f t="shared" si="0"/>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144</v>
      </c>
      <c r="B19" s="169"/>
      <c r="C19" s="8"/>
      <c r="D19" s="169" t="s">
        <v>141</v>
      </c>
      <c r="E19" s="169"/>
      <c r="F19" s="169"/>
      <c r="G19" s="169"/>
      <c r="H19" s="169"/>
      <c r="I19" s="169"/>
    </row>
    <row r="20" spans="1:9" ht="15" customHeight="1" x14ac:dyDescent="0.25">
      <c r="A20" s="169" t="s">
        <v>110</v>
      </c>
      <c r="B20" s="169"/>
      <c r="C20" s="8"/>
      <c r="D20" s="169" t="s">
        <v>111</v>
      </c>
      <c r="E20" s="169"/>
      <c r="F20" s="169"/>
      <c r="G20" s="169"/>
      <c r="H20" s="169"/>
      <c r="I20" s="169"/>
    </row>
    <row r="21" spans="1:9" ht="15" customHeight="1" x14ac:dyDescent="0.25">
      <c r="A21" s="169" t="s">
        <v>112</v>
      </c>
      <c r="B21" s="169"/>
      <c r="C21" s="8"/>
      <c r="D21" s="169" t="s">
        <v>113</v>
      </c>
      <c r="E21" s="169"/>
      <c r="F21" s="169"/>
      <c r="G21" s="169"/>
      <c r="H21" s="169"/>
      <c r="I21" s="169"/>
    </row>
    <row r="22" spans="1:9" ht="15" customHeight="1" x14ac:dyDescent="0.25">
      <c r="A22" s="169" t="s">
        <v>114</v>
      </c>
      <c r="B22" s="169"/>
      <c r="C22" s="8"/>
      <c r="D22" s="169" t="s">
        <v>115</v>
      </c>
      <c r="E22" s="169"/>
      <c r="F22" s="169"/>
      <c r="G22" s="169"/>
      <c r="H22" s="169"/>
      <c r="I22" s="169"/>
    </row>
    <row r="23" spans="1:9" ht="15" customHeight="1" x14ac:dyDescent="0.25">
      <c r="A23" s="169" t="s">
        <v>116</v>
      </c>
      <c r="B23" s="169"/>
      <c r="C23" s="8"/>
      <c r="D23" s="169" t="s">
        <v>117</v>
      </c>
      <c r="E23" s="169"/>
      <c r="F23" s="169"/>
      <c r="G23" s="169"/>
      <c r="H23" s="169"/>
      <c r="I23" s="169"/>
    </row>
    <row r="24" spans="1:9" ht="15" customHeight="1" x14ac:dyDescent="0.25">
      <c r="A24" s="8"/>
      <c r="B24" s="8"/>
      <c r="C24" s="8"/>
      <c r="D24" s="8"/>
      <c r="E24" s="8"/>
      <c r="F24" s="8"/>
      <c r="G24" s="8"/>
      <c r="H24" s="8"/>
      <c r="I24" s="8"/>
    </row>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G11" sqref="G11"/>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4" t="str">
        <f>'Data Entry'!I5</f>
        <v>Biracial or Other</v>
      </c>
      <c r="G1" s="214"/>
      <c r="H1" s="214"/>
      <c r="I1" s="214"/>
      <c r="J1" s="214"/>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2606</v>
      </c>
      <c r="Q7" s="42">
        <f>C6-C7</f>
        <v>588982</v>
      </c>
      <c r="R7" s="42">
        <f t="shared" ref="R7:R15" si="5">SUM(N7:Q7)</f>
        <v>591588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3701</v>
      </c>
      <c r="D8" s="34">
        <f>IF((AND(C67&gt;0,C8&gt;0)),(C8/C67),0)</f>
        <v>142.01841903300078</v>
      </c>
      <c r="E8" s="33">
        <f>'Data Entry'!I8</f>
        <v>220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220</v>
      </c>
      <c r="O8" s="42">
        <f>((D67*L67)-E8)+0.05</f>
        <v>-219.95</v>
      </c>
      <c r="P8" s="42">
        <f t="shared" si="4"/>
        <v>3701</v>
      </c>
      <c r="Q8" s="42">
        <f>(C$67*L67)-C8</f>
        <v>-1095</v>
      </c>
      <c r="R8" s="42">
        <f t="shared" si="5"/>
        <v>2606.0500000000002</v>
      </c>
      <c r="S8" s="30">
        <f t="shared" si="6"/>
        <v>856044870578921</v>
      </c>
      <c r="T8" s="30">
        <f t="shared" si="7"/>
        <v>-671816239.18515277</v>
      </c>
      <c r="U8" s="31">
        <f t="shared" si="8"/>
        <v>-1274224.7368375903</v>
      </c>
    </row>
    <row r="9" spans="2:21" ht="18" customHeight="1" x14ac:dyDescent="0.25">
      <c r="B9" s="32" t="str">
        <f>'Data Entry'!A9</f>
        <v xml:space="preserve">4. Cases Diverted </v>
      </c>
      <c r="C9" s="33">
        <f>'Data Entry'!C9</f>
        <v>689</v>
      </c>
      <c r="D9" s="34">
        <f>IF((AND(C68&gt;0,C9&gt;0)),((C9/C68)),0)</f>
        <v>18.616590110780869</v>
      </c>
      <c r="E9" s="33">
        <f>'Data Entry'!I9</f>
        <v>29</v>
      </c>
      <c r="F9" s="34">
        <f>IF((AND($E$9&gt;0,$D$68&gt;0)),(($E$9/$D$68)),0)</f>
        <v>13.18181818181818</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29</v>
      </c>
      <c r="O9" s="42">
        <f>(D$68*L68)-E9</f>
        <v>191.00000000000003</v>
      </c>
      <c r="P9" s="42">
        <f t="shared" si="4"/>
        <v>689</v>
      </c>
      <c r="Q9" s="42">
        <f>(C$68*L68)-C9</f>
        <v>3012</v>
      </c>
      <c r="R9" s="42">
        <f t="shared" si="5"/>
        <v>3921</v>
      </c>
      <c r="S9" s="30">
        <f t="shared" si="6"/>
        <v>7677910074921.0107</v>
      </c>
      <c r="T9" s="30">
        <f t="shared" si="7"/>
        <v>1872505701880.0005</v>
      </c>
      <c r="U9" s="31">
        <f t="shared" si="8"/>
        <v>4.1003400241784949</v>
      </c>
    </row>
    <row r="10" spans="2:21" ht="18" customHeight="1" x14ac:dyDescent="0.25">
      <c r="B10" s="32" t="str">
        <f>'Data Entry'!A10</f>
        <v>5. Cases Involving Secure Detention</v>
      </c>
      <c r="C10" s="33">
        <f>'Data Entry'!C10</f>
        <v>470</v>
      </c>
      <c r="D10" s="34">
        <f>IF(((AND(C68&gt;0,C10&gt;0))),(C10/(C68)),0)</f>
        <v>12.699270467441233</v>
      </c>
      <c r="E10" s="33">
        <f>'Data Entry'!I10</f>
        <v>78</v>
      </c>
      <c r="F10" s="34">
        <f>IF(((AND($E$10&gt;0,$D$68&gt;0))),($E$10/($D$68)),0)</f>
        <v>35.454545454545453</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78</v>
      </c>
      <c r="O10" s="42">
        <f>(D$68*L68)-E10</f>
        <v>142.00000000000003</v>
      </c>
      <c r="P10" s="42">
        <f t="shared" si="4"/>
        <v>470</v>
      </c>
      <c r="Q10" s="42">
        <f>(C$68*L68)-C10</f>
        <v>3231</v>
      </c>
      <c r="R10" s="42">
        <f t="shared" si="5"/>
        <v>3921</v>
      </c>
      <c r="S10" s="30">
        <f t="shared" si="6"/>
        <v>134599842090564</v>
      </c>
      <c r="T10" s="30">
        <f t="shared" si="7"/>
        <v>1505007504880.0002</v>
      </c>
      <c r="U10" s="31">
        <f t="shared" si="8"/>
        <v>89.434665045936853</v>
      </c>
    </row>
    <row r="11" spans="2:21" ht="18" customHeight="1" x14ac:dyDescent="0.25">
      <c r="B11" s="32" t="str">
        <f>'Data Entry'!A11</f>
        <v>6. Cases Petitioned (Charge Filed)</v>
      </c>
      <c r="C11" s="33">
        <f>'Data Entry'!C11</f>
        <v>2012</v>
      </c>
      <c r="D11" s="34">
        <f>IF(((AND(C68&gt;0,C11&gt;0))),(C11/(C68)),0)</f>
        <v>54.363685490408002</v>
      </c>
      <c r="E11" s="33">
        <f>'Data Entry'!I11</f>
        <v>133</v>
      </c>
      <c r="F11" s="34">
        <f>IF(((AND($E$11&gt;0,$D$68&gt;0))),($E$11/($D$68)),0)</f>
        <v>60.454545454545446</v>
      </c>
      <c r="G11" s="39" t="str">
        <f t="shared" si="0"/>
        <v>*</v>
      </c>
      <c r="H11" s="40"/>
      <c r="I11" s="41"/>
      <c r="J11" s="40">
        <f>IF((ABS($U11)&gt;Defaults!D$7),1,2)</f>
        <v>2</v>
      </c>
      <c r="K11" s="39">
        <f>IF((AND(N11&gt;Defaults!B$12,(N11+O11)&gt;Defaults!B$13, P11 &gt; Defaults!B$12, (P11+Q11) &gt; Defaults!B$13)),1,20)</f>
        <v>1</v>
      </c>
      <c r="L11" s="1">
        <f t="shared" si="1"/>
        <v>101</v>
      </c>
      <c r="M11" s="1" t="b">
        <f t="shared" si="2"/>
        <v>1</v>
      </c>
      <c r="N11" s="42">
        <f t="shared" si="3"/>
        <v>133</v>
      </c>
      <c r="O11" s="42">
        <f>(D$68*L68)-E11</f>
        <v>87.000000000000028</v>
      </c>
      <c r="P11" s="42">
        <f t="shared" si="4"/>
        <v>2012</v>
      </c>
      <c r="Q11" s="42">
        <f>(C$68*L68)-C11</f>
        <v>1689</v>
      </c>
      <c r="R11" s="42">
        <f t="shared" si="5"/>
        <v>3921</v>
      </c>
      <c r="S11" s="30">
        <f t="shared" si="6"/>
        <v>9643564809728.9785</v>
      </c>
      <c r="T11" s="30">
        <f t="shared" si="7"/>
        <v>3101787374400.0005</v>
      </c>
      <c r="U11" s="31">
        <f t="shared" si="8"/>
        <v>3.1090347743756608</v>
      </c>
    </row>
    <row r="12" spans="2:21" ht="18" customHeight="1" x14ac:dyDescent="0.25">
      <c r="B12" s="32" t="str">
        <f>'Data Entry'!A12</f>
        <v>7. Cases Resulting in Delinquent Findings</v>
      </c>
      <c r="C12" s="33">
        <f>'Data Entry'!C12</f>
        <v>1284</v>
      </c>
      <c r="D12" s="34">
        <f>IF(((AND(C69&gt;0,C12&gt;0))),(C12/(C69)),0)</f>
        <v>63.817097415506957</v>
      </c>
      <c r="E12" s="33">
        <f>'Data Entry'!I12</f>
        <v>78</v>
      </c>
      <c r="F12" s="34">
        <f>IF(((AND($D$69&gt;0,$E$12&gt;0))),(E12/(D69)),0)</f>
        <v>58.646616541353382</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78</v>
      </c>
      <c r="O12" s="42">
        <f>(D69*L69)-E12</f>
        <v>55</v>
      </c>
      <c r="P12" s="42">
        <f t="shared" si="4"/>
        <v>1284</v>
      </c>
      <c r="Q12" s="42">
        <f>(C69*L69)-C12</f>
        <v>728</v>
      </c>
      <c r="R12" s="42">
        <f t="shared" si="5"/>
        <v>2145</v>
      </c>
      <c r="S12" s="30">
        <f t="shared" si="6"/>
        <v>410627851920</v>
      </c>
      <c r="T12" s="30">
        <f t="shared" si="7"/>
        <v>285376683816</v>
      </c>
      <c r="U12" s="31">
        <f t="shared" si="8"/>
        <v>1.4388976927938415</v>
      </c>
    </row>
    <row r="13" spans="2:21" ht="18" customHeight="1" x14ac:dyDescent="0.25">
      <c r="B13" s="32" t="str">
        <f>'Data Entry'!A13</f>
        <v>8. Cases Resulting in Probation Placement</v>
      </c>
      <c r="C13" s="33">
        <f>'Data Entry'!C13</f>
        <v>1376</v>
      </c>
      <c r="D13" s="34">
        <f>IF(((AND(C70&gt;0,C13&gt;0))),(C13/(C70)),0)</f>
        <v>107.16510903426791</v>
      </c>
      <c r="E13" s="33">
        <f>'Data Entry'!I13</f>
        <v>82</v>
      </c>
      <c r="F13" s="34">
        <f>IF(((AND($D$70&gt;0,$E$13&gt;0))),($E$13/($D$70)),0)</f>
        <v>105.12820512820512</v>
      </c>
      <c r="G13" s="39" t="str">
        <f t="shared" si="0"/>
        <v>*</v>
      </c>
      <c r="H13" s="40"/>
      <c r="I13" s="41"/>
      <c r="J13" s="40">
        <f>IF((ABS($U13)&gt;Defaults!D$7),1,2)</f>
        <v>2</v>
      </c>
      <c r="K13" s="39">
        <f>IF((AND(N13&gt;Defaults!B$12,(N13+O13)&gt;Defaults!B$13, P13 &gt; Defaults!B$12, (P13+Q13) &gt; Defaults!B$13)),1,20)</f>
        <v>1</v>
      </c>
      <c r="L13" s="1">
        <f t="shared" si="1"/>
        <v>101</v>
      </c>
      <c r="M13" s="1" t="b">
        <f t="shared" si="2"/>
        <v>1</v>
      </c>
      <c r="N13" s="42">
        <f t="shared" si="3"/>
        <v>82</v>
      </c>
      <c r="O13" s="42">
        <f>(D70*L70)-E13</f>
        <v>-4</v>
      </c>
      <c r="P13" s="42">
        <f t="shared" si="4"/>
        <v>1376</v>
      </c>
      <c r="Q13" s="42">
        <f>(C70*L70)-C13</f>
        <v>-92</v>
      </c>
      <c r="R13" s="42">
        <f t="shared" si="5"/>
        <v>1362</v>
      </c>
      <c r="S13" s="30">
        <f t="shared" si="6"/>
        <v>5668099200</v>
      </c>
      <c r="T13" s="30">
        <f t="shared" si="7"/>
        <v>-14018075136</v>
      </c>
      <c r="U13" s="31">
        <f t="shared" si="8"/>
        <v>-0.40434218999466492</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Entry'!I14</f>
        <v>37</v>
      </c>
      <c r="F14" s="34">
        <f>IF(((AND($D$70&gt;0,$E$14&gt;0))), (($E$14/($D$70))),0)</f>
        <v>47.435897435897431</v>
      </c>
      <c r="G14" s="39" t="str">
        <f t="shared" si="0"/>
        <v>*</v>
      </c>
      <c r="H14" s="40"/>
      <c r="I14" s="41"/>
      <c r="J14" s="40">
        <f>IF((ABS($U14)&gt;Defaults!D$7),1,2)</f>
        <v>1</v>
      </c>
      <c r="K14" s="39">
        <f>IF((AND(N14&gt;Defaults!B$12,(N14+O14)&gt;Defaults!B$13, P14 &gt; Defaults!B$12, (P14+Q14) &gt; Defaults!B$13)),1,20)</f>
        <v>1</v>
      </c>
      <c r="L14" s="1">
        <f t="shared" si="1"/>
        <v>100</v>
      </c>
      <c r="M14" s="1" t="b">
        <f t="shared" si="2"/>
        <v>1</v>
      </c>
      <c r="N14" s="42">
        <f t="shared" si="3"/>
        <v>37</v>
      </c>
      <c r="O14" s="42">
        <f>(D70*L70)-E14</f>
        <v>41</v>
      </c>
      <c r="P14" s="42">
        <f t="shared" si="4"/>
        <v>376</v>
      </c>
      <c r="Q14" s="42">
        <f>(C70*L70)-C14</f>
        <v>908</v>
      </c>
      <c r="R14" s="42">
        <f t="shared" si="5"/>
        <v>1362</v>
      </c>
      <c r="S14" s="30">
        <f t="shared" si="6"/>
        <v>450157888800</v>
      </c>
      <c r="T14" s="30">
        <f t="shared" si="7"/>
        <v>39253274424</v>
      </c>
      <c r="U14" s="31">
        <f t="shared" si="8"/>
        <v>11.468034078827502</v>
      </c>
    </row>
    <row r="15" spans="2:21" ht="15.75" customHeight="1" x14ac:dyDescent="0.25">
      <c r="B15" s="32" t="str">
        <f>'Data Entry'!A15</f>
        <v xml:space="preserve">10. Cases Transferred to Adult Court </v>
      </c>
      <c r="C15" s="33">
        <f>'Data Entry'!C15</f>
        <v>9</v>
      </c>
      <c r="D15" s="34">
        <f>IF(((AND(C69&gt;0,C15&gt;0))),((C15/(C69))),0)</f>
        <v>0.44731610337972166</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133</v>
      </c>
      <c r="P15" s="42">
        <f t="shared" si="4"/>
        <v>9</v>
      </c>
      <c r="Q15" s="42">
        <f>(C69*L69)-C15</f>
        <v>2003</v>
      </c>
      <c r="R15" s="42">
        <f t="shared" si="5"/>
        <v>2145</v>
      </c>
      <c r="S15" s="30">
        <f t="shared" si="6"/>
        <v>3073375305</v>
      </c>
      <c r="T15" s="30">
        <f t="shared" si="7"/>
        <v>5144265504</v>
      </c>
      <c r="U15" s="31">
        <f t="shared" si="8"/>
        <v>0.59743714678222803</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0</v>
      </c>
      <c r="E42" s="56">
        <f>MAX(C42:D42)</f>
        <v>591.58799999999997</v>
      </c>
      <c r="G42" s="1" t="str">
        <f>B42</f>
        <v>per 1000 youth</v>
      </c>
      <c r="L42" s="57">
        <v>1000</v>
      </c>
      <c r="M42" s="57"/>
      <c r="R42" s="49"/>
    </row>
    <row r="43" spans="2:18" ht="15" hidden="1" customHeight="1" x14ac:dyDescent="0.25">
      <c r="B43" s="49" t="s">
        <v>88</v>
      </c>
      <c r="C43" s="56">
        <f>C7/100</f>
        <v>26.06</v>
      </c>
      <c r="D43" s="56">
        <f>E7/100</f>
        <v>0</v>
      </c>
      <c r="E43" s="56">
        <f>MAX(C43:D43,0)</f>
        <v>26.06</v>
      </c>
      <c r="G43" s="1" t="str">
        <f>B43</f>
        <v>per 100 arrests</v>
      </c>
      <c r="L43" s="57">
        <v>100</v>
      </c>
      <c r="M43" s="57"/>
      <c r="R43" s="49"/>
    </row>
    <row r="44" spans="2:18" ht="15" hidden="1" customHeight="1" x14ac:dyDescent="0.25">
      <c r="B44" s="49" t="s">
        <v>89</v>
      </c>
      <c r="C44" s="56">
        <f>C8/100</f>
        <v>37.01</v>
      </c>
      <c r="D44" s="56">
        <f>E8/100</f>
        <v>2.2000000000000002</v>
      </c>
      <c r="E44" s="56">
        <f>MAX(C44:D44,0)</f>
        <v>37.01</v>
      </c>
      <c r="G44" s="1" t="str">
        <f>B44</f>
        <v>per 100 referrals</v>
      </c>
      <c r="L44" s="57">
        <v>100</v>
      </c>
      <c r="M44" s="57"/>
      <c r="R44" s="49"/>
    </row>
    <row r="45" spans="2:18" ht="15" hidden="1" customHeight="1" x14ac:dyDescent="0.25">
      <c r="B45" s="49" t="s">
        <v>90</v>
      </c>
      <c r="C45" s="49">
        <f>C11/100</f>
        <v>20.12</v>
      </c>
      <c r="D45" s="49">
        <f>E11/100</f>
        <v>1.33</v>
      </c>
      <c r="E45" s="56">
        <f>MAX(C45:D45,0)</f>
        <v>20.12</v>
      </c>
      <c r="G45" s="1" t="str">
        <f>B45</f>
        <v>per 100 youth petitioned</v>
      </c>
      <c r="L45" s="57">
        <v>100</v>
      </c>
      <c r="M45" s="57"/>
      <c r="R45" s="49"/>
    </row>
    <row r="46" spans="2:18" ht="15" hidden="1" customHeight="1" x14ac:dyDescent="0.25">
      <c r="B46" s="49" t="s">
        <v>91</v>
      </c>
      <c r="C46" s="49">
        <f>C12/100</f>
        <v>12.84</v>
      </c>
      <c r="D46" s="49">
        <f>E12/100</f>
        <v>0.78</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0</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26.06</v>
      </c>
      <c r="D49" s="49">
        <f t="shared" si="9"/>
        <v>0</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2.2000000000000002</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1.33</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0.78</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0</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0</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2.2000000000000002</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1.33</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0.78</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0</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0</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2.2000000000000002</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1.33</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0.78</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0</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0</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2.2000000000000002</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1.33</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0.78</v>
      </c>
      <c r="E70" s="56">
        <f>MAX(C70:D70)</f>
        <v>12.84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4" t="str">
        <f>'Data Entry'!J5</f>
        <v>All Minorities</v>
      </c>
      <c r="G1" s="214"/>
      <c r="H1" s="214"/>
      <c r="I1" s="214"/>
      <c r="J1" s="214"/>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Entry'!J6</f>
        <v>264593</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Entry'!J7</f>
        <v>1849</v>
      </c>
      <c r="F7" s="34">
        <f>IF((AND($E$7&gt;0,$D$66&gt;0)),($E$7/$D$66),0)</f>
        <v>6.9880911437566366</v>
      </c>
      <c r="G7" s="39">
        <f t="shared" ref="G7:G15" si="0">IF(L$6=100,"*",IF(M7=FALSE,"--",IF(K7=20,"**",($F7/$D7))))</f>
        <v>1.5863664096518422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1849</v>
      </c>
      <c r="O7" s="42">
        <f>E6-E7</f>
        <v>262744</v>
      </c>
      <c r="P7" s="42">
        <f t="shared" ref="P7:P15" si="4">C7</f>
        <v>2606</v>
      </c>
      <c r="Q7" s="42">
        <f>C6-C7</f>
        <v>588982</v>
      </c>
      <c r="R7" s="42">
        <f t="shared" ref="R7:R15" si="5">SUM(N7:Q7)</f>
        <v>856181</v>
      </c>
      <c r="S7" s="30">
        <f t="shared" ref="S7:S15" si="6">R7*((((N7*Q7)-(O7*P7))^2))</f>
        <v>1.3996172182819502E+23</v>
      </c>
      <c r="T7" s="30">
        <f t="shared" ref="T7:T15" si="7">(N7+O7)*(P7+Q7)*(N7+P7)*(O7+Q7)</f>
        <v>5.9394375408118766E+20</v>
      </c>
      <c r="U7" s="31">
        <f t="shared" ref="U7:U15" si="8">IF((S7&gt;0),S7/T7,"- -")</f>
        <v>235.64810786622616</v>
      </c>
    </row>
    <row r="8" spans="2:21" ht="18" customHeight="1" x14ac:dyDescent="0.25">
      <c r="B8" s="32" t="str">
        <f>'Data Entry'!A8</f>
        <v>3. Refer to Juvenile Court</v>
      </c>
      <c r="C8" s="33">
        <f>'Data Entry'!C8</f>
        <v>3701</v>
      </c>
      <c r="D8" s="34">
        <f>IF((AND(C67&gt;0,C8&gt;0)),(C8/C67),0)</f>
        <v>142.01841903300078</v>
      </c>
      <c r="E8" s="33">
        <f>'Data Entry'!J8</f>
        <v>2245</v>
      </c>
      <c r="F8" s="34">
        <f>IF((AND($E$8&gt;0,$D$67&gt;0)),($E8/$D67),0)</f>
        <v>121.41698215251488</v>
      </c>
      <c r="G8" s="39">
        <f t="shared" si="0"/>
        <v>0.85493827476210138</v>
      </c>
      <c r="H8" s="40"/>
      <c r="I8" s="41"/>
      <c r="J8" s="40">
        <f>IF((ABS($U8)&gt;Defaults!D$7),1,2)</f>
        <v>1</v>
      </c>
      <c r="K8" s="39">
        <f>IF((AND(N8&gt;Defaults!B$12,(N8+O8)&gt;Defaults!B$13, P8 &gt; Defaults!B$12, (P8+Q8) &gt; Defaults!B$13)),1,20)</f>
        <v>1</v>
      </c>
      <c r="L8" s="1">
        <f t="shared" si="1"/>
        <v>1</v>
      </c>
      <c r="M8" s="1" t="b">
        <f t="shared" si="2"/>
        <v>1</v>
      </c>
      <c r="N8" s="42">
        <f t="shared" si="3"/>
        <v>2245</v>
      </c>
      <c r="O8" s="42">
        <f>((D67*L67)-E8)+0.05</f>
        <v>-395.95000000000022</v>
      </c>
      <c r="P8" s="42">
        <f t="shared" si="4"/>
        <v>3701</v>
      </c>
      <c r="Q8" s="42">
        <f>(C$67*L67)-C8</f>
        <v>-1095</v>
      </c>
      <c r="R8" s="42">
        <f t="shared" si="5"/>
        <v>4455.0499999999993</v>
      </c>
      <c r="S8" s="30">
        <f t="shared" si="6"/>
        <v>4391694830991684</v>
      </c>
      <c r="T8" s="30">
        <f t="shared" si="7"/>
        <v>-42718013693905.406</v>
      </c>
      <c r="U8" s="31">
        <f t="shared" si="8"/>
        <v>-102.80662538432232</v>
      </c>
    </row>
    <row r="9" spans="2:21" ht="18" customHeight="1" x14ac:dyDescent="0.25">
      <c r="B9" s="32" t="str">
        <f>'Data Entry'!A9</f>
        <v xml:space="preserve">4. Cases Diverted </v>
      </c>
      <c r="C9" s="33">
        <f>'Data Entry'!C9</f>
        <v>689</v>
      </c>
      <c r="D9" s="34">
        <f>IF((AND(C68&gt;0,C9&gt;0)),((C9/C68)),0)</f>
        <v>18.616590110780869</v>
      </c>
      <c r="E9" s="33">
        <f>'Data Entry'!J9</f>
        <v>398</v>
      </c>
      <c r="F9" s="34">
        <f>IF((AND($E$9&gt;0,$D$68&gt;0)),(($E$9/$D$68)),0)</f>
        <v>17.728285077951004</v>
      </c>
      <c r="G9" s="39">
        <f t="shared" si="0"/>
        <v>0.95228422457905171</v>
      </c>
      <c r="H9" s="40"/>
      <c r="I9" s="41"/>
      <c r="J9" s="40">
        <f>IF((ABS($U9)&gt;Defaults!D$7),1,2)</f>
        <v>2</v>
      </c>
      <c r="K9" s="39">
        <f>IF((AND(N9&gt;Defaults!B$12,(N9+O9)&gt;Defaults!B$13, P9 &gt; Defaults!B$12, (P9+Q9) &gt; Defaults!B$13)),1,20)</f>
        <v>1</v>
      </c>
      <c r="L9" s="1">
        <f t="shared" si="1"/>
        <v>2</v>
      </c>
      <c r="M9" s="1" t="b">
        <f t="shared" si="2"/>
        <v>1</v>
      </c>
      <c r="N9" s="42">
        <f t="shared" si="3"/>
        <v>398</v>
      </c>
      <c r="O9" s="42">
        <f>(D$68*L68)-E9</f>
        <v>1847</v>
      </c>
      <c r="P9" s="42">
        <f t="shared" si="4"/>
        <v>689</v>
      </c>
      <c r="Q9" s="42">
        <f>(C$68*L68)-C9</f>
        <v>3012</v>
      </c>
      <c r="R9" s="42">
        <f t="shared" si="5"/>
        <v>5946</v>
      </c>
      <c r="S9" s="30">
        <f t="shared" si="6"/>
        <v>32390675938554</v>
      </c>
      <c r="T9" s="30">
        <f t="shared" si="7"/>
        <v>43884572655085</v>
      </c>
      <c r="U9" s="31">
        <f t="shared" si="8"/>
        <v>0.73808798807570986</v>
      </c>
    </row>
    <row r="10" spans="2:21" ht="18" customHeight="1" x14ac:dyDescent="0.25">
      <c r="B10" s="32" t="str">
        <f>'Data Entry'!A10</f>
        <v>5. Cases Involving Secure Detention</v>
      </c>
      <c r="C10" s="33">
        <f>'Data Entry'!C10</f>
        <v>470</v>
      </c>
      <c r="D10" s="34">
        <f>IF(((AND(C68&gt;0,C10&gt;0))),(C10/(C68)),0)</f>
        <v>12.699270467441233</v>
      </c>
      <c r="E10" s="33">
        <f>'Data Entry'!J10</f>
        <v>668</v>
      </c>
      <c r="F10" s="34">
        <f>IF(((AND($E$10&gt;0,$D$68&gt;0))),($E$10/($D$68)),0)</f>
        <v>29.755011135857462</v>
      </c>
      <c r="G10" s="39">
        <f t="shared" si="0"/>
        <v>2.3430488556129458</v>
      </c>
      <c r="H10" s="40"/>
      <c r="I10" s="41"/>
      <c r="J10" s="40">
        <f>IF((ABS($U10)&gt;Defaults!D$7),1,2)</f>
        <v>1</v>
      </c>
      <c r="K10" s="39">
        <f>IF((AND(N10&gt;Defaults!B$12,(N10+O10)&gt;Defaults!B$13, P10 &gt; Defaults!B$12, (P10+Q10) &gt; Defaults!B$13)),1,20)</f>
        <v>1</v>
      </c>
      <c r="L10" s="1">
        <f t="shared" si="1"/>
        <v>1</v>
      </c>
      <c r="M10" s="1" t="b">
        <f t="shared" si="2"/>
        <v>1</v>
      </c>
      <c r="N10" s="42">
        <f t="shared" si="3"/>
        <v>668</v>
      </c>
      <c r="O10" s="42">
        <f>(D$68*L68)-E10</f>
        <v>1577</v>
      </c>
      <c r="P10" s="42">
        <f t="shared" si="4"/>
        <v>470</v>
      </c>
      <c r="Q10" s="42">
        <f>(C$68*L68)-C10</f>
        <v>3231</v>
      </c>
      <c r="R10" s="42">
        <f t="shared" si="5"/>
        <v>5946</v>
      </c>
      <c r="S10" s="30">
        <f t="shared" si="6"/>
        <v>1.1940896490544104E+16</v>
      </c>
      <c r="T10" s="30">
        <f t="shared" si="7"/>
        <v>45461331502480</v>
      </c>
      <c r="U10" s="31">
        <f t="shared" si="8"/>
        <v>262.66050940220936</v>
      </c>
    </row>
    <row r="11" spans="2:21" ht="18" customHeight="1" x14ac:dyDescent="0.25">
      <c r="B11" s="32" t="str">
        <f>'Data Entry'!A11</f>
        <v>6. Cases Petitioned (Charge Filed)</v>
      </c>
      <c r="C11" s="33">
        <f>'Data Entry'!C11</f>
        <v>2012</v>
      </c>
      <c r="D11" s="34">
        <f>IF(((AND(C68&gt;0,C11&gt;0))),(C11/(C68)),0)</f>
        <v>54.363685490408002</v>
      </c>
      <c r="E11" s="33">
        <f>'Data Entry'!J11</f>
        <v>1435</v>
      </c>
      <c r="F11" s="34">
        <f>IF(((AND($E$11&gt;0,$D$68&gt;0))),($E$11/($D$68)),0)</f>
        <v>63.919821826280625</v>
      </c>
      <c r="G11" s="39">
        <f t="shared" si="0"/>
        <v>1.1757816132160268</v>
      </c>
      <c r="H11" s="40"/>
      <c r="I11" s="41"/>
      <c r="J11" s="40">
        <f>IF((ABS($U11)&gt;Defaults!D$7),1,2)</f>
        <v>1</v>
      </c>
      <c r="K11" s="39">
        <f>IF((AND(N11&gt;Defaults!B$12,(N11+O11)&gt;Defaults!B$13, P11 &gt; Defaults!B$12, (P11+Q11) &gt; Defaults!B$13)),1,20)</f>
        <v>1</v>
      </c>
      <c r="L11" s="1">
        <f t="shared" si="1"/>
        <v>1</v>
      </c>
      <c r="M11" s="1" t="b">
        <f t="shared" si="2"/>
        <v>1</v>
      </c>
      <c r="N11" s="42">
        <f t="shared" si="3"/>
        <v>1435</v>
      </c>
      <c r="O11" s="42">
        <f>(D$68*L68)-E11</f>
        <v>810</v>
      </c>
      <c r="P11" s="42">
        <f t="shared" si="4"/>
        <v>2012</v>
      </c>
      <c r="Q11" s="42">
        <f>(C$68*L68)-C11</f>
        <v>1689</v>
      </c>
      <c r="R11" s="42">
        <f t="shared" si="5"/>
        <v>5946</v>
      </c>
      <c r="S11" s="30">
        <f t="shared" si="6"/>
        <v>3748525244908650</v>
      </c>
      <c r="T11" s="30">
        <f t="shared" si="7"/>
        <v>71571969793485</v>
      </c>
      <c r="U11" s="31">
        <f t="shared" si="8"/>
        <v>52.374208167313398</v>
      </c>
    </row>
    <row r="12" spans="2:21" ht="18" customHeight="1" x14ac:dyDescent="0.25">
      <c r="B12" s="32" t="str">
        <f>'Data Entry'!A12</f>
        <v>7. Cases Resulting in Delinquent Findings</v>
      </c>
      <c r="C12" s="33">
        <f>'Data Entry'!C12</f>
        <v>1284</v>
      </c>
      <c r="D12" s="34">
        <f>IF(((AND(C69&gt;0,C12&gt;0))),(C12/(C69)),0)</f>
        <v>63.817097415506957</v>
      </c>
      <c r="E12" s="33">
        <f>'Data Entry'!J12</f>
        <v>824</v>
      </c>
      <c r="F12" s="34">
        <f>IF(((AND($D$69&gt;0,$E$12&gt;0))),(E12/(D69)),0)</f>
        <v>57.42160278745645</v>
      </c>
      <c r="G12" s="39">
        <f t="shared" si="0"/>
        <v>0.89978399383459795</v>
      </c>
      <c r="H12" s="40"/>
      <c r="I12" s="41"/>
      <c r="J12" s="40">
        <f>IF((ABS($U12)&gt;Defaults!D$7),1,2)</f>
        <v>1</v>
      </c>
      <c r="K12" s="39">
        <f>IF((AND(N12&gt;Defaults!B$12,(N12+O12)&gt;Defaults!B$13, P12 &gt; Defaults!B$12, (P12+Q12) &gt; Defaults!B$13)),1,20)</f>
        <v>1</v>
      </c>
      <c r="L12" s="1">
        <f t="shared" si="1"/>
        <v>1</v>
      </c>
      <c r="M12" s="1" t="b">
        <f t="shared" si="2"/>
        <v>1</v>
      </c>
      <c r="N12" s="42">
        <f t="shared" si="3"/>
        <v>824</v>
      </c>
      <c r="O12" s="42">
        <f>(D69*L69)-E12</f>
        <v>611</v>
      </c>
      <c r="P12" s="42">
        <f t="shared" si="4"/>
        <v>1284</v>
      </c>
      <c r="Q12" s="42">
        <f>(C69*L69)-C12</f>
        <v>728</v>
      </c>
      <c r="R12" s="42">
        <f t="shared" si="5"/>
        <v>3447</v>
      </c>
      <c r="S12" s="30">
        <f t="shared" si="6"/>
        <v>117530156725488</v>
      </c>
      <c r="T12" s="30">
        <f t="shared" si="7"/>
        <v>8149501818640</v>
      </c>
      <c r="U12" s="31">
        <f t="shared" si="8"/>
        <v>14.421759678200992</v>
      </c>
    </row>
    <row r="13" spans="2:21" ht="18" customHeight="1" x14ac:dyDescent="0.25">
      <c r="B13" s="32" t="str">
        <f>'Data Entry'!A13</f>
        <v>8. Cases Resulting in Probation Placement</v>
      </c>
      <c r="C13" s="33">
        <f>'Data Entry'!C13</f>
        <v>1376</v>
      </c>
      <c r="D13" s="34">
        <f>IF(((AND(C70&gt;0,C13&gt;0))),(C13/(C70)),0)</f>
        <v>107.16510903426791</v>
      </c>
      <c r="E13" s="33">
        <f>'Data Entry'!J13</f>
        <v>798</v>
      </c>
      <c r="F13" s="34">
        <f>IF(((AND($D$70&gt;0,$E$13&gt;0))),($E$13/($D$70)),0)</f>
        <v>96.84466019417475</v>
      </c>
      <c r="G13" s="39">
        <f t="shared" si="0"/>
        <v>0.90369581169564228</v>
      </c>
      <c r="H13" s="40"/>
      <c r="I13" s="41"/>
      <c r="J13" s="40">
        <f>IF((ABS($U13)&gt;Defaults!D$7),1,2)</f>
        <v>1</v>
      </c>
      <c r="K13" s="39">
        <f>IF((AND(N13&gt;Defaults!B$12,(N13+O13)&gt;Defaults!B$13, P13 &gt; Defaults!B$12, (P13+Q13) &gt; Defaults!B$13)),1,20)</f>
        <v>1</v>
      </c>
      <c r="L13" s="1">
        <f t="shared" si="1"/>
        <v>1</v>
      </c>
      <c r="M13" s="1" t="b">
        <f t="shared" si="2"/>
        <v>1</v>
      </c>
      <c r="N13" s="42">
        <f t="shared" si="3"/>
        <v>798</v>
      </c>
      <c r="O13" s="42">
        <f>(D70*L70)-E13</f>
        <v>26</v>
      </c>
      <c r="P13" s="42">
        <f t="shared" si="4"/>
        <v>1376</v>
      </c>
      <c r="Q13" s="42">
        <f>(C70*L70)-C13</f>
        <v>-92</v>
      </c>
      <c r="R13" s="42">
        <f t="shared" si="5"/>
        <v>2108</v>
      </c>
      <c r="S13" s="30">
        <f t="shared" si="6"/>
        <v>25133458157312</v>
      </c>
      <c r="T13" s="30">
        <f t="shared" si="7"/>
        <v>-151808367744</v>
      </c>
      <c r="U13" s="31">
        <f t="shared" si="8"/>
        <v>-165.56042681188345</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Entry'!J14</f>
        <v>244</v>
      </c>
      <c r="F14" s="34">
        <f>IF(((AND($D$70&gt;0,$E$14&gt;0))), (($E$14/($D$70))),0)</f>
        <v>29.611650485436893</v>
      </c>
      <c r="G14" s="39">
        <f t="shared" si="0"/>
        <v>1.0112063623218344</v>
      </c>
      <c r="H14" s="40"/>
      <c r="I14" s="41"/>
      <c r="J14" s="40">
        <f>IF((ABS($U14)&gt;Defaults!D$7),1,2)</f>
        <v>2</v>
      </c>
      <c r="K14" s="39">
        <f>IF((AND(N14&gt;Defaults!B$12,(N14+O14)&gt;Defaults!B$13, P14 &gt; Defaults!B$12, (P14+Q14) &gt; Defaults!B$13)),1,20)</f>
        <v>1</v>
      </c>
      <c r="L14" s="1">
        <f t="shared" si="1"/>
        <v>2</v>
      </c>
      <c r="M14" s="1" t="b">
        <f t="shared" si="2"/>
        <v>1</v>
      </c>
      <c r="N14" s="42">
        <f t="shared" si="3"/>
        <v>244</v>
      </c>
      <c r="O14" s="42">
        <f>(D70*L70)-E14</f>
        <v>580</v>
      </c>
      <c r="P14" s="42">
        <f t="shared" si="4"/>
        <v>376</v>
      </c>
      <c r="Q14" s="42">
        <f>(C70*L70)-C14</f>
        <v>908</v>
      </c>
      <c r="R14" s="42">
        <f t="shared" si="5"/>
        <v>2108</v>
      </c>
      <c r="S14" s="30">
        <f t="shared" si="6"/>
        <v>25411484672</v>
      </c>
      <c r="T14" s="30">
        <f t="shared" si="7"/>
        <v>976083240960</v>
      </c>
      <c r="U14" s="31">
        <f t="shared" si="8"/>
        <v>2.6034136849852303E-2</v>
      </c>
    </row>
    <row r="15" spans="2:21" ht="15.75" customHeight="1" x14ac:dyDescent="0.25">
      <c r="B15" s="32" t="str">
        <f>'Data Entry'!A15</f>
        <v xml:space="preserve">10. Cases Transferred to Adult Court </v>
      </c>
      <c r="C15" s="33">
        <f>'Data Entry'!C15</f>
        <v>9</v>
      </c>
      <c r="D15" s="34">
        <f>IF(((AND(C69&gt;0,C15&gt;0))),((C15/(C69))),0)</f>
        <v>0.44731610337972166</v>
      </c>
      <c r="E15" s="33">
        <f>'Data Entry'!J15</f>
        <v>11</v>
      </c>
      <c r="F15" s="34">
        <f>IF(((AND($D$69&gt;0,$E$15&gt;0))),(($E$15/($D$69))),0)</f>
        <v>0.76655052264808365</v>
      </c>
      <c r="G15" s="39">
        <f t="shared" si="0"/>
        <v>1.7136662795199382</v>
      </c>
      <c r="H15" s="40"/>
      <c r="I15" s="41"/>
      <c r="J15" s="40">
        <f>IF((ABS($U15)&gt;Defaults!D$7),1,2)</f>
        <v>2</v>
      </c>
      <c r="K15" s="39">
        <f>IF((AND(N15&gt;Defaults!B$12,(N15+O15)&gt;Defaults!B$13, P15 &gt; Defaults!B$12, (P15+Q15) &gt; Defaults!B$13)),1,20)</f>
        <v>1</v>
      </c>
      <c r="L15" s="1">
        <f t="shared" si="1"/>
        <v>2</v>
      </c>
      <c r="M15" s="1" t="b">
        <f t="shared" si="2"/>
        <v>1</v>
      </c>
      <c r="N15" s="42">
        <f t="shared" si="3"/>
        <v>11</v>
      </c>
      <c r="O15" s="42">
        <f>(D69*L69)-E15</f>
        <v>1424</v>
      </c>
      <c r="P15" s="42">
        <f t="shared" si="4"/>
        <v>9</v>
      </c>
      <c r="Q15" s="42">
        <f>(C69*L69)-C15</f>
        <v>2003</v>
      </c>
      <c r="R15" s="42">
        <f t="shared" si="5"/>
        <v>3447</v>
      </c>
      <c r="S15" s="30">
        <f t="shared" si="6"/>
        <v>292833297783</v>
      </c>
      <c r="T15" s="30">
        <f t="shared" si="7"/>
        <v>197890058800</v>
      </c>
      <c r="U15" s="31">
        <f t="shared" si="8"/>
        <v>1.4797777086870014</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264.59300000000002</v>
      </c>
      <c r="E42" s="56">
        <f>MAX(C42:D42)</f>
        <v>591.58799999999997</v>
      </c>
      <c r="G42" s="1" t="str">
        <f>B42</f>
        <v>per 1000 youth</v>
      </c>
      <c r="L42" s="57">
        <v>1000</v>
      </c>
      <c r="M42" s="57"/>
      <c r="R42" s="49"/>
    </row>
    <row r="43" spans="2:18" ht="15" hidden="1" customHeight="1" x14ac:dyDescent="0.25">
      <c r="B43" s="49" t="s">
        <v>88</v>
      </c>
      <c r="C43" s="56">
        <f>C7/100</f>
        <v>26.06</v>
      </c>
      <c r="D43" s="56">
        <f>E7/100</f>
        <v>18.489999999999998</v>
      </c>
      <c r="E43" s="56">
        <f>MAX(C43:D43,0)</f>
        <v>26.06</v>
      </c>
      <c r="G43" s="1" t="str">
        <f>B43</f>
        <v>per 100 arrests</v>
      </c>
      <c r="L43" s="57">
        <v>100</v>
      </c>
      <c r="M43" s="57"/>
      <c r="R43" s="49"/>
    </row>
    <row r="44" spans="2:18" ht="15" hidden="1" customHeight="1" x14ac:dyDescent="0.25">
      <c r="B44" s="49" t="s">
        <v>89</v>
      </c>
      <c r="C44" s="56">
        <f>C8/100</f>
        <v>37.01</v>
      </c>
      <c r="D44" s="56">
        <f>E8/100</f>
        <v>22.45</v>
      </c>
      <c r="E44" s="56">
        <f>MAX(C44:D44,0)</f>
        <v>37.01</v>
      </c>
      <c r="G44" s="1" t="str">
        <f>B44</f>
        <v>per 100 referrals</v>
      </c>
      <c r="L44" s="57">
        <v>100</v>
      </c>
      <c r="M44" s="57"/>
      <c r="R44" s="49"/>
    </row>
    <row r="45" spans="2:18" ht="15" hidden="1" customHeight="1" x14ac:dyDescent="0.25">
      <c r="B45" s="49" t="s">
        <v>90</v>
      </c>
      <c r="C45" s="49">
        <f>C11/100</f>
        <v>20.12</v>
      </c>
      <c r="D45" s="49">
        <f>E11/100</f>
        <v>14.35</v>
      </c>
      <c r="E45" s="56">
        <f>MAX(C45:D45,0)</f>
        <v>20.12</v>
      </c>
      <c r="G45" s="1" t="str">
        <f>B45</f>
        <v>per 100 youth petitioned</v>
      </c>
      <c r="L45" s="57">
        <v>100</v>
      </c>
      <c r="M45" s="57"/>
      <c r="R45" s="49"/>
    </row>
    <row r="46" spans="2:18" ht="15" hidden="1" customHeight="1" x14ac:dyDescent="0.25">
      <c r="B46" s="49" t="s">
        <v>91</v>
      </c>
      <c r="C46" s="49">
        <f>C12/100</f>
        <v>12.84</v>
      </c>
      <c r="D46" s="49">
        <f>E12/100</f>
        <v>8.24</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264.59300000000002</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26.06</v>
      </c>
      <c r="D49" s="49">
        <f t="shared" si="9"/>
        <v>18.489999999999998</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22.45</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14.35</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8.24</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264.59300000000002</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18.489999999999998</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22.45</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14.35</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8.24</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264.59300000000002</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18.489999999999998</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22.45</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14.35</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8.24</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264.59300000000002</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18.489999999999998</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22.45</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14.35</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8.24</v>
      </c>
      <c r="E70" s="56">
        <f>MAX(C70:D70)</f>
        <v>12.84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96</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All Reporting Counties</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2.6298667674554053</v>
      </c>
      <c r="D7" s="72">
        <f>Hispanic!G7</f>
        <v>0.27784701856690108</v>
      </c>
      <c r="E7" s="72">
        <f>Asian!G7</f>
        <v>7.4869119621572153E-2</v>
      </c>
      <c r="F7" s="72" t="str">
        <f>Hawaiian!G7</f>
        <v>*</v>
      </c>
      <c r="G7" s="72" t="str">
        <f>'Am Indian'!G7</f>
        <v>*</v>
      </c>
      <c r="H7" s="72" t="str">
        <f>'Other - Mixed'!G7</f>
        <v>*</v>
      </c>
      <c r="I7" s="73">
        <f>'All Minorities'!G7</f>
        <v>1.5863664096518422</v>
      </c>
      <c r="L7" s="1">
        <f>'Black or African-American'!L7</f>
        <v>1</v>
      </c>
      <c r="M7" s="1">
        <f>Hispanic!L7</f>
        <v>1</v>
      </c>
      <c r="N7" s="1">
        <f>Asian!L7</f>
        <v>1</v>
      </c>
      <c r="O7" s="1" t="e">
        <f>Hawaiian!L7</f>
        <v>#DIV/0!</v>
      </c>
      <c r="P7" s="1">
        <f>'Am Indian'!L7</f>
        <v>101</v>
      </c>
      <c r="Q7" s="1" t="e">
        <f>'Other - Mixed'!L7</f>
        <v>#VALUE!</v>
      </c>
      <c r="R7" s="1">
        <f>'All Minorities'!L7</f>
        <v>1</v>
      </c>
    </row>
    <row r="8" spans="2:18" ht="15" customHeight="1" x14ac:dyDescent="0.25">
      <c r="B8" s="71" t="s">
        <v>9</v>
      </c>
      <c r="C8" s="72">
        <f>'Black or African-American'!$G8</f>
        <v>0.74304776518271931</v>
      </c>
      <c r="D8" s="72">
        <f>Hispanic!G8</f>
        <v>1.0827006940873287</v>
      </c>
      <c r="E8" s="72" t="str">
        <f>Asian!G8</f>
        <v>**</v>
      </c>
      <c r="F8" s="72" t="str">
        <f>Hawaiian!G8</f>
        <v>*</v>
      </c>
      <c r="G8" s="72" t="str">
        <f>'Am Indian'!G8</f>
        <v>*</v>
      </c>
      <c r="H8" s="72" t="str">
        <f>'Other - Mixed'!G8</f>
        <v>*</v>
      </c>
      <c r="I8" s="73">
        <f>'All Minorities'!G8</f>
        <v>0.85493827476210138</v>
      </c>
      <c r="L8" s="1">
        <f>'Black or African-American'!L8</f>
        <v>1</v>
      </c>
      <c r="M8" s="1">
        <f>Hispanic!L8</f>
        <v>2</v>
      </c>
      <c r="N8" s="1">
        <f>Asian!L8</f>
        <v>20</v>
      </c>
      <c r="O8" s="1">
        <f>Hawaiian!L8</f>
        <v>119</v>
      </c>
      <c r="P8" s="1">
        <f>'Am Indian'!L8</f>
        <v>119</v>
      </c>
      <c r="Q8" s="1">
        <f>'Other - Mixed'!L8</f>
        <v>119</v>
      </c>
      <c r="R8" s="1">
        <f>'All Minorities'!L8</f>
        <v>1</v>
      </c>
    </row>
    <row r="9" spans="2:18" ht="15" customHeight="1" x14ac:dyDescent="0.25">
      <c r="B9" s="71" t="s">
        <v>10</v>
      </c>
      <c r="C9" s="72">
        <f>'Black or African-American'!$G9</f>
        <v>0.99495137800977085</v>
      </c>
      <c r="D9" s="72">
        <f>Hispanic!G9</f>
        <v>0.86395607295462162</v>
      </c>
      <c r="E9" s="72" t="str">
        <f>Asian!G9</f>
        <v>**</v>
      </c>
      <c r="F9" s="72" t="str">
        <f>Hawaiian!G9</f>
        <v>*</v>
      </c>
      <c r="G9" s="72" t="str">
        <f>'Am Indian'!G9</f>
        <v>*</v>
      </c>
      <c r="H9" s="72" t="str">
        <f>'Other - Mixed'!G9</f>
        <v>*</v>
      </c>
      <c r="I9" s="73">
        <f>'All Minorities'!G9</f>
        <v>0.95228422457905171</v>
      </c>
      <c r="L9" s="1">
        <f>'Black or African-American'!L9</f>
        <v>2</v>
      </c>
      <c r="M9" s="1">
        <f>Hispanic!L9</f>
        <v>2</v>
      </c>
      <c r="N9" s="1">
        <f>Asian!L9</f>
        <v>20</v>
      </c>
      <c r="O9" s="1" t="e">
        <f>Hawaiian!L9</f>
        <v>#VALUE!</v>
      </c>
      <c r="P9" s="1">
        <f>'Am Indian'!L9</f>
        <v>119</v>
      </c>
      <c r="Q9" s="1">
        <f>'Other - Mixed'!L9</f>
        <v>100</v>
      </c>
      <c r="R9" s="1">
        <f>'All Minorities'!L9</f>
        <v>2</v>
      </c>
    </row>
    <row r="10" spans="2:18" ht="15" customHeight="1" x14ac:dyDescent="0.25">
      <c r="B10" s="71" t="s">
        <v>11</v>
      </c>
      <c r="C10" s="72">
        <f>'Black or African-American'!$G10</f>
        <v>2.3831769452719977</v>
      </c>
      <c r="D10" s="72">
        <f>Hispanic!G10</f>
        <v>2.1475822050290136</v>
      </c>
      <c r="E10" s="72" t="str">
        <f>Asian!G10</f>
        <v>**</v>
      </c>
      <c r="F10" s="72" t="str">
        <f>Hawaiian!G10</f>
        <v>*</v>
      </c>
      <c r="G10" s="72" t="str">
        <f>'Am Indian'!G10</f>
        <v>*</v>
      </c>
      <c r="H10" s="72" t="str">
        <f>'Other - Mixed'!G10</f>
        <v>*</v>
      </c>
      <c r="I10" s="73">
        <f>'All Minorities'!G10</f>
        <v>2.3430488556129458</v>
      </c>
      <c r="L10" s="1">
        <f>'Black or African-American'!L10</f>
        <v>1</v>
      </c>
      <c r="M10" s="1">
        <f>Hispanic!L10</f>
        <v>1</v>
      </c>
      <c r="N10" s="1">
        <f>Asian!L10</f>
        <v>40</v>
      </c>
      <c r="O10" s="1" t="e">
        <f>Hawaiian!L10</f>
        <v>#VALUE!</v>
      </c>
      <c r="P10" s="1">
        <f>'Am Indian'!L10</f>
        <v>119</v>
      </c>
      <c r="Q10" s="1">
        <f>'Other - Mixed'!L10</f>
        <v>100</v>
      </c>
      <c r="R10" s="1">
        <f>'All Minorities'!L10</f>
        <v>1</v>
      </c>
    </row>
    <row r="11" spans="2:18" ht="15" customHeight="1" x14ac:dyDescent="0.25">
      <c r="B11" s="71" t="s">
        <v>97</v>
      </c>
      <c r="C11" s="72">
        <f>'Black or African-American'!$G11</f>
        <v>1.2117742826393347</v>
      </c>
      <c r="D11" s="72">
        <f>Hispanic!G11</f>
        <v>1.0547970915764155</v>
      </c>
      <c r="E11" s="72" t="str">
        <f>Asian!G11</f>
        <v>**</v>
      </c>
      <c r="F11" s="72" t="str">
        <f>Hawaiian!G11</f>
        <v>*</v>
      </c>
      <c r="G11" s="72" t="str">
        <f>'Am Indian'!G11</f>
        <v>*</v>
      </c>
      <c r="H11" s="72" t="str">
        <f>'Other - Mixed'!G11</f>
        <v>*</v>
      </c>
      <c r="I11" s="73">
        <f>'All Minorities'!G11</f>
        <v>1.1757816132160268</v>
      </c>
      <c r="L11" s="1">
        <f>'Black or African-American'!L11</f>
        <v>1</v>
      </c>
      <c r="M11" s="1">
        <f>Hispanic!L11</f>
        <v>2</v>
      </c>
      <c r="N11" s="1">
        <f>Asian!L11</f>
        <v>20</v>
      </c>
      <c r="O11" s="1" t="e">
        <f>Hawaiian!L11</f>
        <v>#VALUE!</v>
      </c>
      <c r="P11" s="1">
        <f>'Am Indian'!L11</f>
        <v>100</v>
      </c>
      <c r="Q11" s="1">
        <f>'Other - Mixed'!L11</f>
        <v>101</v>
      </c>
      <c r="R11" s="1">
        <f>'All Minorities'!L11</f>
        <v>1</v>
      </c>
    </row>
    <row r="12" spans="2:18" ht="15" customHeight="1" x14ac:dyDescent="0.25">
      <c r="B12" s="71" t="s">
        <v>13</v>
      </c>
      <c r="C12" s="72">
        <f>'Black or African-American'!$G12</f>
        <v>0.87200041710658382</v>
      </c>
      <c r="D12" s="72">
        <f>Hispanic!G12</f>
        <v>1.2038978801002964</v>
      </c>
      <c r="E12" s="72" t="str">
        <f>Asian!G12</f>
        <v>**</v>
      </c>
      <c r="F12" s="72" t="str">
        <f>Hawaiian!G12</f>
        <v>*</v>
      </c>
      <c r="G12" s="72" t="str">
        <f>'Am Indian'!G12</f>
        <v>*</v>
      </c>
      <c r="H12" s="72" t="str">
        <f>'Other - Mixed'!G12</f>
        <v>*</v>
      </c>
      <c r="I12" s="73">
        <f>'All Minorities'!G12</f>
        <v>0.89978399383459795</v>
      </c>
      <c r="L12" s="1">
        <f>'Black or African-American'!L12</f>
        <v>1</v>
      </c>
      <c r="M12" s="1">
        <f>Hispanic!L12</f>
        <v>1</v>
      </c>
      <c r="N12" s="1">
        <f>Asian!L12</f>
        <v>40</v>
      </c>
      <c r="O12" s="1" t="e">
        <f>Hawaiian!L12</f>
        <v>#VALUE!</v>
      </c>
      <c r="P12" s="1">
        <f>'Am Indian'!L12</f>
        <v>139</v>
      </c>
      <c r="Q12" s="1">
        <f>'Other - Mixed'!L12</f>
        <v>101</v>
      </c>
      <c r="R12" s="1">
        <f>'All Minorities'!L12</f>
        <v>1</v>
      </c>
    </row>
    <row r="13" spans="2:18" ht="15" customHeight="1" x14ac:dyDescent="0.25">
      <c r="B13" s="71" t="s">
        <v>14</v>
      </c>
      <c r="C13" s="72">
        <f>'Black or African-American'!$G13</f>
        <v>0.85876901556216112</v>
      </c>
      <c r="D13" s="72">
        <f>Hispanic!G13</f>
        <v>1.0368217054263567</v>
      </c>
      <c r="E13" s="72" t="str">
        <f>Asian!G13</f>
        <v>--</v>
      </c>
      <c r="F13" s="72" t="str">
        <f>Hawaiian!G13</f>
        <v>*</v>
      </c>
      <c r="G13" s="72" t="str">
        <f>'Am Indian'!G13</f>
        <v>*</v>
      </c>
      <c r="H13" s="72" t="str">
        <f>'Other - Mixed'!G13</f>
        <v>*</v>
      </c>
      <c r="I13" s="73">
        <f>'All Minorities'!G13</f>
        <v>0.90369581169564228</v>
      </c>
      <c r="L13" s="1">
        <f>'Black or African-American'!L13</f>
        <v>1</v>
      </c>
      <c r="M13" s="1">
        <f>Hispanic!L13</f>
        <v>2</v>
      </c>
      <c r="N13" s="1" t="e">
        <f>Asian!L13</f>
        <v>#VALUE!</v>
      </c>
      <c r="O13" s="1" t="e">
        <f>Hawaiian!L13</f>
        <v>#VALUE!</v>
      </c>
      <c r="P13" s="1">
        <f>'Am Indian'!L13</f>
        <v>119</v>
      </c>
      <c r="Q13" s="1">
        <f>'Other - Mixed'!L13</f>
        <v>101</v>
      </c>
      <c r="R13" s="1">
        <f>'All Minorities'!L13</f>
        <v>1</v>
      </c>
    </row>
    <row r="14" spans="2:18" ht="25.5" customHeight="1" x14ac:dyDescent="0.25">
      <c r="B14" s="71" t="s">
        <v>15</v>
      </c>
      <c r="C14" s="72">
        <f>'Black or African-American'!$G14</f>
        <v>0.9191969284914413</v>
      </c>
      <c r="D14" s="72">
        <f>Hispanic!G14</f>
        <v>1.3009118541033435</v>
      </c>
      <c r="E14" s="72" t="str">
        <f>Asian!G14</f>
        <v>--</v>
      </c>
      <c r="F14" s="72" t="str">
        <f>Hawaiian!G14</f>
        <v>*</v>
      </c>
      <c r="G14" s="72" t="str">
        <f>'Am Indian'!G14</f>
        <v>*</v>
      </c>
      <c r="H14" s="72" t="str">
        <f>'Other - Mixed'!G14</f>
        <v>*</v>
      </c>
      <c r="I14" s="73">
        <f>'All Minorities'!G14</f>
        <v>1.0112063623218344</v>
      </c>
      <c r="L14" s="1">
        <f>'Black or African-American'!L14</f>
        <v>2</v>
      </c>
      <c r="M14" s="1">
        <f>Hispanic!L14</f>
        <v>2</v>
      </c>
      <c r="N14" s="1" t="e">
        <f>Asian!L14</f>
        <v>#VALUE!</v>
      </c>
      <c r="O14" s="1" t="e">
        <f>Hawaiian!L14</f>
        <v>#VALUE!</v>
      </c>
      <c r="P14" s="1">
        <f>'Am Indian'!L14</f>
        <v>139</v>
      </c>
      <c r="Q14" s="1">
        <f>'Other - Mixed'!L14</f>
        <v>100</v>
      </c>
      <c r="R14" s="1">
        <f>'All Minorities'!L14</f>
        <v>2</v>
      </c>
    </row>
    <row r="15" spans="2:18" ht="15" customHeight="1" x14ac:dyDescent="0.25">
      <c r="B15" s="71" t="s">
        <v>16</v>
      </c>
      <c r="C15" s="72">
        <f>'Black or African-American'!$G15</f>
        <v>2.0578335657833566</v>
      </c>
      <c r="D15" s="72" t="str">
        <f>Hispanic!G15</f>
        <v>**</v>
      </c>
      <c r="E15" s="72" t="str">
        <f>Asian!G15</f>
        <v>**</v>
      </c>
      <c r="F15" s="72" t="str">
        <f>Hawaiian!G15</f>
        <v>*</v>
      </c>
      <c r="G15" s="72" t="str">
        <f>'Am Indian'!G15</f>
        <v>*</v>
      </c>
      <c r="H15" s="72" t="str">
        <f>'Other - Mixed'!G15</f>
        <v>*</v>
      </c>
      <c r="I15" s="73">
        <f>'All Minorities'!G15</f>
        <v>1.7136662795199382</v>
      </c>
      <c r="L15" s="1">
        <f>'Black or African-American'!L15</f>
        <v>2</v>
      </c>
      <c r="M15" s="1">
        <f>Hispanic!L15</f>
        <v>40</v>
      </c>
      <c r="N15" s="1">
        <f>Asian!L15</f>
        <v>40</v>
      </c>
      <c r="O15" s="1" t="e">
        <f>Hawaiian!L15</f>
        <v>#VALUE!</v>
      </c>
      <c r="P15" s="1">
        <f>'Am Indian'!L15</f>
        <v>139</v>
      </c>
      <c r="Q15" s="1">
        <f>'Other - Mixed'!L15</f>
        <v>139</v>
      </c>
      <c r="R15" s="1">
        <f>'All Minorities'!L15</f>
        <v>2</v>
      </c>
    </row>
    <row r="16" spans="2:18" ht="15" customHeight="1" x14ac:dyDescent="0.25">
      <c r="B16" s="74" t="s">
        <v>98</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t="str">
        <f>'Black or African-American'!B16</f>
        <v>release 10/17/05</v>
      </c>
      <c r="C18" s="77"/>
      <c r="D18" s="77"/>
      <c r="E18" s="77"/>
      <c r="F18" s="77"/>
      <c r="G18" s="77"/>
      <c r="H18" s="77"/>
      <c r="I18" s="78"/>
    </row>
    <row r="20" spans="2:9" ht="15" customHeight="1" x14ac:dyDescent="0.25">
      <c r="B20" s="1" t="s">
        <v>52</v>
      </c>
    </row>
    <row r="21" spans="2:9" ht="15" customHeight="1" x14ac:dyDescent="0.25">
      <c r="B21" s="1" t="s">
        <v>53</v>
      </c>
      <c r="D21" s="45" t="s">
        <v>54</v>
      </c>
    </row>
    <row r="22" spans="2:9" ht="15" customHeight="1" x14ac:dyDescent="0.25">
      <c r="B22" s="1" t="s">
        <v>55</v>
      </c>
      <c r="D22" s="1" t="s">
        <v>56</v>
      </c>
    </row>
    <row r="23" spans="2:9" ht="15" customHeight="1" x14ac:dyDescent="0.25">
      <c r="B23" s="1" t="s">
        <v>57</v>
      </c>
      <c r="D23" s="1" t="s">
        <v>58</v>
      </c>
    </row>
    <row r="24" spans="2:9" ht="15" customHeight="1" x14ac:dyDescent="0.25">
      <c r="B24" s="1" t="s">
        <v>59</v>
      </c>
      <c r="D24" s="1" t="s">
        <v>60</v>
      </c>
    </row>
    <row r="25" spans="2:9" ht="15" customHeight="1" x14ac:dyDescent="0.25">
      <c r="B25" s="1" t="s">
        <v>61</v>
      </c>
      <c r="D25" s="1" t="s">
        <v>62</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99</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10-16) </v>
      </c>
      <c r="C3" s="57">
        <f>'Data Entry'!B6</f>
        <v>856181</v>
      </c>
      <c r="D3" s="57">
        <f>'Data Entry'!C6</f>
        <v>591588</v>
      </c>
      <c r="E3" s="57">
        <f>'Data Entry'!D6</f>
        <v>148384</v>
      </c>
      <c r="F3" s="57">
        <f>'Data Entry'!E6</f>
        <v>75984</v>
      </c>
      <c r="G3" s="57">
        <f>'Data Entry'!F6</f>
        <v>33353</v>
      </c>
      <c r="H3" s="57">
        <f>'Data Entry'!G6</f>
        <v>0</v>
      </c>
      <c r="I3" s="57">
        <f>'Data Entry'!H6</f>
        <v>6872</v>
      </c>
      <c r="J3" s="57">
        <f>'Data Entry'!I6</f>
        <v>0</v>
      </c>
      <c r="K3" s="57">
        <f>'Data Entry'!J6</f>
        <v>264593</v>
      </c>
    </row>
    <row r="4" spans="2:11" ht="15" customHeight="1" x14ac:dyDescent="0.25">
      <c r="B4" s="16" t="s">
        <v>8</v>
      </c>
      <c r="C4" s="1">
        <f>IF((C$3&gt;0),(1000*('Data Entry'!B7/'Data Entry'!B$6)), 0)</f>
        <v>5.4135749333376939</v>
      </c>
      <c r="D4" s="1">
        <f>IF((D$3&gt;0),(1000*('Data Entry'!C7/'Data Entry'!C$6)), 0)</f>
        <v>4.4050927334563923</v>
      </c>
      <c r="E4" s="1">
        <f>IF((E$3&gt;0),(1000*('Data Entry'!D7/'Data Entry'!D$6)), 0)</f>
        <v>11.584806987276258</v>
      </c>
      <c r="F4" s="1">
        <f>IF((F$3&gt;0),(1000*('Data Entry'!E7/'Data Entry'!E$6)), 0)</f>
        <v>1.2239418825015793</v>
      </c>
      <c r="G4" s="1">
        <f>IF((G$3&gt;0),(1000*('Data Entry'!F7/'Data Entry'!F$6)), 0)</f>
        <v>0.32980541480526493</v>
      </c>
      <c r="H4" s="1">
        <f>IF((H$3&gt;0),(1000*('Data Entry'!G7/'Data Entry'!G$6)), 0)</f>
        <v>0</v>
      </c>
      <c r="I4" s="1">
        <f>IF((I$3&gt;0),(1000*('Data Entry'!H7/'Data Entry'!H$6)), 0)</f>
        <v>3.4924330616996508</v>
      </c>
      <c r="J4" s="1">
        <f>IF((J$3&gt;0),(1000*('Data Entry'!I7/'Data Entry'!I$6)), 0)</f>
        <v>0</v>
      </c>
      <c r="K4" s="1">
        <f>IF((K$3&gt;0),(1000*('Data Entry'!J7/'Data Entry'!J$6)), 0)</f>
        <v>6.9880911437566375</v>
      </c>
    </row>
    <row r="5" spans="2:11" ht="15" customHeight="1" x14ac:dyDescent="0.25">
      <c r="B5" s="16" t="s">
        <v>9</v>
      </c>
      <c r="C5" s="1">
        <f>IF((C$3&gt;0),(1000*('Data Entry'!B8/'Data Entry'!B$6)), 0)</f>
        <v>7.6245560226167131</v>
      </c>
      <c r="D5" s="1">
        <f>IF((D$3&gt;0),(1000*('Data Entry'!C8/'Data Entry'!C$6)), 0)</f>
        <v>6.2560430569923655</v>
      </c>
      <c r="E5" s="1">
        <f>IF((E$3&gt;0),(1000*('Data Entry'!D8/'Data Entry'!D$6)), 0)</f>
        <v>12.225037739918049</v>
      </c>
      <c r="F5" s="1">
        <f>IF((F$3&gt;0),(1000*('Data Entry'!E8/'Data Entry'!E$6)), 0)</f>
        <v>1.8819751526637185</v>
      </c>
      <c r="G5" s="1">
        <f>IF((G$3&gt;0),(1000*('Data Entry'!F8/'Data Entry'!F$6)), 0)</f>
        <v>0.29982310436842263</v>
      </c>
      <c r="H5" s="1">
        <f>IF((H$3&gt;0),(1000*('Data Entry'!G8/'Data Entry'!G$6)), 0)</f>
        <v>0</v>
      </c>
      <c r="I5" s="1">
        <f>IF((I$3&gt;0),(1000*('Data Entry'!H8/'Data Entry'!H$6)), 0)</f>
        <v>8.440046565774157</v>
      </c>
      <c r="J5" s="1">
        <f>IF((J$3&gt;0),(1000*('Data Entry'!I8/'Data Entry'!I$6)), 0)</f>
        <v>0</v>
      </c>
      <c r="K5" s="1">
        <f>IF((K$3&gt;0),(1000*('Data Entry'!J8/'Data Entry'!J$6)), 0)</f>
        <v>8.4847293768164693</v>
      </c>
    </row>
    <row r="6" spans="2:11" ht="15" customHeight="1" x14ac:dyDescent="0.25">
      <c r="B6" s="16" t="s">
        <v>10</v>
      </c>
      <c r="C6" s="1">
        <f>IF((C$3&gt;0),(1000*('Data Entry'!B9/'Data Entry'!B$6)), 0)</f>
        <v>1.3385020223527502</v>
      </c>
      <c r="D6" s="1">
        <f>IF((D$3&gt;0),(1000*('Data Entry'!C9/'Data Entry'!C$6)), 0)</f>
        <v>1.1646618930742341</v>
      </c>
      <c r="E6" s="1">
        <f>IF((E$3&gt;0),(1000*('Data Entry'!D9/'Data Entry'!D$6)), 0)</f>
        <v>2.2643950830278197</v>
      </c>
      <c r="F6" s="1">
        <f>IF((F$3&gt;0),(1000*('Data Entry'!E9/'Data Entry'!E$6)), 0)</f>
        <v>0.30269530427458413</v>
      </c>
      <c r="G6" s="1">
        <f>IF((G$3&gt;0),(1000*('Data Entry'!F9/'Data Entry'!F$6)), 0)</f>
        <v>0.2398584834947381</v>
      </c>
      <c r="H6" s="1">
        <f>IF((H$3&gt;0),(1000*('Data Entry'!G9/'Data Entry'!G$6)), 0)</f>
        <v>0</v>
      </c>
      <c r="I6" s="1">
        <f>IF((I$3&gt;0),(1000*('Data Entry'!H9/'Data Entry'!H$6)), 0)</f>
        <v>0.29103608847497087</v>
      </c>
      <c r="J6" s="1">
        <f>IF((J$3&gt;0),(1000*('Data Entry'!I9/'Data Entry'!I$6)), 0)</f>
        <v>0</v>
      </c>
      <c r="K6" s="1">
        <f>IF((K$3&gt;0),(1000*('Data Entry'!J9/'Data Entry'!J$6)), 0)</f>
        <v>1.504197012014679</v>
      </c>
    </row>
    <row r="7" spans="2:11" ht="15" customHeight="1" x14ac:dyDescent="0.25">
      <c r="B7" s="16" t="s">
        <v>11</v>
      </c>
      <c r="C7" s="1">
        <f>IF((C$3&gt;0),(1000*('Data Entry'!B10/'Data Entry'!B$6)), 0)</f>
        <v>1.3933969569518594</v>
      </c>
      <c r="D7" s="1">
        <f>IF((D$3&gt;0),(1000*('Data Entry'!C10/'Data Entry'!C$6)), 0)</f>
        <v>0.79447182836703922</v>
      </c>
      <c r="E7" s="1">
        <f>IF((E$3&gt;0),(1000*('Data Entry'!D10/'Data Entry'!D$6)), 0)</f>
        <v>3.699859823161527</v>
      </c>
      <c r="F7" s="1">
        <f>IF((F$3&gt;0),(1000*('Data Entry'!E10/'Data Entry'!E$6)), 0)</f>
        <v>0.51326595072646874</v>
      </c>
      <c r="G7" s="1">
        <f>IF((G$3&gt;0),(1000*('Data Entry'!F10/'Data Entry'!F$6)), 0)</f>
        <v>0</v>
      </c>
      <c r="H7" s="1">
        <f>IF((H$3&gt;0),(1000*('Data Entry'!G10/'Data Entry'!G$6)), 0)</f>
        <v>0</v>
      </c>
      <c r="I7" s="1">
        <f>IF((I$3&gt;0),(1000*('Data Entry'!H10/'Data Entry'!H$6)), 0)</f>
        <v>0.29103608847497087</v>
      </c>
      <c r="J7" s="1">
        <f>IF((J$3&gt;0),(1000*('Data Entry'!I10/'Data Entry'!I$6)), 0)</f>
        <v>0</v>
      </c>
      <c r="K7" s="1">
        <f>IF((K$3&gt;0),(1000*('Data Entry'!J10/'Data Entry'!J$6)), 0)</f>
        <v>2.52463217091911</v>
      </c>
    </row>
    <row r="8" spans="2:11" ht="15" customHeight="1" x14ac:dyDescent="0.25">
      <c r="B8" s="16" t="s">
        <v>97</v>
      </c>
      <c r="C8" s="1">
        <f>IF((C$3&gt;0),(1000*('Data Entry'!B11/'Data Entry'!B$6)), 0)</f>
        <v>4.3261880373425718</v>
      </c>
      <c r="D8" s="1">
        <f>IF((D$3&gt;0),(1000*('Data Entry'!C11/'Data Entry'!C$6)), 0)</f>
        <v>3.4010155716478363</v>
      </c>
      <c r="E8" s="1">
        <f>IF((E$3&gt;0),(1000*('Data Entry'!D11/'Data Entry'!D$6)), 0)</f>
        <v>8.0534289411257269</v>
      </c>
      <c r="F8" s="1">
        <f>IF((F$3&gt;0),(1000*('Data Entry'!E11/'Data Entry'!E$6)), 0)</f>
        <v>1.0791745630659086</v>
      </c>
      <c r="G8" s="1">
        <f>IF((G$3&gt;0),(1000*('Data Entry'!F11/'Data Entry'!F$6)), 0)</f>
        <v>5.9964620873684524E-2</v>
      </c>
      <c r="H8" s="1">
        <f>IF((H$3&gt;0),(1000*('Data Entry'!G11/'Data Entry'!G$6)), 0)</f>
        <v>0</v>
      </c>
      <c r="I8" s="1">
        <f>IF((I$3&gt;0),(1000*('Data Entry'!H11/'Data Entry'!H$6)), 0)</f>
        <v>3.3469150174621651</v>
      </c>
      <c r="J8" s="1">
        <f>IF((J$3&gt;0),(1000*('Data Entry'!I11/'Data Entry'!I$6)), 0)</f>
        <v>0</v>
      </c>
      <c r="K8" s="1">
        <f>IF((K$3&gt;0),(1000*('Data Entry'!J11/'Data Entry'!J$6)), 0)</f>
        <v>5.4234239001031774</v>
      </c>
    </row>
    <row r="9" spans="2:11" ht="15" customHeight="1" x14ac:dyDescent="0.25">
      <c r="B9" s="16" t="s">
        <v>13</v>
      </c>
      <c r="C9" s="1">
        <f>IF((C$3&gt;0),(1000*('Data Entry'!B12/'Data Entry'!B$6)), 0)</f>
        <v>2.6559804527313733</v>
      </c>
      <c r="D9" s="1">
        <f>IF((D$3&gt;0),(1000*('Data Entry'!C12/'Data Entry'!C$6)), 0)</f>
        <v>2.1704294204750605</v>
      </c>
      <c r="E9" s="1">
        <f>IF((E$3&gt;0),(1000*('Data Entry'!D12/'Data Entry'!D$6)), 0)</f>
        <v>4.4816152684925603</v>
      </c>
      <c r="F9" s="1">
        <f>IF((F$3&gt;0),(1000*('Data Entry'!E12/'Data Entry'!E$6)), 0)</f>
        <v>0.82912192040429566</v>
      </c>
      <c r="G9" s="1">
        <f>IF((G$3&gt;0),(1000*('Data Entry'!F12/'Data Entry'!F$6)), 0)</f>
        <v>0</v>
      </c>
      <c r="H9" s="1">
        <f>IF((H$3&gt;0),(1000*('Data Entry'!G12/'Data Entry'!G$6)), 0)</f>
        <v>0</v>
      </c>
      <c r="I9" s="1">
        <f>IF((I$3&gt;0),(1000*('Data Entry'!H12/'Data Entry'!H$6)), 0)</f>
        <v>2.6193247962747379</v>
      </c>
      <c r="J9" s="1">
        <f>IF((J$3&gt;0),(1000*('Data Entry'!I12/'Data Entry'!I$6)), 0)</f>
        <v>0</v>
      </c>
      <c r="K9" s="1">
        <f>IF((K$3&gt;0),(1000*('Data Entry'!J12/'Data Entry'!J$6)), 0)</f>
        <v>3.1142169293972253</v>
      </c>
    </row>
    <row r="10" spans="2:11" ht="15" customHeight="1" x14ac:dyDescent="0.25">
      <c r="B10" s="16" t="s">
        <v>14</v>
      </c>
      <c r="C10" s="1">
        <f>IF((C$3&gt;0),(1000*('Data Entry'!B13/'Data Entry'!B$6)), 0)</f>
        <v>2.724891115313234</v>
      </c>
      <c r="D10" s="1">
        <f>IF((D$3&gt;0),(1000*('Data Entry'!C13/'Data Entry'!C$6)), 0)</f>
        <v>2.3259430549639277</v>
      </c>
      <c r="E10" s="1">
        <f>IF((E$3&gt;0),(1000*('Data Entry'!D13/'Data Entry'!D$6)), 0)</f>
        <v>4.124433901229243</v>
      </c>
      <c r="F10" s="1">
        <f>IF((F$3&gt;0),(1000*('Data Entry'!E13/'Data Entry'!E$6)), 0)</f>
        <v>0.92124657822699518</v>
      </c>
      <c r="G10" s="1">
        <f>IF((G$3&gt;0),(1000*('Data Entry'!F13/'Data Entry'!F$6)), 0)</f>
        <v>0</v>
      </c>
      <c r="H10" s="1">
        <f>IF((H$3&gt;0),(1000*('Data Entry'!G13/'Data Entry'!G$6)), 0)</f>
        <v>0</v>
      </c>
      <c r="I10" s="1">
        <f>IF((I$3&gt;0),(1000*('Data Entry'!H13/'Data Entry'!H$6)), 0)</f>
        <v>4.9476135040745053</v>
      </c>
      <c r="J10" s="1">
        <f>IF((J$3&gt;0),(1000*('Data Entry'!I13/'Data Entry'!I$6)), 0)</f>
        <v>0</v>
      </c>
      <c r="K10" s="1">
        <f>IF((K$3&gt;0),(1000*('Data Entry'!J13/'Data Entry'!J$6)), 0)</f>
        <v>3.0159528029842058</v>
      </c>
    </row>
    <row r="11" spans="2:11" ht="25.5" customHeight="1" x14ac:dyDescent="0.25">
      <c r="B11" s="16" t="s">
        <v>15</v>
      </c>
      <c r="C11" s="1">
        <f>IF((C$3&gt;0),(1000*('Data Entry'!B14/'Data Entry'!B$6)), 0)</f>
        <v>0.78838469902976116</v>
      </c>
      <c r="D11" s="1">
        <f>IF((D$3&gt;0),(1000*('Data Entry'!C14/'Data Entry'!C$6)), 0)</f>
        <v>0.63557746269363136</v>
      </c>
      <c r="E11" s="1">
        <f>IF((E$3&gt;0),(1000*('Data Entry'!D14/'Data Entry'!D$6)), 0)</f>
        <v>1.2063295233987492</v>
      </c>
      <c r="F11" s="1">
        <f>IF((F$3&gt;0),(1000*('Data Entry'!E14/'Data Entry'!E$6)), 0)</f>
        <v>0.31585596967782686</v>
      </c>
      <c r="G11" s="1">
        <f>IF((G$3&gt;0),(1000*('Data Entry'!F14/'Data Entry'!F$6)), 0)</f>
        <v>0</v>
      </c>
      <c r="H11" s="1">
        <f>IF((H$3&gt;0),(1000*('Data Entry'!G14/'Data Entry'!G$6)), 0)</f>
        <v>0</v>
      </c>
      <c r="I11" s="1">
        <f>IF((I$3&gt;0),(1000*('Data Entry'!H14/'Data Entry'!H$6)), 0)</f>
        <v>0.58207217694994173</v>
      </c>
      <c r="J11" s="1">
        <f>IF((J$3&gt;0),(1000*('Data Entry'!I14/'Data Entry'!I$6)), 0)</f>
        <v>0</v>
      </c>
      <c r="K11" s="1">
        <f>IF((K$3&gt;0),(1000*('Data Entry'!J14/'Data Entry'!J$6)), 0)</f>
        <v>0.9221710324914113</v>
      </c>
    </row>
    <row r="12" spans="2:11" ht="15" customHeight="1" x14ac:dyDescent="0.25">
      <c r="B12" s="16" t="s">
        <v>16</v>
      </c>
      <c r="C12" s="1">
        <f>IF((C$3&gt;0),(1000*('Data Entry'!B15/'Data Entry'!B$6)), 0)</f>
        <v>2.3359546637918852E-2</v>
      </c>
      <c r="D12" s="1">
        <f>IF((D$3&gt;0),(1000*('Data Entry'!C15/'Data Entry'!C$6)), 0)</f>
        <v>1.5213290330432665E-2</v>
      </c>
      <c r="E12" s="1">
        <f>IF((E$3&gt;0),(1000*('Data Entry'!D15/'Data Entry'!D$6)), 0)</f>
        <v>7.4131981884839326E-2</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4.1573284251661985E-2</v>
      </c>
    </row>
    <row r="13" spans="2:11" ht="15.75" customHeight="1" x14ac:dyDescent="0.25">
      <c r="B13" s="16"/>
    </row>
    <row r="14" spans="2:11" ht="15" customHeight="1" x14ac:dyDescent="0.25">
      <c r="B14" s="215" t="s">
        <v>100</v>
      </c>
      <c r="C14" s="216"/>
      <c r="D14" s="216"/>
      <c r="E14" s="216"/>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All Reporting Counties</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2.6298667674554053</v>
      </c>
      <c r="E19" s="72">
        <f t="shared" si="1"/>
        <v>0.27784701856690108</v>
      </c>
      <c r="F19" s="72">
        <f t="shared" si="1"/>
        <v>7.4869119621572167E-2</v>
      </c>
      <c r="G19" s="72" t="str">
        <f t="shared" si="1"/>
        <v>--</v>
      </c>
      <c r="H19" s="72">
        <f t="shared" si="1"/>
        <v>0.79281714892738786</v>
      </c>
      <c r="I19" s="72" t="str">
        <f t="shared" si="1"/>
        <v>--</v>
      </c>
      <c r="J19" s="73">
        <f t="shared" si="1"/>
        <v>1.5863664096518424</v>
      </c>
    </row>
    <row r="20" spans="2:10" ht="15" customHeight="1" x14ac:dyDescent="0.25">
      <c r="B20" s="71" t="s">
        <v>9</v>
      </c>
      <c r="C20" s="72">
        <f t="shared" ref="C20:J27" si="2">IF(AND(($D5&gt;0),(D5&gt;0)), (D5/$D5),"--")</f>
        <v>1</v>
      </c>
      <c r="D20" s="72">
        <f t="shared" si="2"/>
        <v>1.9541166242860415</v>
      </c>
      <c r="E20" s="72">
        <f t="shared" si="2"/>
        <v>0.30082515985247882</v>
      </c>
      <c r="F20" s="72">
        <f t="shared" si="2"/>
        <v>4.7925358191598606E-2</v>
      </c>
      <c r="G20" s="72" t="str">
        <f t="shared" si="2"/>
        <v>--</v>
      </c>
      <c r="H20" s="72">
        <f t="shared" si="2"/>
        <v>1.3491030174961369</v>
      </c>
      <c r="I20" s="72" t="str">
        <f t="shared" si="2"/>
        <v>--</v>
      </c>
      <c r="J20" s="73">
        <f t="shared" si="2"/>
        <v>1.3562453614082957</v>
      </c>
    </row>
    <row r="21" spans="2:10" ht="15" customHeight="1" x14ac:dyDescent="0.25">
      <c r="B21" s="71" t="s">
        <v>10</v>
      </c>
      <c r="C21" s="72">
        <f t="shared" si="2"/>
        <v>1</v>
      </c>
      <c r="D21" s="72">
        <f t="shared" si="2"/>
        <v>1.9442510281251986</v>
      </c>
      <c r="E21" s="72">
        <f t="shared" si="2"/>
        <v>0.25989972375209386</v>
      </c>
      <c r="F21" s="72">
        <f t="shared" si="2"/>
        <v>0.20594688031013805</v>
      </c>
      <c r="G21" s="72" t="str">
        <f t="shared" si="2"/>
        <v>--</v>
      </c>
      <c r="H21" s="72">
        <f t="shared" si="2"/>
        <v>0.24988890785011766</v>
      </c>
      <c r="I21" s="72" t="str">
        <f t="shared" si="2"/>
        <v>--</v>
      </c>
      <c r="J21" s="73">
        <f t="shared" si="2"/>
        <v>1.2915310623276341</v>
      </c>
    </row>
    <row r="22" spans="2:10" ht="15" customHeight="1" x14ac:dyDescent="0.25">
      <c r="B22" s="71" t="s">
        <v>11</v>
      </c>
      <c r="C22" s="72">
        <f t="shared" si="2"/>
        <v>1</v>
      </c>
      <c r="D22" s="72">
        <f t="shared" si="2"/>
        <v>4.6570056873712371</v>
      </c>
      <c r="E22" s="72">
        <f t="shared" si="2"/>
        <v>0.64604676012419193</v>
      </c>
      <c r="F22" s="72" t="str">
        <f t="shared" si="2"/>
        <v>--</v>
      </c>
      <c r="G22" s="72" t="str">
        <f t="shared" si="2"/>
        <v>--</v>
      </c>
      <c r="H22" s="72">
        <f t="shared" si="2"/>
        <v>0.36632650533772565</v>
      </c>
      <c r="I22" s="72" t="str">
        <f t="shared" si="2"/>
        <v>--</v>
      </c>
      <c r="J22" s="73">
        <f t="shared" si="2"/>
        <v>3.1777491419780732</v>
      </c>
    </row>
    <row r="23" spans="2:10" ht="15" customHeight="1" x14ac:dyDescent="0.25">
      <c r="B23" s="71" t="s">
        <v>97</v>
      </c>
      <c r="C23" s="72">
        <f t="shared" si="2"/>
        <v>1</v>
      </c>
      <c r="D23" s="72">
        <f t="shared" si="2"/>
        <v>2.3679482705878163</v>
      </c>
      <c r="E23" s="72">
        <f t="shared" si="2"/>
        <v>0.31730950368540495</v>
      </c>
      <c r="F23" s="72">
        <f t="shared" si="2"/>
        <v>1.7631386746233237E-2</v>
      </c>
      <c r="G23" s="72" t="str">
        <f t="shared" si="2"/>
        <v>--</v>
      </c>
      <c r="H23" s="72">
        <f t="shared" si="2"/>
        <v>0.98409282373280671</v>
      </c>
      <c r="I23" s="72" t="str">
        <f t="shared" si="2"/>
        <v>--</v>
      </c>
      <c r="J23" s="73">
        <f t="shared" si="2"/>
        <v>1.5946483589533986</v>
      </c>
    </row>
    <row r="24" spans="2:10" ht="15" customHeight="1" x14ac:dyDescent="0.25">
      <c r="B24" s="71" t="s">
        <v>13</v>
      </c>
      <c r="C24" s="72">
        <f t="shared" si="2"/>
        <v>1</v>
      </c>
      <c r="D24" s="72">
        <f t="shared" si="2"/>
        <v>2.0648518796393898</v>
      </c>
      <c r="E24" s="72">
        <f t="shared" si="2"/>
        <v>0.38200823882253615</v>
      </c>
      <c r="F24" s="72" t="str">
        <f t="shared" si="2"/>
        <v>--</v>
      </c>
      <c r="G24" s="72" t="str">
        <f t="shared" si="2"/>
        <v>--</v>
      </c>
      <c r="H24" s="72">
        <f t="shared" si="2"/>
        <v>1.2068233002948439</v>
      </c>
      <c r="I24" s="72" t="str">
        <f t="shared" si="2"/>
        <v>--</v>
      </c>
      <c r="J24" s="73">
        <f t="shared" si="2"/>
        <v>1.4348390691808766</v>
      </c>
    </row>
    <row r="25" spans="2:10" ht="15" customHeight="1" x14ac:dyDescent="0.25">
      <c r="B25" s="71" t="s">
        <v>14</v>
      </c>
      <c r="C25" s="72">
        <f t="shared" si="2"/>
        <v>1</v>
      </c>
      <c r="D25" s="72">
        <f t="shared" si="2"/>
        <v>1.7732308159595969</v>
      </c>
      <c r="E25" s="72">
        <f t="shared" si="2"/>
        <v>0.39607443366290085</v>
      </c>
      <c r="F25" s="72" t="str">
        <f t="shared" si="2"/>
        <v>--</v>
      </c>
      <c r="G25" s="72" t="str">
        <f t="shared" si="2"/>
        <v>--</v>
      </c>
      <c r="H25" s="72">
        <f t="shared" si="2"/>
        <v>2.1271430070119393</v>
      </c>
      <c r="I25" s="72" t="str">
        <f t="shared" si="2"/>
        <v>--</v>
      </c>
      <c r="J25" s="73">
        <f t="shared" si="2"/>
        <v>1.2966580572760322</v>
      </c>
    </row>
    <row r="26" spans="2:10" ht="25.5" customHeight="1" x14ac:dyDescent="0.25">
      <c r="B26" s="71" t="s">
        <v>15</v>
      </c>
      <c r="C26" s="72">
        <f t="shared" si="2"/>
        <v>1</v>
      </c>
      <c r="D26" s="72">
        <f t="shared" si="2"/>
        <v>1.8980055055543066</v>
      </c>
      <c r="E26" s="72">
        <f t="shared" si="2"/>
        <v>0.49695904624937831</v>
      </c>
      <c r="F26" s="72" t="str">
        <f t="shared" si="2"/>
        <v>--</v>
      </c>
      <c r="G26" s="72" t="str">
        <f t="shared" si="2"/>
        <v>--</v>
      </c>
      <c r="H26" s="72">
        <f t="shared" si="2"/>
        <v>0.91581626334431421</v>
      </c>
      <c r="I26" s="72" t="str">
        <f t="shared" si="2"/>
        <v>--</v>
      </c>
      <c r="J26" s="73">
        <f t="shared" si="2"/>
        <v>1.4509183956636411</v>
      </c>
    </row>
    <row r="27" spans="2:10" ht="15" customHeight="1" x14ac:dyDescent="0.25">
      <c r="B27" s="71" t="s">
        <v>16</v>
      </c>
      <c r="C27" s="72">
        <f t="shared" si="2"/>
        <v>1</v>
      </c>
      <c r="D27" s="72">
        <f t="shared" si="2"/>
        <v>4.8728434332542587</v>
      </c>
      <c r="E27" s="72" t="str">
        <f t="shared" si="2"/>
        <v>--</v>
      </c>
      <c r="F27" s="72" t="str">
        <f t="shared" si="2"/>
        <v>--</v>
      </c>
      <c r="G27" s="72" t="str">
        <f t="shared" si="2"/>
        <v>--</v>
      </c>
      <c r="H27" s="72" t="str">
        <f t="shared" si="2"/>
        <v>--</v>
      </c>
      <c r="I27" s="72" t="str">
        <f t="shared" si="2"/>
        <v>--</v>
      </c>
      <c r="J27" s="73">
        <f t="shared" si="2"/>
        <v>2.7326951204302459</v>
      </c>
    </row>
    <row r="28" spans="2:10" ht="15" customHeight="1" x14ac:dyDescent="0.25">
      <c r="B28" s="85" t="s">
        <v>98</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t="str">
        <f>'Black or African-American'!B16</f>
        <v>release 10/17/05</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101</v>
      </c>
    </row>
    <row r="4" spans="1:10" ht="103.5" customHeight="1" x14ac:dyDescent="0.25">
      <c r="A4" s="172" t="s">
        <v>102</v>
      </c>
      <c r="B4" s="172"/>
      <c r="C4" s="172"/>
      <c r="D4" s="172"/>
      <c r="E4" s="172"/>
      <c r="F4" s="172"/>
      <c r="G4" s="172"/>
      <c r="H4" s="172"/>
      <c r="I4" s="172"/>
      <c r="J4" s="172"/>
    </row>
    <row r="6" spans="1:10" ht="15" customHeight="1" x14ac:dyDescent="0.25">
      <c r="A6" s="1" t="s">
        <v>103</v>
      </c>
      <c r="B6" s="1">
        <v>0.05</v>
      </c>
    </row>
    <row r="7" spans="1:10" ht="15" hidden="1" customHeight="1" x14ac:dyDescent="0.25">
      <c r="D7" s="21">
        <f>IF(B6=0.01,6.636,IF(B6=0.1,2.706,3.841))</f>
        <v>3.8410000000000002</v>
      </c>
      <c r="E7" s="21" t="s">
        <v>104</v>
      </c>
      <c r="F7" s="21"/>
    </row>
    <row r="8" spans="1:10" ht="15" customHeight="1" x14ac:dyDescent="0.25">
      <c r="D8" s="21"/>
      <c r="E8" s="21"/>
      <c r="F8" s="21"/>
    </row>
    <row r="9" spans="1:10" ht="15.75" customHeight="1" x14ac:dyDescent="0.25">
      <c r="A9" s="89" t="s">
        <v>105</v>
      </c>
    </row>
    <row r="10" spans="1:10" ht="85.5" customHeight="1" x14ac:dyDescent="0.25">
      <c r="A10" s="217" t="s">
        <v>106</v>
      </c>
      <c r="B10" s="217"/>
      <c r="C10" s="217"/>
      <c r="D10" s="217"/>
      <c r="E10" s="217"/>
      <c r="F10" s="217"/>
      <c r="G10" s="217"/>
      <c r="H10" s="217"/>
      <c r="I10" s="217"/>
      <c r="J10" s="217"/>
    </row>
    <row r="11" spans="1:10" ht="15.75" customHeight="1" x14ac:dyDescent="0.25">
      <c r="A11" s="90"/>
    </row>
    <row r="12" spans="1:10" ht="15.75" customHeight="1" x14ac:dyDescent="0.25">
      <c r="A12" s="90" t="s">
        <v>107</v>
      </c>
      <c r="B12" s="57">
        <v>5</v>
      </c>
    </row>
    <row r="13" spans="1:10" ht="15.75" customHeight="1" x14ac:dyDescent="0.25">
      <c r="A13" s="90" t="s">
        <v>108</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1"/>
  <sheetViews>
    <sheetView showGridLines="0" tabSelected="1" zoomScaleNormal="100" workbookViewId="0">
      <selection activeCell="E9" sqref="E9"/>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4" t="s">
        <v>123</v>
      </c>
      <c r="C2" s="175"/>
      <c r="D2" s="175"/>
      <c r="E2" s="175"/>
      <c r="F2" s="175"/>
      <c r="G2" s="175"/>
      <c r="H2" s="175"/>
      <c r="I2" s="175"/>
      <c r="J2" s="175"/>
      <c r="K2" s="175"/>
      <c r="L2" s="175"/>
      <c r="M2" s="175"/>
      <c r="N2" s="175"/>
      <c r="O2" s="175"/>
      <c r="P2" s="175"/>
      <c r="Q2" s="176"/>
    </row>
    <row r="3" spans="2:26" s="1" customFormat="1" ht="19.5" thickTop="1" x14ac:dyDescent="0.35">
      <c r="B3" s="95" t="str">
        <f>'Data Entry'!A2</f>
        <v>State: Michigan</v>
      </c>
      <c r="C3" s="93"/>
      <c r="D3" s="93"/>
      <c r="E3" s="93"/>
      <c r="F3" s="93"/>
      <c r="G3" s="93"/>
      <c r="H3" s="93"/>
      <c r="I3" s="93"/>
      <c r="J3" s="93"/>
      <c r="K3" s="93"/>
      <c r="L3" s="93"/>
      <c r="M3" s="93"/>
      <c r="N3" s="182" t="str">
        <f>'Data Entry'!C3</f>
        <v xml:space="preserve">Reporting Period:  </v>
      </c>
      <c r="O3" s="183"/>
      <c r="P3" s="183"/>
      <c r="Q3" s="184"/>
      <c r="R3"/>
    </row>
    <row r="4" spans="2:26" s="1" customFormat="1" ht="19.5" thickBot="1" x14ac:dyDescent="0.4">
      <c r="B4" s="99" t="str">
        <f>'Data Entry'!A3</f>
        <v>All Reporting Counties</v>
      </c>
      <c r="C4" s="100"/>
      <c r="D4" s="100"/>
      <c r="E4" s="100"/>
      <c r="F4" s="100"/>
      <c r="G4" s="100"/>
      <c r="H4" s="100"/>
      <c r="I4" s="100"/>
      <c r="J4" s="100"/>
      <c r="K4" s="100"/>
      <c r="L4" s="100"/>
      <c r="M4" s="100"/>
      <c r="N4" s="179" t="str">
        <f>'Data Entry'!C4</f>
        <v>10/1/20 through 9/30/21</v>
      </c>
      <c r="O4" s="180"/>
      <c r="P4" s="180"/>
      <c r="Q4" s="181"/>
      <c r="R4"/>
    </row>
    <row r="5" spans="2:26" s="8" customFormat="1" ht="71.25" customHeight="1" x14ac:dyDescent="0.35">
      <c r="B5" s="97"/>
      <c r="C5" s="166" t="s">
        <v>3</v>
      </c>
      <c r="D5" s="177" t="str">
        <f>'Black or African-American'!$F$1</f>
        <v>Black or African American</v>
      </c>
      <c r="E5" s="178"/>
      <c r="F5" s="177" t="str">
        <f>Hispanic!F1</f>
        <v>Hispanic or Latino</v>
      </c>
      <c r="G5" s="178"/>
      <c r="H5" s="177" t="str">
        <f>Asian!F1</f>
        <v>Asian</v>
      </c>
      <c r="I5" s="178"/>
      <c r="J5" s="177" t="str">
        <f>Hawaiian!F1</f>
        <v>Native Hawaiian or Other Pacific Islanders</v>
      </c>
      <c r="K5" s="178"/>
      <c r="L5" s="177" t="str">
        <f>'Data Entry'!H5</f>
        <v>American Indian or Alaska Native</v>
      </c>
      <c r="M5" s="178"/>
      <c r="N5" s="177" t="str">
        <f>'Data Entry'!I5</f>
        <v>Biracial or Other</v>
      </c>
      <c r="O5" s="178"/>
      <c r="P5" s="177" t="str">
        <f>'Data Entry'!J5</f>
        <v>All Minorities</v>
      </c>
      <c r="Q5" s="185"/>
      <c r="T5" s="69"/>
      <c r="U5" s="69"/>
      <c r="V5" s="69"/>
      <c r="W5" s="69"/>
    </row>
    <row r="6" spans="2:26" s="8" customFormat="1" ht="18" customHeight="1" x14ac:dyDescent="0.35">
      <c r="B6" s="156" t="s">
        <v>121</v>
      </c>
      <c r="C6" s="144" t="s">
        <v>119</v>
      </c>
      <c r="D6" s="145" t="s">
        <v>119</v>
      </c>
      <c r="E6" s="146" t="s">
        <v>120</v>
      </c>
      <c r="F6" s="145" t="s">
        <v>119</v>
      </c>
      <c r="G6" s="146" t="s">
        <v>120</v>
      </c>
      <c r="H6" s="145" t="s">
        <v>119</v>
      </c>
      <c r="I6" s="146" t="s">
        <v>120</v>
      </c>
      <c r="J6" s="145" t="s">
        <v>119</v>
      </c>
      <c r="K6" s="146" t="s">
        <v>120</v>
      </c>
      <c r="L6" s="145" t="s">
        <v>119</v>
      </c>
      <c r="M6" s="146" t="s">
        <v>120</v>
      </c>
      <c r="N6" s="145" t="s">
        <v>119</v>
      </c>
      <c r="O6" s="146" t="s">
        <v>120</v>
      </c>
      <c r="P6" s="145" t="s">
        <v>119</v>
      </c>
      <c r="Q6" s="147" t="s">
        <v>120</v>
      </c>
    </row>
    <row r="7" spans="2:26" s="8" customFormat="1" ht="18" customHeight="1" x14ac:dyDescent="0.3">
      <c r="B7" s="141" t="str">
        <f>'Data Entry'!A6</f>
        <v xml:space="preserve">1. Population at Risk (age 10-16) </v>
      </c>
      <c r="C7" s="101">
        <f>'Data Entry'!C6</f>
        <v>591588</v>
      </c>
      <c r="D7" s="102">
        <f>'Data Entry'!D6</f>
        <v>148384</v>
      </c>
      <c r="E7" s="103"/>
      <c r="F7" s="104">
        <f>'Data Entry'!E6</f>
        <v>75984</v>
      </c>
      <c r="G7" s="103"/>
      <c r="H7" s="104">
        <f>'Data Entry'!F6</f>
        <v>33353</v>
      </c>
      <c r="I7" s="103"/>
      <c r="J7" s="104">
        <f>'Data Entry'!G6</f>
        <v>0</v>
      </c>
      <c r="K7" s="103"/>
      <c r="L7" s="104">
        <f>'Data Entry'!H6</f>
        <v>6872</v>
      </c>
      <c r="M7" s="103"/>
      <c r="N7" s="104">
        <f>'Data Entry'!I6</f>
        <v>0</v>
      </c>
      <c r="O7" s="103"/>
      <c r="P7" s="104">
        <f>'Data Entry'!J6</f>
        <v>264593</v>
      </c>
      <c r="Q7" s="105"/>
    </row>
    <row r="8" spans="2:26" s="1" customFormat="1" ht="15" customHeight="1" x14ac:dyDescent="0.3">
      <c r="B8" s="141" t="str">
        <f>'Data Entry'!A7</f>
        <v>2. Juvenile Arrests</v>
      </c>
      <c r="C8" s="101">
        <f>'Data Entry'!C7</f>
        <v>2606</v>
      </c>
      <c r="D8" s="102">
        <f>'Data Entry'!D7</f>
        <v>1719</v>
      </c>
      <c r="E8" s="103">
        <f>'Black or African-American'!$G7</f>
        <v>2.6298667674554053</v>
      </c>
      <c r="F8" s="104">
        <f>'Data Entry'!E7</f>
        <v>93</v>
      </c>
      <c r="G8" s="103">
        <f>Hispanic!G7</f>
        <v>0.27784701856690108</v>
      </c>
      <c r="H8" s="104">
        <f>'Data Entry'!F7</f>
        <v>11</v>
      </c>
      <c r="I8" s="103">
        <f>Asian!G7</f>
        <v>7.4869119621572153E-2</v>
      </c>
      <c r="J8" s="104">
        <f>'Data Entry'!G7</f>
        <v>2</v>
      </c>
      <c r="K8" s="103" t="str">
        <f>Hawaiian!G7</f>
        <v>*</v>
      </c>
      <c r="L8" s="104">
        <f>'Data Entry'!H7</f>
        <v>24</v>
      </c>
      <c r="M8" s="103" t="str">
        <f>'Am Indian'!G7</f>
        <v>*</v>
      </c>
      <c r="N8" s="104">
        <f>'Data Entry'!I7</f>
        <v>0</v>
      </c>
      <c r="O8" s="103" t="str">
        <f>'Other - Mixed'!G7</f>
        <v>*</v>
      </c>
      <c r="P8" s="104">
        <f>'Data Entry'!J7</f>
        <v>1849</v>
      </c>
      <c r="Q8" s="105">
        <f>'All Minorities'!G7</f>
        <v>1.5863664096518422</v>
      </c>
      <c r="R8"/>
      <c r="T8" s="1">
        <f>'Black or African-American'!L7</f>
        <v>1</v>
      </c>
      <c r="U8" s="1">
        <f>Hispanic!L7</f>
        <v>1</v>
      </c>
      <c r="V8" s="1">
        <f>Asian!L7</f>
        <v>1</v>
      </c>
      <c r="W8" s="1" t="e">
        <f>Hawaiian!L7</f>
        <v>#DIV/0!</v>
      </c>
      <c r="X8" s="1">
        <f>'Am Indian'!L7</f>
        <v>101</v>
      </c>
      <c r="Y8" s="1" t="e">
        <f>'Other - Mixed'!L7</f>
        <v>#VALUE!</v>
      </c>
      <c r="Z8" s="1">
        <f>'All Minorities'!L7</f>
        <v>1</v>
      </c>
    </row>
    <row r="9" spans="2:26" s="1" customFormat="1" ht="15" customHeight="1" x14ac:dyDescent="0.3">
      <c r="B9" s="140" t="s">
        <v>136</v>
      </c>
      <c r="C9" s="101">
        <f>'Data Entry'!C8</f>
        <v>3701</v>
      </c>
      <c r="D9" s="106">
        <f>'Data Entry'!D8</f>
        <v>1814</v>
      </c>
      <c r="E9" s="107">
        <f>'Black or African-American'!$G8</f>
        <v>0.74304776518271931</v>
      </c>
      <c r="F9" s="108">
        <f>'Data Entry'!E8</f>
        <v>143</v>
      </c>
      <c r="G9" s="107">
        <f>Hispanic!G8</f>
        <v>1.0827006940873287</v>
      </c>
      <c r="H9" s="108">
        <f>'Data Entry'!F8</f>
        <v>10</v>
      </c>
      <c r="I9" s="107" t="str">
        <f>Asian!G8</f>
        <v>**</v>
      </c>
      <c r="J9" s="108">
        <f>'Data Entry'!G8</f>
        <v>0</v>
      </c>
      <c r="K9" s="107" t="str">
        <f>Hawaiian!G8</f>
        <v>*</v>
      </c>
      <c r="L9" s="108">
        <f>'Data Entry'!H8</f>
        <v>58</v>
      </c>
      <c r="M9" s="107" t="str">
        <f>'Am Indian'!G8</f>
        <v>*</v>
      </c>
      <c r="N9" s="108">
        <f>'Data Entry'!I8</f>
        <v>220</v>
      </c>
      <c r="O9" s="107" t="str">
        <f>'Other - Mixed'!G8</f>
        <v>*</v>
      </c>
      <c r="P9" s="108">
        <f>'Data Entry'!J8</f>
        <v>2245</v>
      </c>
      <c r="Q9" s="109">
        <f>'All Minorities'!G8</f>
        <v>0.85493827476210138</v>
      </c>
      <c r="R9"/>
      <c r="T9" s="1">
        <f>'Black or African-American'!L8</f>
        <v>1</v>
      </c>
      <c r="U9" s="1">
        <f>Hispanic!L8</f>
        <v>2</v>
      </c>
      <c r="V9" s="1">
        <f>Asian!L8</f>
        <v>20</v>
      </c>
      <c r="W9" s="1">
        <f>Hawaiian!L8</f>
        <v>119</v>
      </c>
      <c r="X9" s="1">
        <f>'Am Indian'!L8</f>
        <v>119</v>
      </c>
      <c r="Y9" s="1">
        <f>'Other - Mixed'!L8</f>
        <v>119</v>
      </c>
      <c r="Z9" s="1">
        <f>'All Minorities'!L8</f>
        <v>1</v>
      </c>
    </row>
    <row r="10" spans="2:26" s="1" customFormat="1" ht="15" customHeight="1" x14ac:dyDescent="0.3">
      <c r="B10" s="140" t="s">
        <v>10</v>
      </c>
      <c r="C10" s="101">
        <f>'Data Entry'!C9</f>
        <v>689</v>
      </c>
      <c r="D10" s="110">
        <f>'Data Entry'!D9</f>
        <v>336</v>
      </c>
      <c r="E10" s="111">
        <f>'Black or African-American'!$G9</f>
        <v>0.99495137800977085</v>
      </c>
      <c r="F10" s="112">
        <f>'Data Entry'!E9</f>
        <v>23</v>
      </c>
      <c r="G10" s="111">
        <f>Hispanic!G9</f>
        <v>0.86395607295462162</v>
      </c>
      <c r="H10" s="112">
        <f>'Data Entry'!F9</f>
        <v>8</v>
      </c>
      <c r="I10" s="111" t="str">
        <f>Asian!G9</f>
        <v>**</v>
      </c>
      <c r="J10" s="112">
        <f>'Data Entry'!G9</f>
        <v>0</v>
      </c>
      <c r="K10" s="111" t="str">
        <f>Hawaiian!G9</f>
        <v>*</v>
      </c>
      <c r="L10" s="112">
        <f>'Data Entry'!H9</f>
        <v>2</v>
      </c>
      <c r="M10" s="111" t="str">
        <f>'Am Indian'!G9</f>
        <v>*</v>
      </c>
      <c r="N10" s="112">
        <f>'Data Entry'!I9</f>
        <v>29</v>
      </c>
      <c r="O10" s="111" t="str">
        <f>'Other - Mixed'!G9</f>
        <v>*</v>
      </c>
      <c r="P10" s="112">
        <f>'Data Entry'!J9</f>
        <v>398</v>
      </c>
      <c r="Q10" s="113">
        <f>'All Minorities'!G9</f>
        <v>0.95228422457905171</v>
      </c>
      <c r="R10"/>
      <c r="T10" s="1">
        <f>'Black or African-American'!L9</f>
        <v>2</v>
      </c>
      <c r="U10" s="1">
        <f>Hispanic!L9</f>
        <v>2</v>
      </c>
      <c r="V10" s="1">
        <f>Asian!L9</f>
        <v>20</v>
      </c>
      <c r="W10" s="1" t="e">
        <f>Hawaiian!L9</f>
        <v>#VALUE!</v>
      </c>
      <c r="X10" s="1">
        <f>'Am Indian'!L9</f>
        <v>119</v>
      </c>
      <c r="Y10" s="1">
        <f>'Other - Mixed'!L9</f>
        <v>100</v>
      </c>
      <c r="Z10" s="1">
        <f>'All Minorities'!L9</f>
        <v>2</v>
      </c>
    </row>
    <row r="11" spans="2:26" s="1" customFormat="1" ht="15" customHeight="1" x14ac:dyDescent="0.3">
      <c r="B11" s="140" t="s">
        <v>11</v>
      </c>
      <c r="C11" s="101">
        <f>'Data Entry'!C10</f>
        <v>470</v>
      </c>
      <c r="D11" s="106">
        <f>'Data Entry'!D10</f>
        <v>549</v>
      </c>
      <c r="E11" s="107">
        <f>'Black or African-American'!$G10</f>
        <v>2.3831769452719977</v>
      </c>
      <c r="F11" s="108">
        <f>'Data Entry'!E10</f>
        <v>39</v>
      </c>
      <c r="G11" s="107">
        <f>Hispanic!G10</f>
        <v>2.1475822050290136</v>
      </c>
      <c r="H11" s="108">
        <f>'Data Entry'!F10</f>
        <v>0</v>
      </c>
      <c r="I11" s="107" t="str">
        <f>Asian!G10</f>
        <v>**</v>
      </c>
      <c r="J11" s="108">
        <f>'Data Entry'!G10</f>
        <v>0</v>
      </c>
      <c r="K11" s="107" t="str">
        <f>Hawaiian!G10</f>
        <v>*</v>
      </c>
      <c r="L11" s="108">
        <f>'Data Entry'!H10</f>
        <v>2</v>
      </c>
      <c r="M11" s="107" t="str">
        <f>'Am Indian'!G10</f>
        <v>*</v>
      </c>
      <c r="N11" s="108">
        <f>'Data Entry'!I10</f>
        <v>78</v>
      </c>
      <c r="O11" s="107" t="str">
        <f>'Other - Mixed'!G10</f>
        <v>*</v>
      </c>
      <c r="P11" s="108">
        <f>'Data Entry'!J10</f>
        <v>668</v>
      </c>
      <c r="Q11" s="109">
        <f>'All Minorities'!G10</f>
        <v>2.3430488556129458</v>
      </c>
      <c r="R11"/>
      <c r="T11" s="1">
        <f>'Black or African-American'!L10</f>
        <v>1</v>
      </c>
      <c r="U11" s="1">
        <f>Hispanic!L10</f>
        <v>1</v>
      </c>
      <c r="V11" s="1">
        <f>Asian!L10</f>
        <v>40</v>
      </c>
      <c r="W11" s="1" t="e">
        <f>Hawaiian!L10</f>
        <v>#VALUE!</v>
      </c>
      <c r="X11" s="1">
        <f>'Am Indian'!L10</f>
        <v>119</v>
      </c>
      <c r="Y11" s="1">
        <f>'Other - Mixed'!L10</f>
        <v>100</v>
      </c>
      <c r="Z11" s="1">
        <f>'All Minorities'!L10</f>
        <v>1</v>
      </c>
    </row>
    <row r="12" spans="2:26" s="1" customFormat="1" ht="15" customHeight="1" x14ac:dyDescent="0.3">
      <c r="B12" s="140" t="s">
        <v>97</v>
      </c>
      <c r="C12" s="101">
        <f>'Data Entry'!C11</f>
        <v>2012</v>
      </c>
      <c r="D12" s="110">
        <f>'Data Entry'!D11</f>
        <v>1195</v>
      </c>
      <c r="E12" s="111">
        <f>'Black or African-American'!$G11</f>
        <v>1.2117742826393347</v>
      </c>
      <c r="F12" s="112">
        <f>'Data Entry'!E11</f>
        <v>82</v>
      </c>
      <c r="G12" s="111">
        <f>Hispanic!G11</f>
        <v>1.0547970915764155</v>
      </c>
      <c r="H12" s="112">
        <f>'Data Entry'!F11</f>
        <v>2</v>
      </c>
      <c r="I12" s="111" t="str">
        <f>Asian!G11</f>
        <v>**</v>
      </c>
      <c r="J12" s="112">
        <f>'Data Entry'!G11</f>
        <v>0</v>
      </c>
      <c r="K12" s="111" t="str">
        <f>Hawaiian!G11</f>
        <v>*</v>
      </c>
      <c r="L12" s="112">
        <f>'Data Entry'!H11</f>
        <v>23</v>
      </c>
      <c r="M12" s="111" t="str">
        <f>'Am Indian'!G11</f>
        <v>*</v>
      </c>
      <c r="N12" s="112">
        <f>'Data Entry'!I11</f>
        <v>133</v>
      </c>
      <c r="O12" s="111" t="str">
        <f>'Other - Mixed'!G11</f>
        <v>*</v>
      </c>
      <c r="P12" s="112">
        <f>'Data Entry'!J11</f>
        <v>1435</v>
      </c>
      <c r="Q12" s="113">
        <f>'All Minorities'!G11</f>
        <v>1.1757816132160268</v>
      </c>
      <c r="R12"/>
      <c r="T12" s="1">
        <f>'Black or African-American'!L11</f>
        <v>1</v>
      </c>
      <c r="U12" s="1">
        <f>Hispanic!L11</f>
        <v>2</v>
      </c>
      <c r="V12" s="1">
        <f>Asian!L11</f>
        <v>20</v>
      </c>
      <c r="W12" s="1" t="e">
        <f>Hawaiian!L11</f>
        <v>#VALUE!</v>
      </c>
      <c r="X12" s="1">
        <f>'Am Indian'!L11</f>
        <v>100</v>
      </c>
      <c r="Y12" s="1">
        <f>'Other - Mixed'!L11</f>
        <v>101</v>
      </c>
      <c r="Z12" s="1">
        <f>'All Minorities'!L11</f>
        <v>1</v>
      </c>
    </row>
    <row r="13" spans="2:26" s="1" customFormat="1" ht="15" customHeight="1" x14ac:dyDescent="0.3">
      <c r="B13" s="140" t="s">
        <v>13</v>
      </c>
      <c r="C13" s="101">
        <f>'Data Entry'!C12</f>
        <v>1284</v>
      </c>
      <c r="D13" s="106">
        <f>'Data Entry'!D12</f>
        <v>665</v>
      </c>
      <c r="E13" s="107">
        <f>'Black or African-American'!$G12</f>
        <v>0.87200041710658382</v>
      </c>
      <c r="F13" s="108">
        <f>'Data Entry'!E12</f>
        <v>63</v>
      </c>
      <c r="G13" s="107">
        <f>Hispanic!G12</f>
        <v>1.2038978801002964</v>
      </c>
      <c r="H13" s="108">
        <f>'Data Entry'!F12</f>
        <v>0</v>
      </c>
      <c r="I13" s="107" t="str">
        <f>Asian!G12</f>
        <v>**</v>
      </c>
      <c r="J13" s="108">
        <f>'Data Entry'!G12</f>
        <v>0</v>
      </c>
      <c r="K13" s="107" t="str">
        <f>Hawaiian!G12</f>
        <v>*</v>
      </c>
      <c r="L13" s="108">
        <f>'Data Entry'!H12</f>
        <v>18</v>
      </c>
      <c r="M13" s="107" t="str">
        <f>'Am Indian'!G12</f>
        <v>*</v>
      </c>
      <c r="N13" s="108">
        <f>'Data Entry'!I12</f>
        <v>78</v>
      </c>
      <c r="O13" s="107" t="str">
        <f>'Other - Mixed'!G12</f>
        <v>*</v>
      </c>
      <c r="P13" s="108">
        <f>'Data Entry'!J12</f>
        <v>824</v>
      </c>
      <c r="Q13" s="109">
        <f>'All Minorities'!G12</f>
        <v>0.89978399383459795</v>
      </c>
      <c r="R13"/>
      <c r="T13" s="1">
        <f>'Black or African-American'!L12</f>
        <v>1</v>
      </c>
      <c r="U13" s="1">
        <f>Hispanic!L12</f>
        <v>1</v>
      </c>
      <c r="V13" s="1">
        <f>Asian!L12</f>
        <v>40</v>
      </c>
      <c r="W13" s="1" t="e">
        <f>Hawaiian!L12</f>
        <v>#VALUE!</v>
      </c>
      <c r="X13" s="1">
        <f>'Am Indian'!L12</f>
        <v>139</v>
      </c>
      <c r="Y13" s="1">
        <f>'Other - Mixed'!L12</f>
        <v>101</v>
      </c>
      <c r="Z13" s="1">
        <f>'All Minorities'!L12</f>
        <v>1</v>
      </c>
    </row>
    <row r="14" spans="2:26" s="1" customFormat="1" ht="15" customHeight="1" x14ac:dyDescent="0.3">
      <c r="B14" s="140" t="s">
        <v>135</v>
      </c>
      <c r="C14" s="101">
        <f>'Data Entry'!C13</f>
        <v>1376</v>
      </c>
      <c r="D14" s="110">
        <f>'Data Entry'!D13</f>
        <v>612</v>
      </c>
      <c r="E14" s="111">
        <f>'Black or African-American'!$G13</f>
        <v>0.85876901556216112</v>
      </c>
      <c r="F14" s="112">
        <f>'Data Entry'!E13</f>
        <v>70</v>
      </c>
      <c r="G14" s="111">
        <f>Hispanic!G13</f>
        <v>1.0368217054263567</v>
      </c>
      <c r="H14" s="112">
        <f>'Data Entry'!F13</f>
        <v>0</v>
      </c>
      <c r="I14" s="111" t="str">
        <f>Asian!G13</f>
        <v>--</v>
      </c>
      <c r="J14" s="112">
        <f>'Data Entry'!G13</f>
        <v>0</v>
      </c>
      <c r="K14" s="111" t="str">
        <f>Hawaiian!G13</f>
        <v>*</v>
      </c>
      <c r="L14" s="112">
        <f>'Data Entry'!H13</f>
        <v>34</v>
      </c>
      <c r="M14" s="111" t="str">
        <f>'Am Indian'!G13</f>
        <v>*</v>
      </c>
      <c r="N14" s="112">
        <f>'Data Entry'!I13</f>
        <v>82</v>
      </c>
      <c r="O14" s="111" t="str">
        <f>'Other - Mixed'!G13</f>
        <v>*</v>
      </c>
      <c r="P14" s="112">
        <f>'Data Entry'!J13</f>
        <v>798</v>
      </c>
      <c r="Q14" s="113">
        <f>'All Minorities'!G13</f>
        <v>0.90369581169564228</v>
      </c>
      <c r="R14"/>
      <c r="T14" s="1">
        <f>'Black or African-American'!L13</f>
        <v>1</v>
      </c>
      <c r="U14" s="1">
        <f>Hispanic!L13</f>
        <v>2</v>
      </c>
      <c r="V14" s="1" t="e">
        <f>Asian!L13</f>
        <v>#VALUE!</v>
      </c>
      <c r="W14" s="1" t="e">
        <f>Hawaiian!L13</f>
        <v>#VALUE!</v>
      </c>
      <c r="X14" s="1">
        <f>'Am Indian'!L13</f>
        <v>119</v>
      </c>
      <c r="Y14" s="1">
        <f>'Other - Mixed'!L13</f>
        <v>101</v>
      </c>
      <c r="Z14" s="1">
        <f>'All Minorities'!L13</f>
        <v>1</v>
      </c>
    </row>
    <row r="15" spans="2:26" s="1" customFormat="1" ht="33" x14ac:dyDescent="0.3">
      <c r="B15" s="142" t="s">
        <v>125</v>
      </c>
      <c r="C15" s="101">
        <f>'Data Entry'!C14</f>
        <v>376</v>
      </c>
      <c r="D15" s="106">
        <f>'Data Entry'!D14</f>
        <v>179</v>
      </c>
      <c r="E15" s="107">
        <f>'Black or African-American'!$G14</f>
        <v>0.9191969284914413</v>
      </c>
      <c r="F15" s="108">
        <f>'Data Entry'!E14</f>
        <v>24</v>
      </c>
      <c r="G15" s="107">
        <f>Hispanic!G14</f>
        <v>1.3009118541033435</v>
      </c>
      <c r="H15" s="108">
        <f>'Data Entry'!F14</f>
        <v>0</v>
      </c>
      <c r="I15" s="107" t="str">
        <f>Asian!G14</f>
        <v>--</v>
      </c>
      <c r="J15" s="108">
        <f>'Data Entry'!G14</f>
        <v>0</v>
      </c>
      <c r="K15" s="107" t="str">
        <f>Hawaiian!G14</f>
        <v>*</v>
      </c>
      <c r="L15" s="108">
        <f>'Data Entry'!H14</f>
        <v>4</v>
      </c>
      <c r="M15" s="107" t="str">
        <f>'Am Indian'!G14</f>
        <v>*</v>
      </c>
      <c r="N15" s="108">
        <f>'Data Entry'!I14</f>
        <v>37</v>
      </c>
      <c r="O15" s="107" t="str">
        <f>'Other - Mixed'!G14</f>
        <v>*</v>
      </c>
      <c r="P15" s="108">
        <f>'Data Entry'!J14</f>
        <v>244</v>
      </c>
      <c r="Q15" s="109">
        <f>'All Minorities'!G14</f>
        <v>1.0112063623218344</v>
      </c>
      <c r="R15"/>
      <c r="T15" s="1">
        <f>'Black or African-American'!L14</f>
        <v>2</v>
      </c>
      <c r="U15" s="1">
        <f>Hispanic!L14</f>
        <v>2</v>
      </c>
      <c r="V15" s="1" t="e">
        <f>Asian!L14</f>
        <v>#VALUE!</v>
      </c>
      <c r="W15" s="1" t="e">
        <f>Hawaiian!L14</f>
        <v>#VALUE!</v>
      </c>
      <c r="X15" s="1">
        <f>'Am Indian'!L14</f>
        <v>139</v>
      </c>
      <c r="Y15" s="1">
        <f>'Other - Mixed'!L14</f>
        <v>100</v>
      </c>
      <c r="Z15" s="1">
        <f>'All Minorities'!L14</f>
        <v>2</v>
      </c>
    </row>
    <row r="16" spans="2:26" s="1" customFormat="1" ht="15" customHeight="1" x14ac:dyDescent="0.3">
      <c r="B16" s="140" t="s">
        <v>16</v>
      </c>
      <c r="C16" s="101">
        <f>'Data Entry'!C15</f>
        <v>9</v>
      </c>
      <c r="D16" s="114">
        <f>'Data Entry'!D15</f>
        <v>11</v>
      </c>
      <c r="E16" s="115">
        <f>'Black or African-American'!$G15</f>
        <v>2.0578335657833566</v>
      </c>
      <c r="F16" s="116">
        <f>'Data Entry'!E15</f>
        <v>0</v>
      </c>
      <c r="G16" s="115" t="str">
        <f>Hispanic!G15</f>
        <v>**</v>
      </c>
      <c r="H16" s="116">
        <f>'Data Entry'!F15</f>
        <v>0</v>
      </c>
      <c r="I16" s="115" t="str">
        <f>Asian!G15</f>
        <v>**</v>
      </c>
      <c r="J16" s="116">
        <f>'Data Entry'!G15</f>
        <v>0</v>
      </c>
      <c r="K16" s="115" t="str">
        <f>Hawaiian!G15</f>
        <v>*</v>
      </c>
      <c r="L16" s="116">
        <f>'Data Entry'!H15</f>
        <v>0</v>
      </c>
      <c r="M16" s="115" t="str">
        <f>'Am Indian'!G15</f>
        <v>*</v>
      </c>
      <c r="N16" s="116">
        <f>'Data Entry'!I15</f>
        <v>0</v>
      </c>
      <c r="O16" s="115" t="str">
        <f>'Other - Mixed'!G15</f>
        <v>*</v>
      </c>
      <c r="P16" s="116">
        <f>'Data Entry'!J15</f>
        <v>11</v>
      </c>
      <c r="Q16" s="117">
        <f>'All Minorities'!G15</f>
        <v>1.7136662795199382</v>
      </c>
      <c r="R16"/>
      <c r="T16" s="1">
        <f>'Black or African-American'!L15</f>
        <v>2</v>
      </c>
      <c r="U16" s="1">
        <f>Hispanic!L15</f>
        <v>40</v>
      </c>
      <c r="V16" s="1">
        <f>Asian!L15</f>
        <v>40</v>
      </c>
      <c r="W16" s="1" t="e">
        <f>Hawaiian!L15</f>
        <v>#VALUE!</v>
      </c>
      <c r="X16" s="1">
        <f>'Am Indian'!L15</f>
        <v>139</v>
      </c>
      <c r="Y16" s="1">
        <f>'Other - Mixed'!L15</f>
        <v>139</v>
      </c>
      <c r="Z16" s="1">
        <f>'All Minorities'!L15</f>
        <v>2</v>
      </c>
    </row>
    <row r="17" spans="2:18" s="1" customFormat="1" ht="15" customHeight="1" thickBot="1" x14ac:dyDescent="0.4">
      <c r="B17" s="143" t="s">
        <v>98</v>
      </c>
      <c r="C17" s="96" t="str">
        <f>'Data Entry'!C16</f>
        <v>Yes</v>
      </c>
      <c r="D17" s="127"/>
      <c r="E17" s="137" t="str">
        <f>'Data Entry'!$D$16</f>
        <v>Yes</v>
      </c>
      <c r="F17" s="127"/>
      <c r="G17" s="137" t="str">
        <f>'Data Entry'!$E$16</f>
        <v>Yes</v>
      </c>
      <c r="H17" s="127"/>
      <c r="I17" s="137" t="str">
        <f>'Data Entry'!F16</f>
        <v>Yes</v>
      </c>
      <c r="J17" s="127"/>
      <c r="K17" s="137" t="str">
        <f>'Data Entry'!G16</f>
        <v>No</v>
      </c>
      <c r="L17" s="127"/>
      <c r="M17" s="137" t="str">
        <f>'Data Entry'!H16</f>
        <v>No</v>
      </c>
      <c r="N17" s="127"/>
      <c r="O17" s="137" t="str">
        <f>'Data Entry'!I16</f>
        <v>No</v>
      </c>
      <c r="P17" s="127"/>
      <c r="Q17" s="138" t="str">
        <f>'Data Entry'!J16</f>
        <v>Yes</v>
      </c>
      <c r="R17"/>
    </row>
    <row r="18" spans="2:18" ht="15" customHeight="1" thickTop="1" thickBot="1" x14ac:dyDescent="0.35">
      <c r="B18" s="91"/>
      <c r="C18" s="91"/>
      <c r="D18" s="91"/>
      <c r="E18" s="91"/>
      <c r="F18" s="91"/>
      <c r="G18" s="91"/>
      <c r="H18" s="91"/>
      <c r="I18" s="91"/>
      <c r="J18" s="91"/>
      <c r="K18" s="91"/>
      <c r="L18" s="91"/>
      <c r="M18" s="91"/>
      <c r="N18" s="91"/>
      <c r="O18" s="91"/>
      <c r="P18" s="91"/>
      <c r="Q18" s="91"/>
    </row>
    <row r="19" spans="2:18" ht="18" customHeight="1" thickBot="1" x14ac:dyDescent="0.4">
      <c r="B19" s="92"/>
      <c r="C19" s="128"/>
      <c r="D19" s="129"/>
      <c r="E19" s="129"/>
      <c r="F19" s="129"/>
      <c r="G19" s="129"/>
      <c r="H19" s="131" t="s">
        <v>130</v>
      </c>
      <c r="I19" s="132" t="s">
        <v>52</v>
      </c>
      <c r="J19" s="129"/>
      <c r="K19" s="129"/>
      <c r="L19" s="129"/>
      <c r="M19" s="129"/>
      <c r="N19" s="129"/>
      <c r="O19" s="130"/>
      <c r="P19" s="91"/>
      <c r="Q19" s="91"/>
    </row>
    <row r="20" spans="2:18" ht="16.5" x14ac:dyDescent="0.3">
      <c r="B20" s="91"/>
      <c r="C20" s="151" t="s">
        <v>127</v>
      </c>
      <c r="D20" s="157"/>
      <c r="E20" s="158"/>
      <c r="F20" s="159"/>
      <c r="G20" s="160" t="s">
        <v>54</v>
      </c>
      <c r="H20" s="157"/>
      <c r="I20" s="151" t="s">
        <v>57</v>
      </c>
      <c r="J20" s="157"/>
      <c r="K20" s="157"/>
      <c r="L20" s="157"/>
      <c r="M20" s="157"/>
      <c r="N20" s="157"/>
      <c r="O20" s="152" t="s">
        <v>58</v>
      </c>
      <c r="Q20" s="91"/>
    </row>
    <row r="21" spans="2:18" ht="15" customHeight="1" x14ac:dyDescent="0.3">
      <c r="B21" s="91"/>
      <c r="C21" s="153" t="s">
        <v>129</v>
      </c>
      <c r="D21" s="157"/>
      <c r="E21" s="161"/>
      <c r="F21" s="157"/>
      <c r="G21" s="162" t="s">
        <v>56</v>
      </c>
      <c r="H21" s="157"/>
      <c r="I21" s="153" t="s">
        <v>59</v>
      </c>
      <c r="J21" s="157"/>
      <c r="K21" s="157"/>
      <c r="L21" s="157"/>
      <c r="M21" s="157"/>
      <c r="N21" s="157"/>
      <c r="O21" s="154" t="s">
        <v>60</v>
      </c>
      <c r="Q21" s="91"/>
    </row>
    <row r="22" spans="2:18" ht="15" customHeight="1" thickBot="1" x14ac:dyDescent="0.35">
      <c r="B22" s="91"/>
      <c r="C22" s="163"/>
      <c r="D22" s="164"/>
      <c r="E22" s="164"/>
      <c r="F22" s="164"/>
      <c r="G22" s="164"/>
      <c r="H22" s="164"/>
      <c r="I22" s="165" t="s">
        <v>61</v>
      </c>
      <c r="J22" s="164"/>
      <c r="K22" s="164"/>
      <c r="L22" s="164"/>
      <c r="M22" s="164"/>
      <c r="N22" s="164"/>
      <c r="O22" s="155" t="s">
        <v>62</v>
      </c>
      <c r="Q22" s="91"/>
    </row>
    <row r="23" spans="2:18" ht="15" customHeight="1" x14ac:dyDescent="0.3">
      <c r="B23" s="91"/>
      <c r="C23" s="91"/>
      <c r="D23" s="91"/>
      <c r="E23"/>
      <c r="F23"/>
      <c r="G23"/>
      <c r="H23"/>
      <c r="K23"/>
      <c r="L23"/>
      <c r="M23" s="91"/>
      <c r="N23" s="91"/>
      <c r="O23" s="91"/>
      <c r="P23" s="91"/>
      <c r="Q23" s="91"/>
    </row>
    <row r="24" spans="2:18" ht="15" customHeight="1" x14ac:dyDescent="0.3">
      <c r="B24" s="91"/>
      <c r="C24" s="91"/>
      <c r="D24" s="91"/>
      <c r="E24"/>
      <c r="F24"/>
      <c r="G24"/>
      <c r="H24"/>
      <c r="K24"/>
      <c r="L24"/>
      <c r="M24" s="91"/>
      <c r="N24" s="91"/>
      <c r="O24" s="91"/>
      <c r="P24" s="91"/>
      <c r="Q24" s="91"/>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2.Arrest: Michigan State Police</v>
      </c>
      <c r="I26" s="94"/>
      <c r="J26" s="94"/>
    </row>
    <row r="27" spans="2:18" ht="12.75" customHeight="1" x14ac:dyDescent="0.25">
      <c r="B27" s="1" t="str">
        <f>'Data Entry'!A20</f>
        <v>Item 3.Referral: State Court Administrative Office</v>
      </c>
      <c r="E27" s="1" t="str">
        <f>'Data Entry'!D20</f>
        <v>Item 4.Diversion: State Court Administrative Office</v>
      </c>
      <c r="I27" s="94"/>
      <c r="J27" s="94"/>
    </row>
    <row r="28" spans="2:18" ht="12.75" customHeight="1" x14ac:dyDescent="0.25">
      <c r="B28" s="1" t="str">
        <f>'Data Entry'!A21</f>
        <v>Item 5.Detention: State Court Administrative Office</v>
      </c>
      <c r="E28" s="1" t="str">
        <f>'Data Entry'!D21</f>
        <v>Item 6.Petitioned: State Court Administrative Office</v>
      </c>
      <c r="I28" s="94"/>
      <c r="J28" s="94"/>
    </row>
    <row r="29" spans="2:18" ht="12.75" customHeight="1" x14ac:dyDescent="0.25">
      <c r="B29" s="1" t="str">
        <f>'Data Entry'!A22</f>
        <v>Item 7.Delinquent: State Court Administrative Office</v>
      </c>
      <c r="E29" s="1" t="str">
        <f>'Data Entry'!D22</f>
        <v>Item 8.Probation: State Court Administrative Office</v>
      </c>
      <c r="I29" s="94"/>
      <c r="J29" s="94"/>
    </row>
    <row r="30" spans="2:18" ht="12.75" customHeight="1" x14ac:dyDescent="0.25">
      <c r="B30" s="1" t="str">
        <f>'Data Entry'!A23</f>
        <v>Item 9.Confinement: State Court Administrative Office</v>
      </c>
      <c r="E30" s="1" t="str">
        <f>'Data Entry'!D23</f>
        <v>Item 10.Transferred: State Court Administrative Office</v>
      </c>
      <c r="I30" s="94"/>
      <c r="J30" s="94"/>
    </row>
    <row r="31" spans="2:18" ht="29.25" customHeight="1" x14ac:dyDescent="0.25">
      <c r="B31" s="172" t="s">
        <v>139</v>
      </c>
      <c r="C31" s="173"/>
      <c r="D31" s="173"/>
      <c r="E31" s="173"/>
      <c r="F31" s="173"/>
      <c r="G31" s="173"/>
      <c r="H31" s="173"/>
      <c r="I31" s="173"/>
      <c r="J31" s="173"/>
      <c r="K31" s="173"/>
      <c r="L31" s="173"/>
    </row>
  </sheetData>
  <sheetProtection password="C722" objects="1"/>
  <mergeCells count="11">
    <mergeCell ref="B31:L31"/>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4" t="str">
        <f>'Data Entry'!A3</f>
        <v>All Reporting Counties</v>
      </c>
    </row>
    <row r="6" spans="1:12" x14ac:dyDescent="0.2">
      <c r="A6" s="133" t="str">
        <f>CONCATENATE("Percentage of Minorities at Stages of the Juvenile Justice System, ", A5, " 2021")</f>
        <v>Percentage of Minorities at Stages of the Juvenile Justice System, All Reporting Counties 2021</v>
      </c>
      <c r="B6" s="94" t="str">
        <f>'Data Entry'!D5</f>
        <v>Black or African American</v>
      </c>
      <c r="C6" s="94" t="str">
        <f>'Data Entry'!E5</f>
        <v>Hispanic or Latino</v>
      </c>
      <c r="D6" s="94" t="str">
        <f>'Data Entry'!F5</f>
        <v>Asian</v>
      </c>
      <c r="E6" s="94" t="str">
        <f>'Data Entry'!G5</f>
        <v>Native Hawaiian or Other Pacific Islanders</v>
      </c>
      <c r="F6" s="94" t="str">
        <f>'Data Entry'!H5</f>
        <v>American Indian or Alaska Native</v>
      </c>
      <c r="G6" s="94" t="str">
        <f>'Data Entry'!I5</f>
        <v>Biracial or Other</v>
      </c>
      <c r="H6" s="126" t="s">
        <v>132</v>
      </c>
      <c r="I6" s="94" t="str">
        <f>'Data Entry'!C5</f>
        <v>White</v>
      </c>
      <c r="K6" s="133" t="s">
        <v>133</v>
      </c>
      <c r="L6" s="133" t="s">
        <v>131</v>
      </c>
    </row>
    <row r="7" spans="1:12" x14ac:dyDescent="0.2">
      <c r="A7" s="126" t="str">
        <f>CONCATENATE("Waivers, total N=", 'Data Entry'!B15)</f>
        <v>Waivers, total N=20</v>
      </c>
      <c r="B7" s="148">
        <f>'Data Entry'!D15/'Data Entry'!B15</f>
        <v>0.55000000000000004</v>
      </c>
      <c r="C7" s="148">
        <f>'Data Entry'!E15/'Data Entry'!B15</f>
        <v>0</v>
      </c>
      <c r="D7" s="148">
        <f>'Data Entry'!F15/'Data Entry'!B15</f>
        <v>0</v>
      </c>
      <c r="E7" s="148">
        <f>'Data Entry'!G15/'Data Entry'!B15</f>
        <v>0</v>
      </c>
      <c r="F7" s="148">
        <f>'Data Entry'!H15/'Data Entry'!B15</f>
        <v>0</v>
      </c>
      <c r="G7" s="148">
        <f>'Data Entry'!I15/'Data Entry'!B15</f>
        <v>0</v>
      </c>
      <c r="H7" s="148">
        <f>SUM(D7:G7)/'Data Entry'!B15</f>
        <v>0</v>
      </c>
      <c r="I7" s="148">
        <f>'Data Entry'!C15/'Data Entry'!B15</f>
        <v>0.45</v>
      </c>
      <c r="K7" s="94" t="str">
        <f t="shared" ref="K7:K14" si="0">A7</f>
        <v>Waivers, total N=20</v>
      </c>
      <c r="L7">
        <f>I14/(SUM(B14:G14))</f>
        <v>2.235841462170201</v>
      </c>
    </row>
    <row r="8" spans="1:12" ht="25.5" customHeight="1" x14ac:dyDescent="0.2">
      <c r="A8" s="149" t="str">
        <f>CONCATENATE("Confinement, total N=", 'Data Entry'!B14)</f>
        <v>Confinement, total N=675</v>
      </c>
      <c r="B8" s="148">
        <f>'Data Entry'!D14/'Data Entry'!B14</f>
        <v>0.26518518518518519</v>
      </c>
      <c r="C8" s="148">
        <f>'Data Entry'!E14/'Data Entry'!B14</f>
        <v>3.5555555555555556E-2</v>
      </c>
      <c r="D8" s="148">
        <f>'Data Entry'!F14/'Data Entry'!B14</f>
        <v>0</v>
      </c>
      <c r="E8" s="148">
        <f>'Data Entry'!G14/'Data Entry'!B14</f>
        <v>0</v>
      </c>
      <c r="F8" s="148">
        <f>'Data Entry'!H14/'Data Entry'!B14</f>
        <v>5.9259259259259256E-3</v>
      </c>
      <c r="G8" s="148">
        <f>'Data Entry'!I14/'Data Entry'!B14</f>
        <v>5.4814814814814816E-2</v>
      </c>
      <c r="H8" s="148">
        <f>SUM(D8:G8)/'Data Entry'!B14</f>
        <v>8.9986282578875178E-5</v>
      </c>
      <c r="I8" s="148">
        <f>'Data Entry'!C14/'Data Entry'!B14</f>
        <v>0.557037037037037</v>
      </c>
      <c r="K8" s="94" t="str">
        <f>A8</f>
        <v>Confinement, total N=675</v>
      </c>
      <c r="L8">
        <f>I14/(SUM(B14:G14))</f>
        <v>2.235841462170201</v>
      </c>
    </row>
    <row r="9" spans="1:12" x14ac:dyDescent="0.2">
      <c r="A9" s="126" t="str">
        <f>CONCATENATE("Delinquent Findings, total N=", 'Data Entry'!B12)</f>
        <v>Delinquent Findings, total N=2274</v>
      </c>
      <c r="B9" s="148">
        <f>'Data Entry'!D12/'Data Entry'!B12</f>
        <v>0.29243623570800353</v>
      </c>
      <c r="C9" s="148">
        <f>'Data Entry'!E12/'Data Entry'!B12</f>
        <v>2.7704485488126648E-2</v>
      </c>
      <c r="D9" s="148">
        <f>'Data Entry'!F12/'Data Entry'!B12</f>
        <v>0</v>
      </c>
      <c r="E9" s="148">
        <f>'Data Entry'!G12/'Data Entry'!B12</f>
        <v>0</v>
      </c>
      <c r="F9" s="148">
        <f>'Data Entry'!H12/'Data Entry'!B12</f>
        <v>7.9155672823219003E-3</v>
      </c>
      <c r="G9" s="148">
        <f>'Data Entry'!I12/'Data Entry'!B12</f>
        <v>3.430079155672823E-2</v>
      </c>
      <c r="H9" s="148">
        <f>SUM(D9:G9)/'Data Entry'!B12</f>
        <v>1.8564801600285899E-5</v>
      </c>
      <c r="I9" s="148">
        <f>'Data Entry'!C12/'Data Entry'!B12</f>
        <v>0.56464379947229548</v>
      </c>
      <c r="K9" s="94" t="str">
        <f t="shared" si="0"/>
        <v>Delinquent Findings, total N=2274</v>
      </c>
      <c r="L9">
        <f>I14/(SUM(B14:G14))</f>
        <v>2.235841462170201</v>
      </c>
    </row>
    <row r="10" spans="1:12" x14ac:dyDescent="0.2">
      <c r="A10" s="126" t="str">
        <f>CONCATENATE("Petitions, total N=", 'Data Entry'!B11)</f>
        <v>Petitions, total N=3704</v>
      </c>
      <c r="B10" s="148">
        <f>'Data Entry'!D11/'Data Entry'!B11</f>
        <v>0.32262419006479481</v>
      </c>
      <c r="C10" s="148">
        <f>'Data Entry'!E11/'Data Entry'!B11</f>
        <v>2.2138228941684664E-2</v>
      </c>
      <c r="D10" s="148">
        <f>'Data Entry'!F11/'Data Entry'!B11</f>
        <v>5.3995680345572358E-4</v>
      </c>
      <c r="E10" s="148">
        <f>'Data Entry'!G11/'Data Entry'!B11</f>
        <v>0</v>
      </c>
      <c r="F10" s="148">
        <f>'Data Entry'!H11/'Data Entry'!B11</f>
        <v>6.2095032397408208E-3</v>
      </c>
      <c r="G10" s="148">
        <f>'Data Entry'!I11/'Data Entry'!B11</f>
        <v>3.5907127429805619E-2</v>
      </c>
      <c r="H10" s="148">
        <f>SUM(D10:G10)/'Data Entry'!B11</f>
        <v>1.1516357309125853E-5</v>
      </c>
      <c r="I10" s="148">
        <f>'Data Entry'!C11/'Data Entry'!B11</f>
        <v>0.54319654427645792</v>
      </c>
      <c r="K10" s="94" t="str">
        <f t="shared" si="0"/>
        <v>Petitions, total N=3704</v>
      </c>
      <c r="L10">
        <f>I14/(SUM(B14:G14))</f>
        <v>2.235841462170201</v>
      </c>
    </row>
    <row r="11" spans="1:12" x14ac:dyDescent="0.2">
      <c r="A11" s="126" t="str">
        <f>CONCATENATE("Detentions, total N=", 'Data Entry'!B10)</f>
        <v>Detentions, total N=1193</v>
      </c>
      <c r="B11" s="148">
        <f>'Data Entry'!D10/'Data Entry'!B10</f>
        <v>0.46018440905280805</v>
      </c>
      <c r="C11" s="148">
        <f>'Data Entry'!E10/'Data Entry'!B10</f>
        <v>3.269069572506287E-2</v>
      </c>
      <c r="D11" s="148">
        <f>'Data Entry'!F10/'Data Entry'!B10</f>
        <v>0</v>
      </c>
      <c r="E11" s="148">
        <f>'Data Entry'!G10/'Data Entry'!B10</f>
        <v>0</v>
      </c>
      <c r="F11" s="148">
        <f>'Data Entry'!H10/'Data Entry'!B10</f>
        <v>1.6764459346186086E-3</v>
      </c>
      <c r="G11" s="148">
        <f>'Data Entry'!I10/'Data Entry'!B10</f>
        <v>6.5381391450125739E-2</v>
      </c>
      <c r="H11" s="148">
        <f>SUM(D11:G11)/'Data Entry'!B10</f>
        <v>5.6209419433985201E-5</v>
      </c>
      <c r="I11" s="148">
        <f>'Data Entry'!C10/'Data Entry'!B10</f>
        <v>0.39396479463537298</v>
      </c>
      <c r="K11" s="94" t="str">
        <f t="shared" si="0"/>
        <v>Detentions, total N=1193</v>
      </c>
      <c r="L11">
        <f>I14/(SUM(B14:G14))</f>
        <v>2.235841462170201</v>
      </c>
    </row>
    <row r="12" spans="1:12" x14ac:dyDescent="0.2">
      <c r="A12" s="126" t="str">
        <f>CONCATENATE("Referrals, total N=", 'Data Entry'!B8)</f>
        <v>Referrals, total N=6528</v>
      </c>
      <c r="B12" s="148">
        <f>'Data Entry'!D8/'Data Entry'!B8</f>
        <v>0.27787990196078433</v>
      </c>
      <c r="C12" s="148">
        <f>'Data Entry'!E8/'Data Entry'!B8</f>
        <v>2.1905637254901959E-2</v>
      </c>
      <c r="D12" s="148">
        <f>'Data Entry'!F8/'Data Entry'!B8</f>
        <v>1.5318627450980392E-3</v>
      </c>
      <c r="E12" s="148">
        <f>'Data Entry'!G8/'Data Entry'!B8</f>
        <v>0</v>
      </c>
      <c r="F12" s="148">
        <f>'Data Entry'!H8/'Data Entry'!B8</f>
        <v>8.8848039215686271E-3</v>
      </c>
      <c r="G12" s="148">
        <f>'Data Entry'!I8/'Data Entry'!B8</f>
        <v>3.3700980392156861E-2</v>
      </c>
      <c r="H12" s="148">
        <f>SUM(D12:G12)/'Data Entry'!B8</f>
        <v>6.7582179930795841E-6</v>
      </c>
      <c r="I12" s="148">
        <f>'Data Entry'!C8/'Data Entry'!B8</f>
        <v>0.56694240196078427</v>
      </c>
      <c r="K12" s="94" t="str">
        <f t="shared" si="0"/>
        <v>Referrals, total N=6528</v>
      </c>
      <c r="L12">
        <f>I14/(SUM(B14:G14))</f>
        <v>2.235841462170201</v>
      </c>
    </row>
    <row r="13" spans="1:12" x14ac:dyDescent="0.2">
      <c r="A13" s="126" t="str">
        <f>CONCATENATE("Arrests, total N=", 'Data Entry'!B7)</f>
        <v>Arrests, total N=4635</v>
      </c>
      <c r="B13" s="148">
        <f>'Data Entry'!D7/'Data Entry'!B7</f>
        <v>0.37087378640776697</v>
      </c>
      <c r="C13" s="148">
        <f>'Data Entry'!E7/'Data Entry'!B7</f>
        <v>2.0064724919093852E-2</v>
      </c>
      <c r="D13" s="148">
        <f>'Data Entry'!F7/'Data Entry'!B7</f>
        <v>2.3732470334412083E-3</v>
      </c>
      <c r="E13" s="148">
        <f>'Data Entry'!G7/'Data Entry'!B7</f>
        <v>4.3149946062567422E-4</v>
      </c>
      <c r="F13" s="148">
        <f>'Data Entry'!H7/'Data Entry'!B7</f>
        <v>5.1779935275080907E-3</v>
      </c>
      <c r="G13" s="148">
        <f>'Data Entry'!I7/'Data Entry'!B7</f>
        <v>0</v>
      </c>
      <c r="H13" s="148">
        <f>SUM(D13:G13)/'Data Entry'!B7</f>
        <v>1.7222740068122918E-6</v>
      </c>
      <c r="I13" s="148">
        <f>'Data Entry'!C7/'Data Entry'!B7</f>
        <v>0.56224379719525353</v>
      </c>
      <c r="K13" s="94" t="str">
        <f t="shared" si="0"/>
        <v>Arrests, total N=4635</v>
      </c>
      <c r="L13">
        <f>I14/(SUM(B14:G14))</f>
        <v>2.235841462170201</v>
      </c>
    </row>
    <row r="14" spans="1:12" x14ac:dyDescent="0.2">
      <c r="A14" s="126" t="str">
        <f>CONCATENATE("Population, total N=", 'Data Entry'!B6)</f>
        <v>Population, total N=856181</v>
      </c>
      <c r="B14" s="148">
        <f>'Data Entry'!D6/'Data Entry'!B6</f>
        <v>0.17330914841604755</v>
      </c>
      <c r="C14" s="148">
        <f>'Data Entry'!E6/'Data Entry'!B6</f>
        <v>8.8747589586781306E-2</v>
      </c>
      <c r="D14" s="148">
        <f>'Data Entry'!F6/'Data Entry'!B6</f>
        <v>3.8955547950725374E-2</v>
      </c>
      <c r="E14" s="148">
        <f>'Data Entry'!G6/'Data Entry'!B6</f>
        <v>0</v>
      </c>
      <c r="F14" s="148">
        <f>'Data Entry'!H6/'Data Entry'!B6</f>
        <v>8.0263402247889165E-3</v>
      </c>
      <c r="G14" s="148">
        <f>'Data Entry'!I6/'Data Entry'!B6</f>
        <v>0</v>
      </c>
      <c r="H14" s="148">
        <f>SUM(D14:G14)/'Data Entry'!B6</f>
        <v>5.4873780398670716E-8</v>
      </c>
      <c r="I14" s="148">
        <f>'Data Entry'!C6/'Data Entry'!B6</f>
        <v>0.6909613738216569</v>
      </c>
      <c r="K14" s="94" t="str">
        <f t="shared" si="0"/>
        <v>Population, total N=856181</v>
      </c>
      <c r="L14">
        <f>I14/(SUM(B14:G14))</f>
        <v>2.235841462170201</v>
      </c>
    </row>
    <row r="15" spans="1:12" x14ac:dyDescent="0.2">
      <c r="A15" s="94"/>
    </row>
    <row r="17" spans="2:9" x14ac:dyDescent="0.2">
      <c r="B17" s="94"/>
      <c r="C17" s="94"/>
      <c r="D17" s="94"/>
      <c r="E17" s="94"/>
      <c r="F17" s="94"/>
      <c r="G17" s="94"/>
      <c r="H17" s="94"/>
      <c r="I17" s="9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X15" sqref="X15"/>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4" t="s">
        <v>123</v>
      </c>
      <c r="C2" s="175"/>
      <c r="D2" s="175"/>
      <c r="E2" s="175"/>
      <c r="F2" s="175"/>
      <c r="G2" s="175"/>
      <c r="H2" s="175"/>
      <c r="I2" s="175"/>
      <c r="J2" s="175"/>
      <c r="K2" s="176"/>
    </row>
    <row r="3" spans="2:30" s="1" customFormat="1" ht="19.5" thickTop="1" x14ac:dyDescent="0.35">
      <c r="B3" s="95" t="str">
        <f>'Data Entry'!A2</f>
        <v>State: Michigan</v>
      </c>
      <c r="C3" s="93"/>
      <c r="D3" s="93"/>
      <c r="H3" s="207" t="str">
        <f>'Data Entry'!C3</f>
        <v xml:space="preserve">Reporting Period:  </v>
      </c>
      <c r="I3" s="208"/>
      <c r="J3" s="208"/>
      <c r="K3" s="209"/>
    </row>
    <row r="4" spans="2:30" s="1" customFormat="1" ht="19.5" thickBot="1" x14ac:dyDescent="0.4">
      <c r="B4" s="99" t="str">
        <f>'Data Entry'!A3</f>
        <v>All Reporting Counties</v>
      </c>
      <c r="C4" s="100"/>
      <c r="D4" s="100"/>
      <c r="E4" s="118"/>
      <c r="F4" s="118"/>
      <c r="G4" s="118"/>
      <c r="H4" s="179" t="str">
        <f>'Data Entry'!C4</f>
        <v>10/1/20 through 9/30/21</v>
      </c>
      <c r="I4" s="210"/>
      <c r="J4" s="210"/>
      <c r="K4" s="211"/>
    </row>
    <row r="5" spans="2:30" s="8" customFormat="1" ht="69" customHeight="1" x14ac:dyDescent="0.35">
      <c r="B5" s="97"/>
      <c r="C5" s="98" t="s">
        <v>3</v>
      </c>
      <c r="D5" s="204" t="str">
        <f>'Black or African-American'!$F$1</f>
        <v>Black or African American</v>
      </c>
      <c r="E5" s="205"/>
      <c r="F5" s="204" t="str">
        <f>Hispanic!F1</f>
        <v>Hispanic or Latino</v>
      </c>
      <c r="G5" s="205"/>
      <c r="H5" s="204" t="str">
        <f>Asian!F1</f>
        <v>Asian</v>
      </c>
      <c r="I5" s="205"/>
      <c r="J5" s="204" t="str">
        <f>'Data Entry'!J5</f>
        <v>All Minorities</v>
      </c>
      <c r="K5" s="206"/>
      <c r="N5" s="69"/>
      <c r="O5" s="69"/>
      <c r="P5" s="69"/>
      <c r="Q5" s="69"/>
    </row>
    <row r="6" spans="2:30" s="8" customFormat="1" ht="18" customHeight="1" x14ac:dyDescent="0.35">
      <c r="B6" s="150" t="s">
        <v>121</v>
      </c>
      <c r="C6" s="120" t="s">
        <v>119</v>
      </c>
      <c r="D6" s="121" t="s">
        <v>119</v>
      </c>
      <c r="E6" s="122" t="s">
        <v>120</v>
      </c>
      <c r="F6" s="121" t="s">
        <v>119</v>
      </c>
      <c r="G6" s="122" t="s">
        <v>120</v>
      </c>
      <c r="H6" s="121" t="s">
        <v>119</v>
      </c>
      <c r="I6" s="122" t="s">
        <v>120</v>
      </c>
      <c r="J6" s="121" t="s">
        <v>119</v>
      </c>
      <c r="K6" s="123" t="s">
        <v>120</v>
      </c>
    </row>
    <row r="7" spans="2:30" s="8" customFormat="1" ht="18" customHeight="1" x14ac:dyDescent="0.3">
      <c r="B7" s="139" t="str">
        <f>'Data Entry'!A6</f>
        <v xml:space="preserve">1. Population at Risk (age 10-16) </v>
      </c>
      <c r="C7" s="101">
        <f>'Data Entry'!C6</f>
        <v>591588</v>
      </c>
      <c r="D7" s="102">
        <f>'Data Entry'!D6</f>
        <v>148384</v>
      </c>
      <c r="E7" s="103"/>
      <c r="F7" s="104">
        <f>'Data Entry'!E6</f>
        <v>75984</v>
      </c>
      <c r="G7" s="103"/>
      <c r="H7" s="104">
        <f>'Data Entry'!F6</f>
        <v>33353</v>
      </c>
      <c r="I7" s="103"/>
      <c r="J7" s="104">
        <f>'Data Entry'!J6</f>
        <v>264593</v>
      </c>
      <c r="K7" s="105"/>
    </row>
    <row r="8" spans="2:30" s="1" customFormat="1" ht="15" customHeight="1" x14ac:dyDescent="0.3">
      <c r="B8" s="119" t="s">
        <v>8</v>
      </c>
      <c r="C8" s="101">
        <f>'Data Entry'!C7</f>
        <v>2606</v>
      </c>
      <c r="D8" s="102">
        <f>'Data Entry'!D7</f>
        <v>1719</v>
      </c>
      <c r="E8" s="103">
        <f>'Black or African-American'!$G7</f>
        <v>2.6298667674554053</v>
      </c>
      <c r="F8" s="104">
        <f>'Data Entry'!E7</f>
        <v>93</v>
      </c>
      <c r="G8" s="103">
        <f>Hispanic!G7</f>
        <v>0.27784701856690108</v>
      </c>
      <c r="H8" s="104">
        <f>'Data Entry'!F7</f>
        <v>11</v>
      </c>
      <c r="I8" s="103">
        <f>Asian!G7</f>
        <v>7.4869119621572153E-2</v>
      </c>
      <c r="J8" s="104">
        <f>'Data Entry'!J7</f>
        <v>1849</v>
      </c>
      <c r="K8" s="105">
        <f>'All Minorities'!G7</f>
        <v>1.5863664096518422</v>
      </c>
      <c r="L8"/>
      <c r="N8" s="1">
        <f>'Black or African-American'!L7</f>
        <v>1</v>
      </c>
      <c r="O8" s="1">
        <f>Hispanic!L7</f>
        <v>1</v>
      </c>
      <c r="P8" s="1">
        <f>Asian!L7</f>
        <v>1</v>
      </c>
      <c r="Q8" s="1" t="e">
        <f>Hawaiian!L7</f>
        <v>#DIV/0!</v>
      </c>
      <c r="R8" s="1">
        <f>'Am Indian'!L7</f>
        <v>101</v>
      </c>
      <c r="S8" s="1" t="e">
        <f>'Other - Mixed'!L7</f>
        <v>#VALUE!</v>
      </c>
      <c r="T8" s="1">
        <f>'All Minorities'!L7</f>
        <v>1</v>
      </c>
    </row>
    <row r="9" spans="2:30" s="1" customFormat="1" ht="15" customHeight="1" x14ac:dyDescent="0.3">
      <c r="B9" s="119" t="s">
        <v>136</v>
      </c>
      <c r="C9" s="101">
        <f>'Data Entry'!C8</f>
        <v>3701</v>
      </c>
      <c r="D9" s="106">
        <f>'Data Entry'!D8</f>
        <v>1814</v>
      </c>
      <c r="E9" s="107">
        <f>'Black or African-American'!$G8</f>
        <v>0.74304776518271931</v>
      </c>
      <c r="F9" s="108">
        <f>'Data Entry'!E8</f>
        <v>143</v>
      </c>
      <c r="G9" s="107">
        <f>Hispanic!G8</f>
        <v>1.0827006940873287</v>
      </c>
      <c r="H9" s="108">
        <f>'Data Entry'!F8</f>
        <v>10</v>
      </c>
      <c r="I9" s="107" t="str">
        <f>Asian!G8</f>
        <v>**</v>
      </c>
      <c r="J9" s="108">
        <f>'Data Entry'!J8</f>
        <v>2245</v>
      </c>
      <c r="K9" s="109">
        <f>'All Minorities'!G8</f>
        <v>0.85493827476210138</v>
      </c>
      <c r="L9"/>
      <c r="N9" s="1">
        <f>'Black or African-American'!L8</f>
        <v>1</v>
      </c>
      <c r="O9" s="1">
        <f>Hispanic!L8</f>
        <v>2</v>
      </c>
      <c r="P9" s="1">
        <f>Asian!L8</f>
        <v>20</v>
      </c>
      <c r="Q9" s="1">
        <f>Hawaiian!L8</f>
        <v>119</v>
      </c>
      <c r="R9" s="1">
        <f>'Am Indian'!L8</f>
        <v>119</v>
      </c>
      <c r="S9" s="1">
        <f>'Other - Mixed'!L8</f>
        <v>119</v>
      </c>
      <c r="T9" s="1">
        <f>'All Minorities'!L8</f>
        <v>1</v>
      </c>
    </row>
    <row r="10" spans="2:30" s="1" customFormat="1" ht="15" customHeight="1" x14ac:dyDescent="0.3">
      <c r="B10" s="119" t="s">
        <v>10</v>
      </c>
      <c r="C10" s="101">
        <f>'Data Entry'!C9</f>
        <v>689</v>
      </c>
      <c r="D10" s="110">
        <f>'Data Entry'!D9</f>
        <v>336</v>
      </c>
      <c r="E10" s="111">
        <f>'Black or African-American'!$G9</f>
        <v>0.99495137800977085</v>
      </c>
      <c r="F10" s="112">
        <f>'Data Entry'!E9</f>
        <v>23</v>
      </c>
      <c r="G10" s="111">
        <f>Hispanic!G9</f>
        <v>0.86395607295462162</v>
      </c>
      <c r="H10" s="112">
        <f>'Data Entry'!F9</f>
        <v>8</v>
      </c>
      <c r="I10" s="111" t="str">
        <f>Asian!G9</f>
        <v>**</v>
      </c>
      <c r="J10" s="112">
        <f>'Data Entry'!J9</f>
        <v>398</v>
      </c>
      <c r="K10" s="113">
        <f>'All Minorities'!G9</f>
        <v>0.95228422457905171</v>
      </c>
      <c r="L10"/>
      <c r="N10" s="1">
        <f>'Black or African-American'!L9</f>
        <v>2</v>
      </c>
      <c r="O10" s="1">
        <f>Hispanic!L9</f>
        <v>2</v>
      </c>
      <c r="P10" s="1">
        <f>Asian!L9</f>
        <v>20</v>
      </c>
      <c r="Q10" s="1" t="e">
        <f>Hawaiian!L9</f>
        <v>#VALUE!</v>
      </c>
      <c r="R10" s="1">
        <f>'Am Indian'!L9</f>
        <v>119</v>
      </c>
      <c r="S10" s="1">
        <f>'Other - Mixed'!L9</f>
        <v>100</v>
      </c>
      <c r="T10" s="1">
        <f>'All Minorities'!L9</f>
        <v>2</v>
      </c>
    </row>
    <row r="11" spans="2:30" s="1" customFormat="1" ht="15" customHeight="1" x14ac:dyDescent="0.3">
      <c r="B11" s="119" t="s">
        <v>11</v>
      </c>
      <c r="C11" s="101">
        <f>'Data Entry'!C10</f>
        <v>470</v>
      </c>
      <c r="D11" s="106">
        <f>'Data Entry'!D10</f>
        <v>549</v>
      </c>
      <c r="E11" s="107">
        <f>'Black or African-American'!$G10</f>
        <v>2.3831769452719977</v>
      </c>
      <c r="F11" s="108">
        <f>'Data Entry'!E10</f>
        <v>39</v>
      </c>
      <c r="G11" s="107">
        <f>Hispanic!G10</f>
        <v>2.1475822050290136</v>
      </c>
      <c r="H11" s="108">
        <f>'Data Entry'!F10</f>
        <v>0</v>
      </c>
      <c r="I11" s="107" t="str">
        <f>Asian!G10</f>
        <v>**</v>
      </c>
      <c r="J11" s="108">
        <f>'Data Entry'!J10</f>
        <v>668</v>
      </c>
      <c r="K11" s="109">
        <f>'All Minorities'!G10</f>
        <v>2.3430488556129458</v>
      </c>
      <c r="L11"/>
      <c r="N11" s="1">
        <f>'Black or African-American'!L10</f>
        <v>1</v>
      </c>
      <c r="O11" s="1">
        <f>Hispanic!L10</f>
        <v>1</v>
      </c>
      <c r="P11" s="1">
        <f>Asian!L10</f>
        <v>40</v>
      </c>
      <c r="Q11" s="1" t="e">
        <f>Hawaiian!L10</f>
        <v>#VALUE!</v>
      </c>
      <c r="R11" s="1">
        <f>'Am Indian'!L10</f>
        <v>119</v>
      </c>
      <c r="S11" s="1">
        <f>'Other - Mixed'!L10</f>
        <v>100</v>
      </c>
      <c r="T11" s="1">
        <f>'All Minorities'!L10</f>
        <v>1</v>
      </c>
    </row>
    <row r="12" spans="2:30" s="1" customFormat="1" ht="15" customHeight="1" x14ac:dyDescent="0.3">
      <c r="B12" s="119" t="s">
        <v>97</v>
      </c>
      <c r="C12" s="101">
        <f>'Data Entry'!C11</f>
        <v>2012</v>
      </c>
      <c r="D12" s="110">
        <f>'Data Entry'!D11</f>
        <v>1195</v>
      </c>
      <c r="E12" s="111">
        <f>'Black or African-American'!$G11</f>
        <v>1.2117742826393347</v>
      </c>
      <c r="F12" s="112">
        <f>'Data Entry'!E11</f>
        <v>82</v>
      </c>
      <c r="G12" s="111">
        <f>Hispanic!G11</f>
        <v>1.0547970915764155</v>
      </c>
      <c r="H12" s="112">
        <f>'Data Entry'!F11</f>
        <v>2</v>
      </c>
      <c r="I12" s="111" t="str">
        <f>Asian!G11</f>
        <v>**</v>
      </c>
      <c r="J12" s="112">
        <f>'Data Entry'!J11</f>
        <v>1435</v>
      </c>
      <c r="K12" s="113">
        <f>'All Minorities'!G11</f>
        <v>1.1757816132160268</v>
      </c>
      <c r="L12"/>
      <c r="N12" s="1">
        <f>'Black or African-American'!L11</f>
        <v>1</v>
      </c>
      <c r="O12" s="1">
        <f>Hispanic!L11</f>
        <v>2</v>
      </c>
      <c r="P12" s="1">
        <f>Asian!L11</f>
        <v>20</v>
      </c>
      <c r="Q12" s="1" t="e">
        <f>Hawaiian!L11</f>
        <v>#VALUE!</v>
      </c>
      <c r="R12" s="1">
        <f>'Am Indian'!L11</f>
        <v>100</v>
      </c>
      <c r="S12" s="1">
        <f>'Other - Mixed'!L11</f>
        <v>101</v>
      </c>
      <c r="T12" s="1">
        <f>'All Minorities'!L11</f>
        <v>1</v>
      </c>
    </row>
    <row r="13" spans="2:30" s="1" customFormat="1" ht="15" customHeight="1" x14ac:dyDescent="0.3">
      <c r="B13" s="119" t="s">
        <v>13</v>
      </c>
      <c r="C13" s="101">
        <f>'Data Entry'!C12</f>
        <v>1284</v>
      </c>
      <c r="D13" s="106">
        <f>'Data Entry'!D12</f>
        <v>665</v>
      </c>
      <c r="E13" s="107">
        <f>'Black or African-American'!$G12</f>
        <v>0.87200041710658382</v>
      </c>
      <c r="F13" s="108">
        <f>'Data Entry'!E12</f>
        <v>63</v>
      </c>
      <c r="G13" s="107">
        <f>Hispanic!G12</f>
        <v>1.2038978801002964</v>
      </c>
      <c r="H13" s="108">
        <f>'Data Entry'!F12</f>
        <v>0</v>
      </c>
      <c r="I13" s="107" t="str">
        <f>Asian!G12</f>
        <v>**</v>
      </c>
      <c r="J13" s="108">
        <f>'Data Entry'!J12</f>
        <v>824</v>
      </c>
      <c r="K13" s="109">
        <f>'All Minorities'!G12</f>
        <v>0.89978399383459795</v>
      </c>
      <c r="L13"/>
      <c r="N13" s="1">
        <f>'Black or African-American'!L12</f>
        <v>1</v>
      </c>
      <c r="O13" s="1">
        <f>Hispanic!L12</f>
        <v>1</v>
      </c>
      <c r="P13" s="1">
        <f>Asian!L12</f>
        <v>40</v>
      </c>
      <c r="Q13" s="1" t="e">
        <f>Hawaiian!L12</f>
        <v>#VALUE!</v>
      </c>
      <c r="R13" s="1">
        <f>'Am Indian'!L12</f>
        <v>139</v>
      </c>
      <c r="S13" s="1">
        <f>'Other - Mixed'!L12</f>
        <v>101</v>
      </c>
      <c r="T13" s="1">
        <f>'All Minorities'!L12</f>
        <v>1</v>
      </c>
      <c r="W13" s="8"/>
      <c r="X13" s="8"/>
      <c r="Y13" s="8"/>
      <c r="Z13" s="8"/>
      <c r="AA13" s="8"/>
      <c r="AB13" s="8"/>
      <c r="AC13" s="8"/>
      <c r="AD13" s="8"/>
    </row>
    <row r="14" spans="2:30" s="1" customFormat="1" ht="15" customHeight="1" x14ac:dyDescent="0.3">
      <c r="B14" s="119" t="s">
        <v>14</v>
      </c>
      <c r="C14" s="101">
        <f>'Data Entry'!C13</f>
        <v>1376</v>
      </c>
      <c r="D14" s="110">
        <f>'Data Entry'!D13</f>
        <v>612</v>
      </c>
      <c r="E14" s="111">
        <f>'Black or African-American'!$G13</f>
        <v>0.85876901556216112</v>
      </c>
      <c r="F14" s="112">
        <f>'Data Entry'!E13</f>
        <v>70</v>
      </c>
      <c r="G14" s="111">
        <f>Hispanic!G13</f>
        <v>1.0368217054263567</v>
      </c>
      <c r="H14" s="112">
        <f>'Data Entry'!F13</f>
        <v>0</v>
      </c>
      <c r="I14" s="111" t="str">
        <f>Asian!G13</f>
        <v>--</v>
      </c>
      <c r="J14" s="112">
        <f>'Data Entry'!J13</f>
        <v>798</v>
      </c>
      <c r="K14" s="113">
        <f>'All Minorities'!G13</f>
        <v>0.90369581169564228</v>
      </c>
      <c r="L14"/>
      <c r="N14" s="1">
        <f>'Black or African-American'!L13</f>
        <v>1</v>
      </c>
      <c r="O14" s="1">
        <f>Hispanic!L13</f>
        <v>2</v>
      </c>
      <c r="P14" s="1" t="e">
        <f>Asian!L13</f>
        <v>#VALUE!</v>
      </c>
      <c r="Q14" s="1" t="e">
        <f>Hawaiian!L13</f>
        <v>#VALUE!</v>
      </c>
      <c r="R14" s="1">
        <f>'Am Indian'!L13</f>
        <v>119</v>
      </c>
      <c r="S14" s="1">
        <f>'Other - Mixed'!L13</f>
        <v>101</v>
      </c>
      <c r="T14" s="1">
        <f>'All Minorities'!L13</f>
        <v>1</v>
      </c>
      <c r="W14" s="8"/>
      <c r="X14" s="8"/>
      <c r="Y14" s="8"/>
      <c r="Z14" s="8"/>
      <c r="AA14" s="8"/>
      <c r="AB14" s="8"/>
      <c r="AC14" s="8"/>
      <c r="AD14" s="8"/>
    </row>
    <row r="15" spans="2:30" s="1" customFormat="1" ht="33" x14ac:dyDescent="0.3">
      <c r="B15" s="124" t="s">
        <v>125</v>
      </c>
      <c r="C15" s="101">
        <f>'Data Entry'!C14</f>
        <v>376</v>
      </c>
      <c r="D15" s="106">
        <f>'Data Entry'!D14</f>
        <v>179</v>
      </c>
      <c r="E15" s="107">
        <f>'Black or African-American'!$G14</f>
        <v>0.9191969284914413</v>
      </c>
      <c r="F15" s="108">
        <f>'Data Entry'!E14</f>
        <v>24</v>
      </c>
      <c r="G15" s="107">
        <f>Hispanic!G14</f>
        <v>1.3009118541033435</v>
      </c>
      <c r="H15" s="108">
        <f>'Data Entry'!F14</f>
        <v>0</v>
      </c>
      <c r="I15" s="107" t="str">
        <f>Asian!G14</f>
        <v>--</v>
      </c>
      <c r="J15" s="108">
        <f>'Data Entry'!J14</f>
        <v>244</v>
      </c>
      <c r="K15" s="109">
        <f>'All Minorities'!G14</f>
        <v>1.0112063623218344</v>
      </c>
      <c r="L15"/>
      <c r="N15" s="1">
        <f>'Black or African-American'!L14</f>
        <v>2</v>
      </c>
      <c r="O15" s="1">
        <f>Hispanic!L14</f>
        <v>2</v>
      </c>
      <c r="P15" s="1" t="e">
        <f>Asian!L14</f>
        <v>#VALUE!</v>
      </c>
      <c r="Q15" s="1" t="e">
        <f>Hawaiian!L14</f>
        <v>#VALUE!</v>
      </c>
      <c r="R15" s="1">
        <f>'Am Indian'!L14</f>
        <v>139</v>
      </c>
      <c r="S15" s="1">
        <f>'Other - Mixed'!L14</f>
        <v>100</v>
      </c>
      <c r="T15" s="1">
        <f>'All Minorities'!L14</f>
        <v>2</v>
      </c>
      <c r="W15" s="8"/>
      <c r="X15" s="8"/>
      <c r="Y15" s="8"/>
      <c r="Z15" s="8"/>
      <c r="AA15" s="8"/>
      <c r="AB15" s="8"/>
      <c r="AC15" s="8"/>
      <c r="AD15" s="8"/>
    </row>
    <row r="16" spans="2:30" s="1" customFormat="1" ht="15" customHeight="1" x14ac:dyDescent="0.3">
      <c r="B16" s="119" t="s">
        <v>16</v>
      </c>
      <c r="C16" s="101">
        <f>'Data Entry'!C15</f>
        <v>9</v>
      </c>
      <c r="D16" s="114">
        <f>'Data Entry'!D15</f>
        <v>11</v>
      </c>
      <c r="E16" s="115">
        <f>'Black or African-American'!$G15</f>
        <v>2.0578335657833566</v>
      </c>
      <c r="F16" s="116">
        <f>'Data Entry'!E15</f>
        <v>0</v>
      </c>
      <c r="G16" s="115" t="str">
        <f>Hispanic!G15</f>
        <v>**</v>
      </c>
      <c r="H16" s="116">
        <f>'Data Entry'!F15</f>
        <v>0</v>
      </c>
      <c r="I16" s="115" t="str">
        <f>Asian!G15</f>
        <v>**</v>
      </c>
      <c r="J16" s="116">
        <f>'Data Entry'!J15</f>
        <v>11</v>
      </c>
      <c r="K16" s="117">
        <f>'All Minorities'!G15</f>
        <v>1.7136662795199382</v>
      </c>
      <c r="L16"/>
      <c r="N16" s="1">
        <f>'Black or African-American'!L15</f>
        <v>2</v>
      </c>
      <c r="O16" s="1">
        <f>Hispanic!L15</f>
        <v>40</v>
      </c>
      <c r="P16" s="1">
        <f>Asian!L15</f>
        <v>40</v>
      </c>
      <c r="Q16" s="1" t="e">
        <f>Hawaiian!L15</f>
        <v>#VALUE!</v>
      </c>
      <c r="R16" s="1">
        <f>'Am Indian'!L15</f>
        <v>139</v>
      </c>
      <c r="S16" s="1">
        <f>'Other - Mixed'!L15</f>
        <v>139</v>
      </c>
      <c r="T16" s="1">
        <f>'All Minorities'!L15</f>
        <v>2</v>
      </c>
      <c r="W16" s="8"/>
      <c r="X16" s="8"/>
      <c r="Y16" s="8"/>
      <c r="Z16" s="8"/>
      <c r="AA16" s="8"/>
      <c r="AB16" s="8"/>
      <c r="AC16" s="8"/>
      <c r="AD16" s="8"/>
    </row>
    <row r="17" spans="2:30" s="1" customFormat="1" ht="15" customHeight="1" thickBot="1" x14ac:dyDescent="0.4">
      <c r="B17" s="125" t="s">
        <v>98</v>
      </c>
      <c r="C17" s="96" t="str">
        <f>'Data Entry'!C16</f>
        <v>Yes</v>
      </c>
      <c r="D17" s="127"/>
      <c r="E17" s="136" t="str">
        <f>'Data Entry'!$D$16</f>
        <v>Yes</v>
      </c>
      <c r="F17" s="127"/>
      <c r="G17" s="136" t="str">
        <f>'Data Entry'!$E$16</f>
        <v>Yes</v>
      </c>
      <c r="H17" s="127"/>
      <c r="I17" s="136" t="str">
        <f>'Data Entry'!F16</f>
        <v>Yes</v>
      </c>
      <c r="J17" s="127"/>
      <c r="K17" s="135" t="str">
        <f>'Data Entry'!J16</f>
        <v>Yes</v>
      </c>
      <c r="L17"/>
      <c r="W17" s="8"/>
      <c r="X17" s="8"/>
      <c r="Y17" s="8"/>
      <c r="Z17" s="8"/>
      <c r="AA17" s="8"/>
      <c r="AB17" s="8"/>
      <c r="AC17" s="8"/>
      <c r="AD17" s="8"/>
    </row>
    <row r="18" spans="2:30" ht="15" customHeight="1" thickTop="1" thickBot="1" x14ac:dyDescent="0.35">
      <c r="B18" s="91"/>
      <c r="C18" s="91"/>
      <c r="D18" s="91"/>
      <c r="E18" s="91"/>
      <c r="F18" s="91"/>
      <c r="G18" s="91"/>
      <c r="H18" s="91"/>
      <c r="I18" s="91"/>
      <c r="J18" s="91"/>
      <c r="K18" s="91"/>
      <c r="W18" s="8"/>
      <c r="X18" s="8"/>
      <c r="Y18" s="8"/>
      <c r="Z18" s="8"/>
      <c r="AA18" s="8"/>
      <c r="AB18" s="8"/>
      <c r="AC18" s="8"/>
      <c r="AD18" s="8"/>
    </row>
    <row r="19" spans="2:30" ht="18" customHeight="1" thickBot="1" x14ac:dyDescent="0.4">
      <c r="B19" s="194" t="s">
        <v>122</v>
      </c>
      <c r="C19" s="195"/>
      <c r="D19" s="195"/>
      <c r="E19" s="195"/>
      <c r="F19" s="195"/>
      <c r="G19" s="195"/>
      <c r="H19" s="195"/>
      <c r="I19" s="196"/>
      <c r="J19" s="197"/>
      <c r="K19" s="198"/>
    </row>
    <row r="20" spans="2:30" ht="15.75" x14ac:dyDescent="0.3">
      <c r="B20" s="151" t="s">
        <v>127</v>
      </c>
      <c r="C20" s="202" t="s">
        <v>54</v>
      </c>
      <c r="D20" s="203"/>
      <c r="E20" s="186" t="s">
        <v>57</v>
      </c>
      <c r="F20" s="187"/>
      <c r="G20" s="187"/>
      <c r="H20" s="187"/>
      <c r="I20" s="187"/>
      <c r="J20" s="187"/>
      <c r="K20" s="152" t="s">
        <v>58</v>
      </c>
    </row>
    <row r="21" spans="2:30" ht="15" customHeight="1" x14ac:dyDescent="0.3">
      <c r="B21" s="153" t="s">
        <v>128</v>
      </c>
      <c r="C21" s="188" t="s">
        <v>56</v>
      </c>
      <c r="D21" s="189"/>
      <c r="E21" s="190" t="s">
        <v>59</v>
      </c>
      <c r="F21" s="191"/>
      <c r="G21" s="191"/>
      <c r="H21" s="191"/>
      <c r="I21" s="191"/>
      <c r="J21" s="191"/>
      <c r="K21" s="154" t="s">
        <v>60</v>
      </c>
    </row>
    <row r="22" spans="2:30" ht="15" customHeight="1" thickBot="1" x14ac:dyDescent="0.35">
      <c r="B22" s="199"/>
      <c r="C22" s="200"/>
      <c r="D22" s="201"/>
      <c r="E22" s="192" t="s">
        <v>61</v>
      </c>
      <c r="F22" s="193"/>
      <c r="G22" s="193"/>
      <c r="H22" s="193"/>
      <c r="I22" s="193"/>
      <c r="J22" s="193"/>
      <c r="K22" s="155" t="s">
        <v>62</v>
      </c>
    </row>
    <row r="23" spans="2:30" ht="15" customHeight="1" x14ac:dyDescent="0.3">
      <c r="B23" s="91"/>
      <c r="C23" s="91"/>
      <c r="D23" s="91"/>
      <c r="E23"/>
      <c r="F23"/>
      <c r="G23"/>
      <c r="H23"/>
      <c r="J23"/>
      <c r="K23"/>
    </row>
    <row r="24" spans="2:30" ht="15" customHeight="1" x14ac:dyDescent="0.3">
      <c r="B24" s="91"/>
      <c r="C24" s="91"/>
      <c r="D24" s="91"/>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2.Arrest: Michigan State Police</v>
      </c>
      <c r="I26" s="94"/>
    </row>
    <row r="27" spans="2:30" ht="12.75" customHeight="1" x14ac:dyDescent="0.25">
      <c r="B27" s="1" t="str">
        <f>'Data Entry'!A20</f>
        <v>Item 3.Referral: State Court Administrative Office</v>
      </c>
      <c r="E27" s="1" t="str">
        <f>'Data Entry'!D20</f>
        <v>Item 4.Diversion: State Court Administrative Office</v>
      </c>
      <c r="I27" s="94"/>
    </row>
    <row r="28" spans="2:30" ht="12.75" customHeight="1" x14ac:dyDescent="0.25">
      <c r="B28" s="1" t="str">
        <f>'Data Entry'!A21</f>
        <v>Item 5.Detention: State Court Administrative Office</v>
      </c>
      <c r="E28" s="1" t="str">
        <f>'Data Entry'!D21</f>
        <v>Item 6.Petitioned: State Court Administrative Office</v>
      </c>
      <c r="I28" s="94"/>
    </row>
    <row r="29" spans="2:30" ht="12.75" customHeight="1" x14ac:dyDescent="0.25">
      <c r="B29" s="1" t="str">
        <f>'Data Entry'!A22</f>
        <v>Item 7.Delinquent: State Court Administrative Office</v>
      </c>
      <c r="E29" s="1" t="str">
        <f>'Data Entry'!D22</f>
        <v>Item 8.Probation: State Court Administrative Office</v>
      </c>
      <c r="I29" s="94"/>
    </row>
    <row r="30" spans="2:30" ht="12.75" customHeight="1" x14ac:dyDescent="0.25">
      <c r="B30" s="1" t="str">
        <f>'Data Entry'!A23</f>
        <v>Item 9.Confinement: State Court Administrative Office</v>
      </c>
      <c r="E30" s="1" t="str">
        <f>'Data Entry'!D23</f>
        <v>Item 10.Transferred: State Court Administrative Office</v>
      </c>
      <c r="I30" s="94"/>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4" t="str">
        <f>'Data Entry'!D5</f>
        <v>Black or African American</v>
      </c>
      <c r="G1" s="214"/>
      <c r="H1" s="214"/>
      <c r="I1" s="214"/>
      <c r="J1" s="214"/>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All Reporting Counties</v>
      </c>
      <c r="C3" s="22"/>
      <c r="D3" s="22"/>
      <c r="E3" s="22"/>
      <c r="F3" s="22"/>
      <c r="G3" s="7"/>
      <c r="H3" s="7"/>
      <c r="I3" s="7"/>
      <c r="J3" s="7"/>
      <c r="K3" s="7"/>
      <c r="N3" s="213" t="s">
        <v>31</v>
      </c>
      <c r="O3" s="213"/>
      <c r="P3" s="213"/>
      <c r="Q3" s="213"/>
      <c r="R3" s="213"/>
      <c r="S3" s="213"/>
      <c r="T3" s="213"/>
      <c r="U3" s="213"/>
    </row>
    <row r="4" spans="2:21" ht="8.2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Entry'!D6</f>
        <v>148384</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Entry'!D7</f>
        <v>1719</v>
      </c>
      <c r="F7" s="34">
        <f>IF((AND($E$7&gt;0,$D$66&gt;0)),($E$7/$D$66),0)</f>
        <v>11.584806987276258</v>
      </c>
      <c r="G7" s="39">
        <f>IF(L$6=100,"*",IF(M7=FALSE,"--",IF(K7=20,"**",($F7/$D7))))</f>
        <v>2.6298667674554053</v>
      </c>
      <c r="H7" s="40"/>
      <c r="I7" s="41"/>
      <c r="J7" s="40">
        <f>IF((ABS($U7)&gt;Defaults!D$7),1,2)</f>
        <v>1</v>
      </c>
      <c r="K7" s="39">
        <f>IF((AND(N7&gt;Defaults!B$12,(N7+O7)&gt;Defaults!B$13, P7 &gt; Defaults!B$12, (P7+Q7) &gt; Defaults!B$13)),1,20)</f>
        <v>1</v>
      </c>
      <c r="L7" s="1">
        <f>(J7*K7+L$6)-1</f>
        <v>1</v>
      </c>
      <c r="M7" s="1" t="b">
        <f t="shared" ref="M7:M15" si="0">(ISNUMBER(J7))</f>
        <v>1</v>
      </c>
      <c r="N7" s="42">
        <f t="shared" ref="N7:N15" si="1">E7</f>
        <v>1719</v>
      </c>
      <c r="O7" s="42">
        <f>E6-E7</f>
        <v>146665</v>
      </c>
      <c r="P7" s="42">
        <f t="shared" ref="P7:P15" si="2">C7</f>
        <v>2606</v>
      </c>
      <c r="Q7" s="42">
        <f>C6-C7</f>
        <v>588982</v>
      </c>
      <c r="R7" s="42">
        <f t="shared" ref="R7:R15" si="3">SUM(N7:Q7)</f>
        <v>739972</v>
      </c>
      <c r="S7" s="30">
        <f t="shared" ref="S7:S15" si="4">R7*((((N7*Q7)-(O7*P7))^2))</f>
        <v>2.9392902038976002E+23</v>
      </c>
      <c r="T7" s="30">
        <f t="shared" ref="T7:T15" si="5">(N7+O7)*(P7+Q7)*(N7+P7)*(O7+Q7)</f>
        <v>2.7929426000887729E+20</v>
      </c>
      <c r="U7" s="31">
        <f t="shared" ref="U7:U15" si="6">IF((S7&gt;0),S7/T7,"- -")</f>
        <v>1052.3990732226919</v>
      </c>
    </row>
    <row r="8" spans="2:21" ht="18" customHeight="1" x14ac:dyDescent="0.25">
      <c r="B8" s="32" t="str">
        <f>'Data Entry'!A8</f>
        <v>3. Refer to Juvenile Court</v>
      </c>
      <c r="C8" s="33">
        <f>'Data Entry'!C8</f>
        <v>3701</v>
      </c>
      <c r="D8" s="34">
        <f>IF((AND(C67&gt;0,C8&gt;0)),(C8/C67),0)</f>
        <v>142.01841903300078</v>
      </c>
      <c r="E8" s="33">
        <f>'Data Entry'!D8</f>
        <v>1814</v>
      </c>
      <c r="F8" s="34">
        <f>IF((AND($E$8&gt;0,$D$67&gt;0)),($E8/$D67),0)</f>
        <v>105.5264688772542</v>
      </c>
      <c r="G8" s="39">
        <f t="shared" ref="G8:G15" si="7">IF(L$6=100,"*",IF(M8=FALSE,"--",IF(K8=20,"**",($F8/$D8))))</f>
        <v>0.74304776518271931</v>
      </c>
      <c r="H8" s="40"/>
      <c r="I8" s="41"/>
      <c r="J8" s="40">
        <f>IF((ABS($U8)&gt;Defaults!D$7),1,2)</f>
        <v>1</v>
      </c>
      <c r="K8" s="39">
        <f>IF((AND(N8&gt;Defaults!B$12,(N8+O8)&gt;Defaults!B$13, P8 &gt; Defaults!B$12, (P8+Q8) &gt; Defaults!B$13)),1,20)</f>
        <v>1</v>
      </c>
      <c r="L8" s="1">
        <f t="shared" ref="L8:L15" si="8">(J8*K8+L$6)-1</f>
        <v>1</v>
      </c>
      <c r="M8" s="1" t="b">
        <f t="shared" si="0"/>
        <v>1</v>
      </c>
      <c r="N8" s="42">
        <f t="shared" si="1"/>
        <v>1814</v>
      </c>
      <c r="O8" s="42">
        <f>((D67*L67)-E8)+0.05</f>
        <v>-94.949999999999775</v>
      </c>
      <c r="P8" s="42">
        <f t="shared" si="2"/>
        <v>3701</v>
      </c>
      <c r="Q8" s="42">
        <f>(C$67*L67)-C8</f>
        <v>-1095</v>
      </c>
      <c r="R8" s="42">
        <f t="shared" si="3"/>
        <v>4325.05</v>
      </c>
      <c r="S8" s="30">
        <f t="shared" si="4"/>
        <v>1.1560701087961416E+16</v>
      </c>
      <c r="T8" s="30">
        <f t="shared" si="5"/>
        <v>-29399310847189.273</v>
      </c>
      <c r="U8" s="31">
        <f t="shared" si="6"/>
        <v>-393.2303429849506</v>
      </c>
    </row>
    <row r="9" spans="2:21" ht="18" customHeight="1" x14ac:dyDescent="0.25">
      <c r="B9" s="32" t="str">
        <f>'Data Entry'!A9</f>
        <v xml:space="preserve">4. Cases Diverted </v>
      </c>
      <c r="C9" s="33">
        <f>'Data Entry'!C9</f>
        <v>689</v>
      </c>
      <c r="D9" s="34">
        <f>IF((AND(C68&gt;0,C9&gt;0)),((C9/C68)),0)</f>
        <v>18.616590110780869</v>
      </c>
      <c r="E9" s="33">
        <f>'Data Entry'!D9</f>
        <v>336</v>
      </c>
      <c r="F9" s="34">
        <f>IF((AND($E$9&gt;0,$D$68&gt;0)),(($E$9/$D$68)),0)</f>
        <v>18.522601984564499</v>
      </c>
      <c r="G9" s="39">
        <f t="shared" si="7"/>
        <v>0.99495137800977085</v>
      </c>
      <c r="H9" s="40"/>
      <c r="I9" s="41"/>
      <c r="J9" s="40">
        <f>IF((ABS($U9)&gt;Defaults!D$7),1,2)</f>
        <v>2</v>
      </c>
      <c r="K9" s="39">
        <f>IF((AND(N9&gt;Defaults!B$12,(N9+O9)&gt;Defaults!B$13, P9 &gt; Defaults!B$12, (P9+Q9) &gt; Defaults!B$13)),1,20)</f>
        <v>1</v>
      </c>
      <c r="L9" s="1">
        <f t="shared" si="8"/>
        <v>2</v>
      </c>
      <c r="M9" s="1" t="b">
        <f t="shared" si="0"/>
        <v>1</v>
      </c>
      <c r="N9" s="42">
        <f t="shared" si="1"/>
        <v>336</v>
      </c>
      <c r="O9" s="42">
        <f>(D$68*L68)-E9</f>
        <v>1478</v>
      </c>
      <c r="P9" s="42">
        <f t="shared" si="2"/>
        <v>689</v>
      </c>
      <c r="Q9" s="42">
        <f>(C$68*L68)-C9</f>
        <v>3012</v>
      </c>
      <c r="R9" s="42">
        <f t="shared" si="3"/>
        <v>5515</v>
      </c>
      <c r="S9" s="30">
        <f t="shared" si="4"/>
        <v>219585791500</v>
      </c>
      <c r="T9" s="30">
        <f t="shared" si="5"/>
        <v>30897730031500</v>
      </c>
      <c r="U9" s="31">
        <f t="shared" si="6"/>
        <v>7.1068583768494958E-3</v>
      </c>
    </row>
    <row r="10" spans="2:21" ht="18" customHeight="1" x14ac:dyDescent="0.25">
      <c r="B10" s="32" t="str">
        <f>'Data Entry'!A10</f>
        <v>5. Cases Involving Secure Detention</v>
      </c>
      <c r="C10" s="33">
        <f>'Data Entry'!C10</f>
        <v>470</v>
      </c>
      <c r="D10" s="34">
        <f>IF(((AND(C68&gt;0,C10&gt;0))),(C10/(C68)),0)</f>
        <v>12.699270467441233</v>
      </c>
      <c r="E10" s="33">
        <f>'Data Entry'!D10</f>
        <v>549</v>
      </c>
      <c r="F10" s="34">
        <f>IF(((AND($E$10&gt;0,$D$68&gt;0))),($E$10/($D$68)),0)</f>
        <v>30.264608599779493</v>
      </c>
      <c r="G10" s="39">
        <f t="shared" si="7"/>
        <v>2.3831769452719977</v>
      </c>
      <c r="H10" s="40"/>
      <c r="I10" s="41"/>
      <c r="J10" s="40">
        <f>IF((ABS($U10)&gt;Defaults!D$7),1,2)</f>
        <v>1</v>
      </c>
      <c r="K10" s="39">
        <f>IF((AND(N10&gt;Defaults!B$12,(N10+O10)&gt;Defaults!B$13, P10 &gt; Defaults!B$12, (P10+Q10) &gt; Defaults!B$13)),1,20)</f>
        <v>1</v>
      </c>
      <c r="L10" s="1">
        <f t="shared" si="8"/>
        <v>1</v>
      </c>
      <c r="M10" s="1" t="b">
        <f t="shared" si="0"/>
        <v>1</v>
      </c>
      <c r="N10" s="42">
        <f t="shared" si="1"/>
        <v>549</v>
      </c>
      <c r="O10" s="42">
        <f>(D$68*L68)-E10</f>
        <v>1265</v>
      </c>
      <c r="P10" s="42">
        <f t="shared" si="2"/>
        <v>470</v>
      </c>
      <c r="Q10" s="42">
        <f>(C$68*L68)-C10</f>
        <v>3231</v>
      </c>
      <c r="R10" s="42">
        <f t="shared" si="3"/>
        <v>5515</v>
      </c>
      <c r="S10" s="30">
        <f t="shared" si="4"/>
        <v>7669574689600915</v>
      </c>
      <c r="T10" s="30">
        <f t="shared" si="5"/>
        <v>30757912306336</v>
      </c>
      <c r="U10" s="31">
        <f t="shared" si="6"/>
        <v>249.35290188798072</v>
      </c>
    </row>
    <row r="11" spans="2:21" ht="18" customHeight="1" x14ac:dyDescent="0.25">
      <c r="B11" s="32" t="str">
        <f>'Data Entry'!A11</f>
        <v>6. Cases Petitioned (Charge Filed)</v>
      </c>
      <c r="C11" s="33">
        <f>'Data Entry'!C11</f>
        <v>2012</v>
      </c>
      <c r="D11" s="34">
        <f>IF(((AND(C68&gt;0,C11&gt;0))),(C11/(C68)),0)</f>
        <v>54.363685490408002</v>
      </c>
      <c r="E11" s="33">
        <f>'Data Entry'!D11</f>
        <v>1195</v>
      </c>
      <c r="F11" s="34">
        <f>IF(((AND($E$11&gt;0,$D$68&gt;0))),($E$11/($D$68)),0)</f>
        <v>65.876515986769562</v>
      </c>
      <c r="G11" s="39">
        <f t="shared" si="7"/>
        <v>1.2117742826393347</v>
      </c>
      <c r="H11" s="40"/>
      <c r="I11" s="41"/>
      <c r="J11" s="40">
        <f>IF((ABS($U11)&gt;Defaults!D$7),1,2)</f>
        <v>1</v>
      </c>
      <c r="K11" s="39">
        <f>IF((AND(N11&gt;Defaults!B$12,(N11+O11)&gt;Defaults!B$13, P11 &gt; Defaults!B$12, (P11+Q11) &gt; Defaults!B$13)),1,20)</f>
        <v>1</v>
      </c>
      <c r="L11" s="1">
        <f t="shared" si="8"/>
        <v>1</v>
      </c>
      <c r="M11" s="1" t="b">
        <f t="shared" si="0"/>
        <v>1</v>
      </c>
      <c r="N11" s="42">
        <f t="shared" si="1"/>
        <v>1195</v>
      </c>
      <c r="O11" s="42">
        <f>(D$68*L68)-E11</f>
        <v>619</v>
      </c>
      <c r="P11" s="42">
        <f t="shared" si="2"/>
        <v>2012</v>
      </c>
      <c r="Q11" s="42">
        <f>(C$68*L68)-C11</f>
        <v>1689</v>
      </c>
      <c r="R11" s="42">
        <f t="shared" si="3"/>
        <v>5515</v>
      </c>
      <c r="S11" s="30">
        <f t="shared" si="4"/>
        <v>3294750052519435</v>
      </c>
      <c r="T11" s="30">
        <f t="shared" si="5"/>
        <v>49692532706184</v>
      </c>
      <c r="U11" s="31">
        <f t="shared" si="6"/>
        <v>66.302719404547858</v>
      </c>
    </row>
    <row r="12" spans="2:21" ht="18" customHeight="1" x14ac:dyDescent="0.25">
      <c r="B12" s="32" t="str">
        <f>'Data Entry'!A12</f>
        <v>7. Cases Resulting in Delinquent Findings</v>
      </c>
      <c r="C12" s="33">
        <f>'Data Entry'!C12</f>
        <v>1284</v>
      </c>
      <c r="D12" s="34">
        <f>IF(((AND(C69&gt;0,C12&gt;0))),(C12/(C69)),0)</f>
        <v>63.817097415506957</v>
      </c>
      <c r="E12" s="33">
        <f>'Data Entry'!D12</f>
        <v>665</v>
      </c>
      <c r="F12" s="34">
        <f>IF(((AND($D$69&gt;0,$E$12&gt;0))),(E12/(D69)),0)</f>
        <v>55.64853556485356</v>
      </c>
      <c r="G12" s="39">
        <f t="shared" si="7"/>
        <v>0.87200041710658382</v>
      </c>
      <c r="H12" s="40"/>
      <c r="I12" s="41"/>
      <c r="J12" s="40">
        <f>IF((ABS($U12)&gt;Defaults!D$7),1,2)</f>
        <v>1</v>
      </c>
      <c r="K12" s="39">
        <f>IF((AND(N12&gt;Defaults!B$12,(N12+O12)&gt;Defaults!B$13, P12 &gt; Defaults!B$12, (P12+Q12) &gt; Defaults!B$13)),1,20)</f>
        <v>1</v>
      </c>
      <c r="L12" s="1">
        <f t="shared" si="8"/>
        <v>1</v>
      </c>
      <c r="M12" s="1" t="b">
        <f t="shared" si="0"/>
        <v>1</v>
      </c>
      <c r="N12" s="42">
        <f t="shared" si="1"/>
        <v>665</v>
      </c>
      <c r="O12" s="42">
        <f>(D69*L69)-E12</f>
        <v>530</v>
      </c>
      <c r="P12" s="42">
        <f t="shared" si="2"/>
        <v>1284</v>
      </c>
      <c r="Q12" s="42">
        <f>(C69*L69)-C12</f>
        <v>728</v>
      </c>
      <c r="R12" s="42">
        <f t="shared" si="3"/>
        <v>3207</v>
      </c>
      <c r="S12" s="30">
        <f t="shared" si="4"/>
        <v>123703482720000</v>
      </c>
      <c r="T12" s="30">
        <f t="shared" si="5"/>
        <v>5895061794280</v>
      </c>
      <c r="U12" s="31">
        <f t="shared" si="6"/>
        <v>20.984255472950249</v>
      </c>
    </row>
    <row r="13" spans="2:21" ht="18" customHeight="1" x14ac:dyDescent="0.25">
      <c r="B13" s="32" t="str">
        <f>'Data Entry'!A13</f>
        <v>8. Cases Resulting in Probation Placement</v>
      </c>
      <c r="C13" s="33">
        <f>'Data Entry'!C13</f>
        <v>1376</v>
      </c>
      <c r="D13" s="34">
        <f>IF(((AND(C70&gt;0,C13&gt;0))),(C13/(C70)),0)</f>
        <v>107.16510903426791</v>
      </c>
      <c r="E13" s="33">
        <f>'Data Entry'!D13</f>
        <v>612</v>
      </c>
      <c r="F13" s="34">
        <f>IF(((AND($D$70&gt;0,$E$13&gt;0))),($E$13/($D$70)),0)</f>
        <v>92.030075187969913</v>
      </c>
      <c r="G13" s="39">
        <f t="shared" si="7"/>
        <v>0.85876901556216112</v>
      </c>
      <c r="H13" s="40"/>
      <c r="I13" s="41"/>
      <c r="J13" s="40">
        <f>IF((ABS($U13)&gt;Defaults!D$7),1,2)</f>
        <v>1</v>
      </c>
      <c r="K13" s="39">
        <f>IF((AND(N13&gt;Defaults!B$12,(N13+O13)&gt;Defaults!B$13, P13 &gt; Defaults!B$12, (P13+Q13) &gt; Defaults!B$13)),1,20)</f>
        <v>1</v>
      </c>
      <c r="L13" s="1">
        <f t="shared" si="8"/>
        <v>1</v>
      </c>
      <c r="M13" s="1" t="b">
        <f t="shared" si="0"/>
        <v>1</v>
      </c>
      <c r="N13" s="42">
        <f t="shared" si="1"/>
        <v>612</v>
      </c>
      <c r="O13" s="42">
        <f>(D70*L70)-E13</f>
        <v>53</v>
      </c>
      <c r="P13" s="42">
        <f t="shared" si="2"/>
        <v>1376</v>
      </c>
      <c r="Q13" s="42">
        <f>(C70*L70)-C13</f>
        <v>-92</v>
      </c>
      <c r="R13" s="42">
        <f t="shared" si="3"/>
        <v>1949</v>
      </c>
      <c r="S13" s="30">
        <f t="shared" si="4"/>
        <v>32550073246976</v>
      </c>
      <c r="T13" s="30">
        <f t="shared" si="5"/>
        <v>-66201473520</v>
      </c>
      <c r="U13" s="31">
        <f t="shared" si="6"/>
        <v>-491.68200519195938</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Entry'!D14</f>
        <v>179</v>
      </c>
      <c r="F14" s="34">
        <f>IF(((AND($D$70&gt;0,$E$14&gt;0))), (($E$14/($D$70))),0)</f>
        <v>26.917293233082706</v>
      </c>
      <c r="G14" s="39">
        <f t="shared" si="7"/>
        <v>0.9191969284914413</v>
      </c>
      <c r="H14" s="40"/>
      <c r="I14" s="41"/>
      <c r="J14" s="40">
        <f>IF((ABS($U14)&gt;Defaults!D$7),1,2)</f>
        <v>2</v>
      </c>
      <c r="K14" s="39">
        <f>IF((AND(N14&gt;Defaults!B$12,(N14+O14)&gt;Defaults!B$13, P14 &gt; Defaults!B$12, (P14+Q14) &gt; Defaults!B$13)),1,20)</f>
        <v>1</v>
      </c>
      <c r="L14" s="1">
        <f t="shared" si="8"/>
        <v>2</v>
      </c>
      <c r="M14" s="1" t="b">
        <f t="shared" si="0"/>
        <v>1</v>
      </c>
      <c r="N14" s="42">
        <f t="shared" si="1"/>
        <v>179</v>
      </c>
      <c r="O14" s="42">
        <f>(D70*L70)-E14</f>
        <v>486</v>
      </c>
      <c r="P14" s="42">
        <f t="shared" si="2"/>
        <v>376</v>
      </c>
      <c r="Q14" s="42">
        <f>(C70*L70)-C14</f>
        <v>908</v>
      </c>
      <c r="R14" s="42">
        <f t="shared" si="3"/>
        <v>1949</v>
      </c>
      <c r="S14" s="30">
        <f t="shared" si="4"/>
        <v>795584949584</v>
      </c>
      <c r="T14" s="30">
        <f t="shared" si="5"/>
        <v>660605866200</v>
      </c>
      <c r="U14" s="31">
        <f t="shared" si="6"/>
        <v>1.2043261955278108</v>
      </c>
    </row>
    <row r="15" spans="2:21" ht="15.75" customHeight="1" x14ac:dyDescent="0.25">
      <c r="B15" s="32" t="str">
        <f>'Data Entry'!A15</f>
        <v xml:space="preserve">10. Cases Transferred to Adult Court </v>
      </c>
      <c r="C15" s="33">
        <f>'Data Entry'!C15</f>
        <v>9</v>
      </c>
      <c r="D15" s="34">
        <f>IF(((AND(C69&gt;0,C15&gt;0))),((C15/(C69))),0)</f>
        <v>0.44731610337972166</v>
      </c>
      <c r="E15" s="33">
        <f>'Data Entry'!D15</f>
        <v>11</v>
      </c>
      <c r="F15" s="34">
        <f>IF(((AND($D$69&gt;0,$E$15&gt;0))),(($E$15/($D$69))),0)</f>
        <v>0.92050209205020928</v>
      </c>
      <c r="G15" s="39">
        <f t="shared" si="7"/>
        <v>2.0578335657833566</v>
      </c>
      <c r="H15" s="40"/>
      <c r="I15" s="41"/>
      <c r="J15" s="40">
        <f>IF((ABS($U15)&gt;Defaults!D$7),1,2)</f>
        <v>2</v>
      </c>
      <c r="K15" s="39">
        <f>IF((AND(N15&gt;Defaults!B$12,(N15+O15)&gt;Defaults!B$13, P15 &gt; Defaults!B$12, (P15+Q15) &gt; Defaults!B$13)),1,20)</f>
        <v>1</v>
      </c>
      <c r="L15" s="1">
        <f t="shared" si="8"/>
        <v>2</v>
      </c>
      <c r="M15" s="1" t="b">
        <f t="shared" si="0"/>
        <v>1</v>
      </c>
      <c r="N15" s="42">
        <f t="shared" si="1"/>
        <v>11</v>
      </c>
      <c r="O15" s="42">
        <f>(D69*L69)-E15</f>
        <v>1184</v>
      </c>
      <c r="P15" s="42">
        <f t="shared" si="2"/>
        <v>9</v>
      </c>
      <c r="Q15" s="42">
        <f>(C69*L69)-C15</f>
        <v>2003</v>
      </c>
      <c r="R15" s="42">
        <f t="shared" si="3"/>
        <v>3207</v>
      </c>
      <c r="S15" s="30">
        <f t="shared" si="4"/>
        <v>415101665703</v>
      </c>
      <c r="T15" s="30">
        <f t="shared" si="5"/>
        <v>153252631600</v>
      </c>
      <c r="U15" s="31">
        <f t="shared" si="6"/>
        <v>2.7086103603522069</v>
      </c>
    </row>
    <row r="16" spans="2:21" ht="12" customHeight="1" x14ac:dyDescent="0.25">
      <c r="B16" s="43" t="s">
        <v>51</v>
      </c>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148.38399999999999</v>
      </c>
      <c r="E42" s="56">
        <f>MAX(C42:D42)</f>
        <v>591.58799999999997</v>
      </c>
      <c r="G42" s="1" t="str">
        <f>B42</f>
        <v>per 1000 youth</v>
      </c>
      <c r="L42" s="57">
        <v>1000</v>
      </c>
      <c r="M42" s="57"/>
      <c r="R42" s="49"/>
    </row>
    <row r="43" spans="2:18" ht="15" hidden="1" customHeight="1" x14ac:dyDescent="0.25">
      <c r="B43" s="49" t="s">
        <v>88</v>
      </c>
      <c r="C43" s="56">
        <f>C7/100</f>
        <v>26.06</v>
      </c>
      <c r="D43" s="56">
        <f>E7/100</f>
        <v>17.190000000000001</v>
      </c>
      <c r="E43" s="56">
        <f>MAX(C43:D43,0)</f>
        <v>26.06</v>
      </c>
      <c r="G43" s="1" t="str">
        <f>B43</f>
        <v>per 100 arrests</v>
      </c>
      <c r="L43" s="57">
        <v>100</v>
      </c>
      <c r="M43" s="57"/>
      <c r="R43" s="49"/>
    </row>
    <row r="44" spans="2:18" ht="15" hidden="1" customHeight="1" x14ac:dyDescent="0.25">
      <c r="B44" s="49" t="s">
        <v>89</v>
      </c>
      <c r="C44" s="56">
        <f>C8/100</f>
        <v>37.01</v>
      </c>
      <c r="D44" s="56">
        <f>E8/100</f>
        <v>18.14</v>
      </c>
      <c r="E44" s="56">
        <f>MAX(C44:D44,0)</f>
        <v>37.01</v>
      </c>
      <c r="G44" s="1" t="str">
        <f>B44</f>
        <v>per 100 referrals</v>
      </c>
      <c r="L44" s="57">
        <v>100</v>
      </c>
      <c r="M44" s="57"/>
      <c r="R44" s="49"/>
    </row>
    <row r="45" spans="2:18" ht="15" hidden="1" customHeight="1" x14ac:dyDescent="0.25">
      <c r="B45" s="49" t="s">
        <v>90</v>
      </c>
      <c r="C45" s="49">
        <f>C11/100</f>
        <v>20.12</v>
      </c>
      <c r="D45" s="49">
        <f>E11/100</f>
        <v>11.95</v>
      </c>
      <c r="E45" s="56">
        <f>MAX(C45:D45,0)</f>
        <v>20.12</v>
      </c>
      <c r="G45" s="1" t="str">
        <f>B45</f>
        <v>per 100 youth petitioned</v>
      </c>
      <c r="L45" s="57">
        <v>100</v>
      </c>
      <c r="M45" s="57"/>
      <c r="R45" s="49"/>
    </row>
    <row r="46" spans="2:18" ht="15" hidden="1" customHeight="1" x14ac:dyDescent="0.25">
      <c r="B46" s="49" t="s">
        <v>91</v>
      </c>
      <c r="C46" s="49">
        <f>C12/100</f>
        <v>12.84</v>
      </c>
      <c r="D46" s="49">
        <f>E12/100</f>
        <v>6.65</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148.38399999999999</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26.06</v>
      </c>
      <c r="D49" s="49">
        <f t="shared" si="9"/>
        <v>17.190000000000001</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18.14</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11.95</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6.65</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148.38399999999999</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17.190000000000001</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18.14</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11.95</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6.65</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148.38399999999999</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17.190000000000001</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18.14</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11.95</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6.65</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148.38399999999999</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17.190000000000001</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18.14</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11.95</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6.65</v>
      </c>
      <c r="E70" s="56">
        <f>MAX(C70:D70)</f>
        <v>12.84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4" t="str">
        <f>'Data Entry'!F5</f>
        <v>Asian</v>
      </c>
      <c r="G1" s="214"/>
      <c r="H1" s="214"/>
      <c r="I1" s="214"/>
      <c r="J1" s="214"/>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Entry'!F6</f>
        <v>33353</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Entry'!F7</f>
        <v>11</v>
      </c>
      <c r="F7" s="34">
        <f>IF((AND($E$7&gt;0,$D$66&gt;0)),($E$7/$D$66),0)</f>
        <v>0.32980541480526487</v>
      </c>
      <c r="G7" s="39">
        <f t="shared" ref="G7:G15" si="0">IF(L$6=100,"*",IF(M7=FALSE,"--",IF(K7=20,"**",($F7/$D7))))</f>
        <v>7.4869119621572153E-2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11</v>
      </c>
      <c r="O7" s="42">
        <f>E6-E7</f>
        <v>33342</v>
      </c>
      <c r="P7" s="42">
        <f t="shared" ref="P7:P15" si="4">C7</f>
        <v>2606</v>
      </c>
      <c r="Q7" s="42">
        <f>C6-C7</f>
        <v>588982</v>
      </c>
      <c r="R7" s="42">
        <f t="shared" ref="R7:R15" si="5">SUM(N7:Q7)</f>
        <v>624941</v>
      </c>
      <c r="S7" s="30">
        <f t="shared" ref="S7:S15" si="6">R7*((((N7*Q7)-(O7*P7))^2))</f>
        <v>4.0407688086638795E+21</v>
      </c>
      <c r="T7" s="30">
        <f t="shared" ref="T7:T15" si="7">(N7+O7)*(P7+Q7)*(N7+P7)*(O7+Q7)</f>
        <v>3.2134720882817229E+19</v>
      </c>
      <c r="U7" s="31">
        <f t="shared" ref="U7:U15" si="8">IF((S7&gt;0),S7/T7,"- -")</f>
        <v>125.74463688043174</v>
      </c>
    </row>
    <row r="8" spans="2:21" ht="18" customHeight="1" x14ac:dyDescent="0.25">
      <c r="B8" s="32" t="str">
        <f>'Data Entry'!A8</f>
        <v>3. Refer to Juvenile Court</v>
      </c>
      <c r="C8" s="33">
        <f>'Data Entry'!C8</f>
        <v>3701</v>
      </c>
      <c r="D8" s="34">
        <f>IF((AND(C67&gt;0,C8&gt;0)),(C8/C67),0)</f>
        <v>142.01841903300078</v>
      </c>
      <c r="E8" s="33">
        <f>'Data Entry'!F8</f>
        <v>10</v>
      </c>
      <c r="F8" s="34">
        <f>IF((AND($E$8&gt;0,$D$67&gt;0)),($E8/$D67),0)</f>
        <v>90.909090909090907</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10</v>
      </c>
      <c r="O8" s="42">
        <f>((D67*L67)-E8)+0.05</f>
        <v>1.05</v>
      </c>
      <c r="P8" s="42">
        <f t="shared" si="4"/>
        <v>3701</v>
      </c>
      <c r="Q8" s="42">
        <f>(C$67*L67)-C8</f>
        <v>-1095</v>
      </c>
      <c r="R8" s="42">
        <f t="shared" si="5"/>
        <v>2617.0500000000002</v>
      </c>
      <c r="S8" s="30">
        <f t="shared" si="6"/>
        <v>576034634838.72266</v>
      </c>
      <c r="T8" s="30">
        <f t="shared" si="7"/>
        <v>-116902854660.73502</v>
      </c>
      <c r="U8" s="31">
        <f t="shared" si="8"/>
        <v>-4.9274642309671455</v>
      </c>
    </row>
    <row r="9" spans="2:21" ht="18" customHeight="1" x14ac:dyDescent="0.25">
      <c r="B9" s="32" t="str">
        <f>'Data Entry'!A9</f>
        <v xml:space="preserve">4. Cases Diverted </v>
      </c>
      <c r="C9" s="33">
        <f>'Data Entry'!C9</f>
        <v>689</v>
      </c>
      <c r="D9" s="34">
        <f>IF((AND(C68&gt;0,C9&gt;0)),((C9/C68)),0)</f>
        <v>18.616590110780869</v>
      </c>
      <c r="E9" s="33">
        <f>'Data Entry'!F9</f>
        <v>8</v>
      </c>
      <c r="F9" s="34">
        <f>IF((AND($E$9&gt;0,$D$68&gt;0)),(($E$9/$D$68)),0)</f>
        <v>80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8</v>
      </c>
      <c r="O9" s="42">
        <f>(D$68*L68)-E9</f>
        <v>2</v>
      </c>
      <c r="P9" s="42">
        <f t="shared" si="4"/>
        <v>689</v>
      </c>
      <c r="Q9" s="42">
        <f>(C$68*L68)-C9</f>
        <v>3012</v>
      </c>
      <c r="R9" s="42">
        <f t="shared" si="5"/>
        <v>3711</v>
      </c>
      <c r="S9" s="30">
        <f t="shared" si="6"/>
        <v>1915275021564</v>
      </c>
      <c r="T9" s="30">
        <f t="shared" si="7"/>
        <v>77749053580</v>
      </c>
      <c r="U9" s="31">
        <f t="shared" si="8"/>
        <v>24.634062195924674</v>
      </c>
    </row>
    <row r="10" spans="2:21" ht="18" customHeight="1" x14ac:dyDescent="0.25">
      <c r="B10" s="32" t="str">
        <f>'Data Entry'!A10</f>
        <v>5. Cases Involving Secure Detention</v>
      </c>
      <c r="C10" s="33">
        <f>'Data Entry'!C10</f>
        <v>470</v>
      </c>
      <c r="D10" s="34">
        <f>IF(((AND(C68&gt;0,C10&gt;0))),(C10/(C68)),0)</f>
        <v>12.699270467441233</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10</v>
      </c>
      <c r="P10" s="42">
        <f t="shared" si="4"/>
        <v>470</v>
      </c>
      <c r="Q10" s="42">
        <f>(C$68*L68)-C10</f>
        <v>3231</v>
      </c>
      <c r="R10" s="42">
        <f t="shared" si="5"/>
        <v>3711</v>
      </c>
      <c r="S10" s="30">
        <f t="shared" si="6"/>
        <v>81975990000</v>
      </c>
      <c r="T10" s="30">
        <f t="shared" si="7"/>
        <v>56376222700</v>
      </c>
      <c r="U10" s="31">
        <f t="shared" si="8"/>
        <v>1.4540880192741257</v>
      </c>
    </row>
    <row r="11" spans="2:21" ht="18" customHeight="1" x14ac:dyDescent="0.25">
      <c r="B11" s="32" t="str">
        <f>'Data Entry'!A11</f>
        <v>6. Cases Petitioned (Charge Filed)</v>
      </c>
      <c r="C11" s="33">
        <f>'Data Entry'!C11</f>
        <v>2012</v>
      </c>
      <c r="D11" s="34">
        <f>IF(((AND(C68&gt;0,C11&gt;0))),(C11/(C68)),0)</f>
        <v>54.363685490408002</v>
      </c>
      <c r="E11" s="33">
        <f>'Data Entry'!F11</f>
        <v>2</v>
      </c>
      <c r="F11" s="34">
        <f>IF(((AND($E$11&gt;0,$D$68&gt;0))),($E$11/($D$68)),0)</f>
        <v>20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2</v>
      </c>
      <c r="O11" s="42">
        <f>(D$68*L68)-E11</f>
        <v>8</v>
      </c>
      <c r="P11" s="42">
        <f t="shared" si="4"/>
        <v>2012</v>
      </c>
      <c r="Q11" s="42">
        <f>(C$68*L68)-C11</f>
        <v>1689</v>
      </c>
      <c r="R11" s="42">
        <f t="shared" si="5"/>
        <v>3711</v>
      </c>
      <c r="S11" s="30">
        <f t="shared" si="6"/>
        <v>600245061564</v>
      </c>
      <c r="T11" s="30">
        <f t="shared" si="7"/>
        <v>126491223580</v>
      </c>
      <c r="U11" s="31">
        <f t="shared" si="8"/>
        <v>4.7453494762375517</v>
      </c>
    </row>
    <row r="12" spans="2:21" ht="18" customHeight="1" x14ac:dyDescent="0.25">
      <c r="B12" s="32" t="str">
        <f>'Data Entry'!A12</f>
        <v>7. Cases Resulting in Delinquent Findings</v>
      </c>
      <c r="C12" s="33">
        <f>'Data Entry'!C12</f>
        <v>1284</v>
      </c>
      <c r="D12" s="34">
        <f>IF(((AND(C69&gt;0,C12&gt;0))),(C12/(C69)),0)</f>
        <v>63.817097415506957</v>
      </c>
      <c r="E12" s="33">
        <f>'Data Entry'!F12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2</v>
      </c>
      <c r="P12" s="42">
        <f t="shared" si="4"/>
        <v>1284</v>
      </c>
      <c r="Q12" s="42">
        <f>(C69*L69)-C12</f>
        <v>728</v>
      </c>
      <c r="R12" s="42">
        <f t="shared" si="5"/>
        <v>2014</v>
      </c>
      <c r="S12" s="30">
        <f t="shared" si="6"/>
        <v>13281572736</v>
      </c>
      <c r="T12" s="30">
        <f t="shared" si="7"/>
        <v>3771775680</v>
      </c>
      <c r="U12" s="31">
        <f t="shared" si="8"/>
        <v>3.5213050464337265</v>
      </c>
    </row>
    <row r="13" spans="2:21" ht="18" customHeight="1" x14ac:dyDescent="0.25">
      <c r="B13" s="32" t="str">
        <f>'Data Entry'!A13</f>
        <v>8. Cases Resulting in Probation Placement</v>
      </c>
      <c r="C13" s="33">
        <f>'Data Entry'!C13</f>
        <v>1376</v>
      </c>
      <c r="D13" s="34">
        <f>IF(((AND(C70&gt;0,C13&gt;0))),(C13/(C70)),0)</f>
        <v>107.16510903426791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1376</v>
      </c>
      <c r="Q13" s="42">
        <f>(C70*L70)-C13</f>
        <v>-92</v>
      </c>
      <c r="R13" s="42">
        <f t="shared" si="5"/>
        <v>1284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376</v>
      </c>
      <c r="Q14" s="42">
        <f>(C70*L70)-C14</f>
        <v>908</v>
      </c>
      <c r="R14" s="42">
        <f t="shared" si="5"/>
        <v>1284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9</v>
      </c>
      <c r="D15" s="34">
        <f>IF(((AND(C69&gt;0,C15&gt;0))),((C15/(C69))),0)</f>
        <v>0.44731610337972166</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2</v>
      </c>
      <c r="P15" s="42">
        <f t="shared" si="4"/>
        <v>9</v>
      </c>
      <c r="Q15" s="42">
        <f>(C69*L69)-C15</f>
        <v>2003</v>
      </c>
      <c r="R15" s="42">
        <f t="shared" si="5"/>
        <v>2014</v>
      </c>
      <c r="S15" s="30">
        <f t="shared" si="6"/>
        <v>652536</v>
      </c>
      <c r="T15" s="30">
        <f t="shared" si="7"/>
        <v>72613080</v>
      </c>
      <c r="U15" s="31">
        <f t="shared" si="8"/>
        <v>8.9864801217631862E-3</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0</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33.353000000000002</v>
      </c>
      <c r="E42" s="56">
        <f>MAX(C42:D42)</f>
        <v>591.58799999999997</v>
      </c>
      <c r="G42" s="1" t="str">
        <f>B42</f>
        <v>per 1000 youth</v>
      </c>
      <c r="L42" s="57">
        <v>1000</v>
      </c>
      <c r="M42" s="57"/>
      <c r="R42" s="49"/>
    </row>
    <row r="43" spans="2:18" ht="15" hidden="1" customHeight="1" x14ac:dyDescent="0.25">
      <c r="B43" s="49" t="s">
        <v>88</v>
      </c>
      <c r="C43" s="56">
        <f>C7/100</f>
        <v>26.06</v>
      </c>
      <c r="D43" s="56">
        <f>E7/100</f>
        <v>0.11</v>
      </c>
      <c r="E43" s="56">
        <f>MAX(C43:D43,0)</f>
        <v>26.06</v>
      </c>
      <c r="G43" s="1" t="str">
        <f>B43</f>
        <v>per 100 arrests</v>
      </c>
      <c r="L43" s="57">
        <v>100</v>
      </c>
      <c r="M43" s="57"/>
      <c r="R43" s="49"/>
    </row>
    <row r="44" spans="2:18" ht="15" hidden="1" customHeight="1" x14ac:dyDescent="0.25">
      <c r="B44" s="49" t="s">
        <v>89</v>
      </c>
      <c r="C44" s="56">
        <f>C8/100</f>
        <v>37.01</v>
      </c>
      <c r="D44" s="56">
        <f>E8/100</f>
        <v>0.1</v>
      </c>
      <c r="E44" s="56">
        <f>MAX(C44:D44,0)</f>
        <v>37.01</v>
      </c>
      <c r="G44" s="1" t="str">
        <f>B44</f>
        <v>per 100 referrals</v>
      </c>
      <c r="L44" s="57">
        <v>100</v>
      </c>
      <c r="M44" s="57"/>
      <c r="R44" s="49"/>
    </row>
    <row r="45" spans="2:18" ht="15" hidden="1" customHeight="1" x14ac:dyDescent="0.25">
      <c r="B45" s="49" t="s">
        <v>90</v>
      </c>
      <c r="C45" s="49">
        <f>C11/100</f>
        <v>20.12</v>
      </c>
      <c r="D45" s="49">
        <f>E11/100</f>
        <v>0.02</v>
      </c>
      <c r="E45" s="56">
        <f>MAX(C45:D45,0)</f>
        <v>20.12</v>
      </c>
      <c r="G45" s="1" t="str">
        <f>B45</f>
        <v>per 100 youth petitioned</v>
      </c>
      <c r="L45" s="57">
        <v>100</v>
      </c>
      <c r="M45" s="57"/>
      <c r="R45" s="49"/>
    </row>
    <row r="46" spans="2:18" ht="15" hidden="1" customHeight="1" x14ac:dyDescent="0.25">
      <c r="B46" s="49" t="s">
        <v>91</v>
      </c>
      <c r="C46" s="49">
        <f>C12/100</f>
        <v>12.84</v>
      </c>
      <c r="D46" s="49">
        <f>E12/100</f>
        <v>0</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33.353000000000002</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26.06</v>
      </c>
      <c r="D49" s="49">
        <f t="shared" si="9"/>
        <v>0.11</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0.1</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0.02</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0</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33.353000000000002</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0.11</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0.1</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0.02</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0</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33.353000000000002</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0.11</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0.1</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0.02</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0</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33.353000000000002</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0.11</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0.1</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0.02</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0</v>
      </c>
      <c r="E70" s="56">
        <f>MAX(C70:D70)</f>
        <v>12.84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4" t="str">
        <f>'Data Entry'!E5</f>
        <v>Hispanic or Latino</v>
      </c>
      <c r="G1" s="214"/>
      <c r="H1" s="214"/>
      <c r="I1" s="214"/>
      <c r="J1" s="214"/>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All Reporting Counties</v>
      </c>
      <c r="C3" s="22"/>
      <c r="D3" s="22"/>
      <c r="E3" s="22"/>
      <c r="F3" s="22"/>
      <c r="G3" s="7"/>
      <c r="H3" s="7"/>
      <c r="I3" s="7"/>
      <c r="J3" s="7"/>
      <c r="K3" s="7"/>
      <c r="N3" s="213" t="s">
        <v>31</v>
      </c>
      <c r="O3" s="213"/>
      <c r="P3" s="213"/>
      <c r="Q3" s="213"/>
      <c r="R3" s="213"/>
      <c r="S3" s="213"/>
      <c r="T3" s="213"/>
      <c r="U3" s="213"/>
    </row>
    <row r="4" spans="2:21" ht="24.7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Entry'!E6</f>
        <v>75984</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Entry'!E7</f>
        <v>93</v>
      </c>
      <c r="F7" s="34">
        <f>IF((AND($E$7&gt;0,$D$66&gt;0)),($E$7/$D$66),0)</f>
        <v>1.2239418825015793</v>
      </c>
      <c r="G7" s="39">
        <f t="shared" ref="G7:G15" si="0">IF(L$6=100,"*",IF(M7=FALSE,"--",IF(K7=20,"**",($F7/$D7))))</f>
        <v>0.27784701856690108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93</v>
      </c>
      <c r="O7" s="42">
        <f>E6-E7</f>
        <v>75891</v>
      </c>
      <c r="P7" s="42">
        <f t="shared" ref="P7:P15" si="4">C7</f>
        <v>2606</v>
      </c>
      <c r="Q7" s="42">
        <f>C6-C7</f>
        <v>588982</v>
      </c>
      <c r="R7" s="42">
        <f t="shared" ref="R7:R15" si="5">SUM(N7:Q7)</f>
        <v>667572</v>
      </c>
      <c r="S7" s="30">
        <f t="shared" ref="S7:S15" si="6">R7*((((N7*Q7)-(O7*P7))^2))</f>
        <v>1.3650534507125649E+22</v>
      </c>
      <c r="T7" s="30">
        <f t="shared" ref="T7:T15" si="7">(N7+O7)*(P7+Q7)*(N7+P7)*(O7+Q7)</f>
        <v>8.0664619535490793E+19</v>
      </c>
      <c r="U7" s="31">
        <f t="shared" ref="U7:U15" si="8">IF((S7&gt;0),S7/T7,"- -")</f>
        <v>169.22579670904778</v>
      </c>
    </row>
    <row r="8" spans="2:21" ht="18" customHeight="1" x14ac:dyDescent="0.25">
      <c r="B8" s="32" t="str">
        <f>'Data Entry'!A8</f>
        <v>3. Refer to Juvenile Court</v>
      </c>
      <c r="C8" s="33">
        <f>'Data Entry'!C8</f>
        <v>3701</v>
      </c>
      <c r="D8" s="34">
        <f>IF((AND(C67&gt;0,C8&gt;0)),(C8/C67),0)</f>
        <v>142.01841903300078</v>
      </c>
      <c r="E8" s="33">
        <f>'Data Entry'!E8</f>
        <v>143</v>
      </c>
      <c r="F8" s="34">
        <f>IF((AND($E$8&gt;0,$D$67&gt;0)),($E8/$D67),0)</f>
        <v>153.76344086021504</v>
      </c>
      <c r="G8" s="39">
        <f t="shared" si="0"/>
        <v>1.0827006940873287</v>
      </c>
      <c r="H8" s="40"/>
      <c r="I8" s="41"/>
      <c r="J8" s="40">
        <f>IF((ABS($U8)&gt;Defaults!D$7),1,2)</f>
        <v>2</v>
      </c>
      <c r="K8" s="39">
        <f>IF((AND(N8&gt;Defaults!B$12,(N8+O8)&gt;Defaults!B$13, P8 &gt; Defaults!B$12, (P8+Q8) &gt; Defaults!B$13)),1,20)</f>
        <v>1</v>
      </c>
      <c r="L8" s="1">
        <f t="shared" si="1"/>
        <v>2</v>
      </c>
      <c r="M8" s="1" t="b">
        <f t="shared" si="2"/>
        <v>1</v>
      </c>
      <c r="N8" s="42">
        <f t="shared" si="3"/>
        <v>143</v>
      </c>
      <c r="O8" s="42">
        <f>((D67*L67)-E8)+0.05</f>
        <v>-49.95</v>
      </c>
      <c r="P8" s="42">
        <f t="shared" si="4"/>
        <v>3701</v>
      </c>
      <c r="Q8" s="42">
        <f>(C$67*L67)-C8</f>
        <v>-1095</v>
      </c>
      <c r="R8" s="42">
        <f t="shared" si="5"/>
        <v>2699.05</v>
      </c>
      <c r="S8" s="30">
        <f t="shared" si="6"/>
        <v>2158580276613.3496</v>
      </c>
      <c r="T8" s="30">
        <f t="shared" si="7"/>
        <v>-1067236547602.74</v>
      </c>
      <c r="U8" s="31">
        <f t="shared" si="8"/>
        <v>-2.0225884144073025</v>
      </c>
    </row>
    <row r="9" spans="2:21" ht="18" customHeight="1" x14ac:dyDescent="0.25">
      <c r="B9" s="32" t="str">
        <f>'Data Entry'!A9</f>
        <v xml:space="preserve">4. Cases Diverted </v>
      </c>
      <c r="C9" s="33">
        <f>'Data Entry'!C9</f>
        <v>689</v>
      </c>
      <c r="D9" s="34">
        <f>IF((AND(C68&gt;0,C9&gt;0)),((C9/C68)),0)</f>
        <v>18.616590110780869</v>
      </c>
      <c r="E9" s="33">
        <f>'Data Entry'!E9</f>
        <v>23</v>
      </c>
      <c r="F9" s="34">
        <f>IF((AND($E$9&gt;0,$D$68&gt;0)),(($E$9/$D$68)),0)</f>
        <v>16.083916083916083</v>
      </c>
      <c r="G9" s="39">
        <f t="shared" si="0"/>
        <v>0.86395607295462162</v>
      </c>
      <c r="H9" s="40"/>
      <c r="I9" s="41"/>
      <c r="J9" s="40">
        <f>IF((ABS($U9)&gt;Defaults!D$7),1,2)</f>
        <v>2</v>
      </c>
      <c r="K9" s="39">
        <f>IF((AND(N9&gt;Defaults!B$12,(N9+O9)&gt;Defaults!B$13, P9 &gt; Defaults!B$12, (P9+Q9) &gt; Defaults!B$13)),1,20)</f>
        <v>1</v>
      </c>
      <c r="L9" s="1">
        <f t="shared" si="1"/>
        <v>2</v>
      </c>
      <c r="M9" s="1" t="b">
        <f t="shared" si="2"/>
        <v>1</v>
      </c>
      <c r="N9" s="42">
        <f t="shared" si="3"/>
        <v>23</v>
      </c>
      <c r="O9" s="42">
        <f>(D$68*L68)-E9</f>
        <v>120</v>
      </c>
      <c r="P9" s="42">
        <f t="shared" si="4"/>
        <v>689</v>
      </c>
      <c r="Q9" s="42">
        <f>(C$68*L68)-C9</f>
        <v>3012</v>
      </c>
      <c r="R9" s="42">
        <f t="shared" si="5"/>
        <v>3844</v>
      </c>
      <c r="S9" s="30">
        <f t="shared" si="6"/>
        <v>690640778304</v>
      </c>
      <c r="T9" s="30">
        <f t="shared" si="7"/>
        <v>1180203422112</v>
      </c>
      <c r="U9" s="31">
        <f t="shared" si="8"/>
        <v>0.58518791368023926</v>
      </c>
    </row>
    <row r="10" spans="2:21" ht="18" customHeight="1" x14ac:dyDescent="0.25">
      <c r="B10" s="32" t="str">
        <f>'Data Entry'!A10</f>
        <v>5. Cases Involving Secure Detention</v>
      </c>
      <c r="C10" s="33">
        <f>'Data Entry'!C10</f>
        <v>470</v>
      </c>
      <c r="D10" s="34">
        <f>IF(((AND(C68&gt;0,C10&gt;0))),(C10/(C68)),0)</f>
        <v>12.699270467441233</v>
      </c>
      <c r="E10" s="33">
        <f>'Data Entry'!E10</f>
        <v>39</v>
      </c>
      <c r="F10" s="34">
        <f>IF(((AND($E$10&gt;0,$D$68&gt;0))),($E$10/($D$68)),0)</f>
        <v>27.272727272727273</v>
      </c>
      <c r="G10" s="39">
        <f t="shared" si="0"/>
        <v>2.1475822050290136</v>
      </c>
      <c r="H10" s="40"/>
      <c r="I10" s="41"/>
      <c r="J10" s="40">
        <f>IF((ABS($U10)&gt;Defaults!D$7),1,2)</f>
        <v>1</v>
      </c>
      <c r="K10" s="39">
        <f>IF((AND(N10&gt;Defaults!B$12,(N10+O10)&gt;Defaults!B$13, P10 &gt; Defaults!B$12, (P10+Q10) &gt; Defaults!B$13)),1,20)</f>
        <v>1</v>
      </c>
      <c r="L10" s="1">
        <f t="shared" si="1"/>
        <v>1</v>
      </c>
      <c r="M10" s="1" t="b">
        <f t="shared" si="2"/>
        <v>1</v>
      </c>
      <c r="N10" s="42">
        <f t="shared" si="3"/>
        <v>39</v>
      </c>
      <c r="O10" s="42">
        <f>(D$68*L68)-E10</f>
        <v>104</v>
      </c>
      <c r="P10" s="42">
        <f t="shared" si="4"/>
        <v>470</v>
      </c>
      <c r="Q10" s="42">
        <f>(C$68*L68)-C10</f>
        <v>3231</v>
      </c>
      <c r="R10" s="42">
        <f t="shared" si="5"/>
        <v>3844</v>
      </c>
      <c r="S10" s="30">
        <f t="shared" si="6"/>
        <v>22867504872004</v>
      </c>
      <c r="T10" s="30">
        <f t="shared" si="7"/>
        <v>898397931145</v>
      </c>
      <c r="U10" s="31">
        <f t="shared" si="8"/>
        <v>25.453648187790876</v>
      </c>
    </row>
    <row r="11" spans="2:21" ht="18" customHeight="1" x14ac:dyDescent="0.25">
      <c r="B11" s="32" t="str">
        <f>'Data Entry'!A11</f>
        <v>6. Cases Petitioned (Charge Filed)</v>
      </c>
      <c r="C11" s="33">
        <f>'Data Entry'!C11</f>
        <v>2012</v>
      </c>
      <c r="D11" s="34">
        <f>IF(((AND(C68&gt;0,C11&gt;0))),(C11/(C68)),0)</f>
        <v>54.363685490408002</v>
      </c>
      <c r="E11" s="33">
        <f>'Data Entry'!E11</f>
        <v>82</v>
      </c>
      <c r="F11" s="34">
        <f>IF(((AND($E$11&gt;0,$D$68&gt;0))),($E$11/($D$68)),0)</f>
        <v>57.342657342657347</v>
      </c>
      <c r="G11" s="39">
        <f t="shared" si="0"/>
        <v>1.0547970915764155</v>
      </c>
      <c r="H11" s="40"/>
      <c r="I11" s="41"/>
      <c r="J11" s="40">
        <f>IF((ABS($U11)&gt;Defaults!D$7),1,2)</f>
        <v>2</v>
      </c>
      <c r="K11" s="39">
        <f>IF((AND(N11&gt;Defaults!B$12,(N11+O11)&gt;Defaults!B$13, P11 &gt; Defaults!B$12, (P11+Q11) &gt; Defaults!B$13)),1,20)</f>
        <v>1</v>
      </c>
      <c r="L11" s="1">
        <f t="shared" si="1"/>
        <v>2</v>
      </c>
      <c r="M11" s="1" t="b">
        <f t="shared" si="2"/>
        <v>1</v>
      </c>
      <c r="N11" s="42">
        <f t="shared" si="3"/>
        <v>82</v>
      </c>
      <c r="O11" s="42">
        <f>(D$68*L68)-E11</f>
        <v>61</v>
      </c>
      <c r="P11" s="42">
        <f t="shared" si="4"/>
        <v>2012</v>
      </c>
      <c r="Q11" s="42">
        <f>(C$68*L68)-C11</f>
        <v>1689</v>
      </c>
      <c r="R11" s="42">
        <f t="shared" si="5"/>
        <v>3844</v>
      </c>
      <c r="S11" s="30">
        <f t="shared" si="6"/>
        <v>955490610064</v>
      </c>
      <c r="T11" s="30">
        <f t="shared" si="7"/>
        <v>1939410973500</v>
      </c>
      <c r="U11" s="31">
        <f t="shared" si="8"/>
        <v>0.49267051858516259</v>
      </c>
    </row>
    <row r="12" spans="2:21" ht="18" customHeight="1" x14ac:dyDescent="0.25">
      <c r="B12" s="32" t="str">
        <f>'Data Entry'!A12</f>
        <v>7. Cases Resulting in Delinquent Findings</v>
      </c>
      <c r="C12" s="33">
        <f>'Data Entry'!C12</f>
        <v>1284</v>
      </c>
      <c r="D12" s="34">
        <f>IF(((AND(C69&gt;0,C12&gt;0))),(C12/(C69)),0)</f>
        <v>63.817097415506957</v>
      </c>
      <c r="E12" s="33">
        <f>'Data Entry'!E12</f>
        <v>63</v>
      </c>
      <c r="F12" s="34">
        <f>IF(((AND($D$69&gt;0,$E$12&gt;0))),(E12/(D69)),0)</f>
        <v>76.829268292682926</v>
      </c>
      <c r="G12" s="39">
        <f t="shared" si="0"/>
        <v>1.2038978801002964</v>
      </c>
      <c r="H12" s="40"/>
      <c r="I12" s="41"/>
      <c r="J12" s="40">
        <f>IF((ABS($U12)&gt;Defaults!D$7),1,2)</f>
        <v>1</v>
      </c>
      <c r="K12" s="39">
        <f>IF((AND(N12&gt;Defaults!B$12,(N12+O12)&gt;Defaults!B$13, P12 &gt; Defaults!B$12, (P12+Q12) &gt; Defaults!B$13)),1,20)</f>
        <v>1</v>
      </c>
      <c r="L12" s="1">
        <f t="shared" si="1"/>
        <v>1</v>
      </c>
      <c r="M12" s="1" t="b">
        <f t="shared" si="2"/>
        <v>1</v>
      </c>
      <c r="N12" s="42">
        <f t="shared" si="3"/>
        <v>63</v>
      </c>
      <c r="O12" s="42">
        <f>(D69*L69)-E12</f>
        <v>19</v>
      </c>
      <c r="P12" s="42">
        <f t="shared" si="4"/>
        <v>1284</v>
      </c>
      <c r="Q12" s="42">
        <f>(C69*L69)-C12</f>
        <v>728</v>
      </c>
      <c r="R12" s="42">
        <f t="shared" si="5"/>
        <v>2094</v>
      </c>
      <c r="S12" s="30">
        <f t="shared" si="6"/>
        <v>965072300256</v>
      </c>
      <c r="T12" s="30">
        <f t="shared" si="7"/>
        <v>166008385656</v>
      </c>
      <c r="U12" s="31">
        <f t="shared" si="8"/>
        <v>5.8133948863029596</v>
      </c>
    </row>
    <row r="13" spans="2:21" ht="18" customHeight="1" x14ac:dyDescent="0.25">
      <c r="B13" s="32" t="str">
        <f>'Data Entry'!A13</f>
        <v>8. Cases Resulting in Probation Placement</v>
      </c>
      <c r="C13" s="33">
        <f>'Data Entry'!C13</f>
        <v>1376</v>
      </c>
      <c r="D13" s="34">
        <f>IF(((AND(C70&gt;0,C13&gt;0))),(C13/(C70)),0)</f>
        <v>107.16510903426791</v>
      </c>
      <c r="E13" s="33">
        <f>'Data Entry'!E13</f>
        <v>70</v>
      </c>
      <c r="F13" s="34">
        <f>IF(((AND($D$70&gt;0,$E$13&gt;0))),($E$13/($D$70)),0)</f>
        <v>111.11111111111111</v>
      </c>
      <c r="G13" s="39">
        <f t="shared" si="0"/>
        <v>1.0368217054263567</v>
      </c>
      <c r="H13" s="40"/>
      <c r="I13" s="41"/>
      <c r="J13" s="40">
        <f>IF((ABS($U13)&gt;Defaults!D$7),1,2)</f>
        <v>2</v>
      </c>
      <c r="K13" s="39">
        <f>IF((AND(N13&gt;Defaults!B$12,(N13+O13)&gt;Defaults!B$13, P13 &gt; Defaults!B$12, (P13+Q13) &gt; Defaults!B$13)),1,20)</f>
        <v>1</v>
      </c>
      <c r="L13" s="1">
        <f t="shared" si="1"/>
        <v>2</v>
      </c>
      <c r="M13" s="1" t="b">
        <f t="shared" si="2"/>
        <v>1</v>
      </c>
      <c r="N13" s="42">
        <f t="shared" si="3"/>
        <v>70</v>
      </c>
      <c r="O13" s="42">
        <f>(D70*L70)-E13</f>
        <v>-7</v>
      </c>
      <c r="P13" s="42">
        <f t="shared" si="4"/>
        <v>1376</v>
      </c>
      <c r="Q13" s="42">
        <f>(C70*L70)-C13</f>
        <v>-92</v>
      </c>
      <c r="R13" s="42">
        <f t="shared" si="5"/>
        <v>1347</v>
      </c>
      <c r="S13" s="30">
        <f t="shared" si="6"/>
        <v>13724399808</v>
      </c>
      <c r="T13" s="30">
        <f t="shared" si="7"/>
        <v>-11580013368</v>
      </c>
      <c r="U13" s="31">
        <f t="shared" si="8"/>
        <v>-1.185179962393287</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Entry'!E14</f>
        <v>24</v>
      </c>
      <c r="F14" s="34">
        <f>IF(((AND($D$70&gt;0,$E$14&gt;0))), (($E$14/($D$70))),0)</f>
        <v>38.095238095238095</v>
      </c>
      <c r="G14" s="39">
        <f t="shared" si="0"/>
        <v>1.3009118541033435</v>
      </c>
      <c r="H14" s="40"/>
      <c r="I14" s="41"/>
      <c r="J14" s="40">
        <f>IF((ABS($U14)&gt;Defaults!D$7),1,2)</f>
        <v>2</v>
      </c>
      <c r="K14" s="39">
        <f>IF((AND(N14&gt;Defaults!B$12,(N14+O14)&gt;Defaults!B$13, P14 &gt; Defaults!B$12, (P14+Q14) &gt; Defaults!B$13)),1,20)</f>
        <v>1</v>
      </c>
      <c r="L14" s="1">
        <f t="shared" si="1"/>
        <v>2</v>
      </c>
      <c r="M14" s="1" t="b">
        <f t="shared" si="2"/>
        <v>1</v>
      </c>
      <c r="N14" s="42">
        <f t="shared" si="3"/>
        <v>24</v>
      </c>
      <c r="O14" s="42">
        <f>(D70*L70)-E14</f>
        <v>39</v>
      </c>
      <c r="P14" s="42">
        <f t="shared" si="4"/>
        <v>376</v>
      </c>
      <c r="Q14" s="42">
        <f>(C70*L70)-C14</f>
        <v>908</v>
      </c>
      <c r="R14" s="42">
        <f t="shared" si="5"/>
        <v>1347</v>
      </c>
      <c r="S14" s="30">
        <f t="shared" si="6"/>
        <v>68438893248</v>
      </c>
      <c r="T14" s="30">
        <f t="shared" si="7"/>
        <v>30641889600</v>
      </c>
      <c r="U14" s="31">
        <f t="shared" si="8"/>
        <v>2.2335075983042509</v>
      </c>
    </row>
    <row r="15" spans="2:21" ht="15.75" customHeight="1" x14ac:dyDescent="0.25">
      <c r="B15" s="32" t="str">
        <f>'Data Entry'!A15</f>
        <v xml:space="preserve">10. Cases Transferred to Adult Court </v>
      </c>
      <c r="C15" s="33">
        <f>'Data Entry'!C15</f>
        <v>9</v>
      </c>
      <c r="D15" s="34">
        <f>IF(((AND(C69&gt;0,C15&gt;0))),((C15/(C69))),0)</f>
        <v>0.44731610337972166</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82</v>
      </c>
      <c r="P15" s="42">
        <f t="shared" si="4"/>
        <v>9</v>
      </c>
      <c r="Q15" s="42">
        <f>(C69*L69)-C15</f>
        <v>2003</v>
      </c>
      <c r="R15" s="42">
        <f t="shared" si="5"/>
        <v>2094</v>
      </c>
      <c r="S15" s="30">
        <f t="shared" si="6"/>
        <v>1140484536</v>
      </c>
      <c r="T15" s="30">
        <f t="shared" si="7"/>
        <v>3095924760</v>
      </c>
      <c r="U15" s="31">
        <f t="shared" si="8"/>
        <v>0.36838251069124822</v>
      </c>
    </row>
    <row r="16" spans="2:21" ht="12" customHeight="1" x14ac:dyDescent="0.25">
      <c r="B16" s="43" t="s">
        <v>93</v>
      </c>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1.25" customHeight="1" x14ac:dyDescent="0.25">
      <c r="B24" s="62"/>
      <c r="C24" s="62"/>
      <c r="D24" s="62"/>
      <c r="E24" s="62"/>
      <c r="F24" s="62"/>
      <c r="G24" s="62"/>
      <c r="H24" s="62"/>
      <c r="I24" s="62"/>
      <c r="K24" s="1" t="s">
        <v>94</v>
      </c>
      <c r="L24" s="1" t="s">
        <v>95</v>
      </c>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75.983999999999995</v>
      </c>
      <c r="E42" s="56">
        <f>MAX(C42:D42)</f>
        <v>591.58799999999997</v>
      </c>
      <c r="G42" s="1" t="str">
        <f>B42</f>
        <v>per 1000 youth</v>
      </c>
      <c r="L42" s="57">
        <v>1000</v>
      </c>
      <c r="M42" s="57"/>
      <c r="R42" s="49"/>
    </row>
    <row r="43" spans="2:18" ht="15" hidden="1" customHeight="1" x14ac:dyDescent="0.25">
      <c r="B43" s="49" t="s">
        <v>88</v>
      </c>
      <c r="C43" s="56">
        <f>C7/100</f>
        <v>26.06</v>
      </c>
      <c r="D43" s="56">
        <f>E7/100</f>
        <v>0.93</v>
      </c>
      <c r="E43" s="56">
        <f>MAX(C43:D43,0)</f>
        <v>26.06</v>
      </c>
      <c r="G43" s="1" t="str">
        <f>B43</f>
        <v>per 100 arrests</v>
      </c>
      <c r="L43" s="57">
        <v>100</v>
      </c>
      <c r="M43" s="57"/>
      <c r="R43" s="49"/>
    </row>
    <row r="44" spans="2:18" ht="15" hidden="1" customHeight="1" x14ac:dyDescent="0.25">
      <c r="B44" s="49" t="s">
        <v>89</v>
      </c>
      <c r="C44" s="56">
        <f>C8/100</f>
        <v>37.01</v>
      </c>
      <c r="D44" s="56">
        <f>E8/100</f>
        <v>1.43</v>
      </c>
      <c r="E44" s="56">
        <f>MAX(C44:D44,0)</f>
        <v>37.01</v>
      </c>
      <c r="G44" s="1" t="str">
        <f>B44</f>
        <v>per 100 referrals</v>
      </c>
      <c r="L44" s="57">
        <v>100</v>
      </c>
      <c r="M44" s="57"/>
      <c r="R44" s="49"/>
    </row>
    <row r="45" spans="2:18" ht="15" hidden="1" customHeight="1" x14ac:dyDescent="0.25">
      <c r="B45" s="49" t="s">
        <v>90</v>
      </c>
      <c r="C45" s="49">
        <f>C11/100</f>
        <v>20.12</v>
      </c>
      <c r="D45" s="49">
        <f>E11/100</f>
        <v>0.82</v>
      </c>
      <c r="E45" s="56">
        <f>MAX(C45:D45,0)</f>
        <v>20.12</v>
      </c>
      <c r="G45" s="1" t="str">
        <f>B45</f>
        <v>per 100 youth petitioned</v>
      </c>
      <c r="L45" s="57">
        <v>100</v>
      </c>
      <c r="M45" s="57"/>
      <c r="R45" s="49"/>
    </row>
    <row r="46" spans="2:18" ht="15" hidden="1" customHeight="1" x14ac:dyDescent="0.25">
      <c r="B46" s="49" t="s">
        <v>91</v>
      </c>
      <c r="C46" s="49">
        <f>C12/100</f>
        <v>12.84</v>
      </c>
      <c r="D46" s="49">
        <f>E12/100</f>
        <v>0.63</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75.983999999999995</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26.06</v>
      </c>
      <c r="D49" s="49">
        <f t="shared" si="9"/>
        <v>0.93</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1.43</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0.82</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0.63</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75.983999999999995</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0.93</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1.43</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0.82</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0.63</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75.983999999999995</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0.93</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1.43</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0.82</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0.63</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75.983999999999995</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0.93</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1.43</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0.82</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0.63</v>
      </c>
      <c r="E70" s="56">
        <f>MAX(C70:D70)</f>
        <v>12.84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4" t="str">
        <f>'Data Entry'!G5</f>
        <v>Native Hawaiian or Other Pacific Islanders</v>
      </c>
      <c r="G1" s="214"/>
      <c r="H1" s="214"/>
      <c r="I1" s="214"/>
      <c r="J1" s="214"/>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Entry'!G7</f>
        <v>2</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2</v>
      </c>
      <c r="O7" s="42">
        <f>E6-E7</f>
        <v>-2</v>
      </c>
      <c r="P7" s="42">
        <f t="shared" ref="P7:P15" si="4">C7</f>
        <v>2606</v>
      </c>
      <c r="Q7" s="42">
        <f>C6-C7</f>
        <v>588982</v>
      </c>
      <c r="R7" s="42">
        <f t="shared" ref="R7:R15" si="5">SUM(N7:Q7)</f>
        <v>591588</v>
      </c>
      <c r="S7" s="30">
        <f t="shared" ref="S7:S15" si="6">R7*((((N7*Q7)-(O7*P7))^2))</f>
        <v>8.2816726356563789E+17</v>
      </c>
      <c r="T7" s="30">
        <f t="shared" ref="T7:T15" si="7">(N7+O7)*(P7+Q7)*(N7+P7)*(O7+Q7)</f>
        <v>0</v>
      </c>
      <c r="U7" s="31" t="e">
        <f t="shared" ref="U7:U15" si="8">IF((S7&gt;0),S7/T7,"- -")</f>
        <v>#DIV/0!</v>
      </c>
    </row>
    <row r="8" spans="2:21" ht="18" customHeight="1" x14ac:dyDescent="0.25">
      <c r="B8" s="32" t="str">
        <f>'Data Entry'!A8</f>
        <v>3. Refer to Juvenile Court</v>
      </c>
      <c r="C8" s="33">
        <f>'Data Entry'!C8</f>
        <v>3701</v>
      </c>
      <c r="D8" s="34">
        <f>IF((AND(C67&gt;0,C8&gt;0)),(C8/C67),0)</f>
        <v>142.01841903300078</v>
      </c>
      <c r="E8" s="33">
        <f>'Data Entry'!G8</f>
        <v>0</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0</v>
      </c>
      <c r="O8" s="42">
        <f>((D67*L67)-E8)+0.05</f>
        <v>2.0499999999999998</v>
      </c>
      <c r="P8" s="42">
        <f t="shared" si="4"/>
        <v>3701</v>
      </c>
      <c r="Q8" s="42">
        <f>(C$67*L67)-C8</f>
        <v>-1095</v>
      </c>
      <c r="R8" s="42">
        <f t="shared" si="5"/>
        <v>2608.0500000000002</v>
      </c>
      <c r="S8" s="30">
        <f t="shared" si="6"/>
        <v>150128036814.5051</v>
      </c>
      <c r="T8" s="30">
        <f t="shared" si="7"/>
        <v>-21609645971.284996</v>
      </c>
      <c r="U8" s="31">
        <f t="shared" si="8"/>
        <v>-6.9472696134863092</v>
      </c>
    </row>
    <row r="9" spans="2:21" ht="18" customHeight="1" x14ac:dyDescent="0.25">
      <c r="B9" s="32" t="str">
        <f>'Data Entry'!A9</f>
        <v xml:space="preserve">4. Cases Diverted </v>
      </c>
      <c r="C9" s="33">
        <f>'Data Entry'!C9</f>
        <v>689</v>
      </c>
      <c r="D9" s="34">
        <f>IF((AND(C68&gt;0,C9&gt;0)),((C9/C68)),0)</f>
        <v>18.616590110780869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689</v>
      </c>
      <c r="Q9" s="42">
        <f>(C$68*L68)-C9</f>
        <v>3012</v>
      </c>
      <c r="R9" s="42">
        <f t="shared" si="5"/>
        <v>3701</v>
      </c>
      <c r="S9" s="30">
        <f t="shared" si="6"/>
        <v>0</v>
      </c>
      <c r="T9" s="30">
        <f t="shared" si="7"/>
        <v>0</v>
      </c>
      <c r="U9" s="31" t="str">
        <f t="shared" si="8"/>
        <v>- -</v>
      </c>
    </row>
    <row r="10" spans="2:21" ht="18" customHeight="1" x14ac:dyDescent="0.25">
      <c r="B10" s="32" t="str">
        <f>'Data Entry'!A10</f>
        <v>5. Cases Involving Secure Detention</v>
      </c>
      <c r="C10" s="33">
        <f>'Data Entry'!C10</f>
        <v>470</v>
      </c>
      <c r="D10" s="34">
        <f>IF(((AND(C68&gt;0,C10&gt;0))),(C10/(C68)),0)</f>
        <v>12.699270467441233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470</v>
      </c>
      <c r="Q10" s="42">
        <f>(C$68*L68)-C10</f>
        <v>3231</v>
      </c>
      <c r="R10" s="42">
        <f t="shared" si="5"/>
        <v>3701</v>
      </c>
      <c r="S10" s="30">
        <f t="shared" si="6"/>
        <v>0</v>
      </c>
      <c r="T10" s="30">
        <f t="shared" si="7"/>
        <v>0</v>
      </c>
      <c r="U10" s="31" t="str">
        <f t="shared" si="8"/>
        <v>- -</v>
      </c>
    </row>
    <row r="11" spans="2:21" ht="18" customHeight="1" x14ac:dyDescent="0.25">
      <c r="B11" s="32" t="str">
        <f>'Data Entry'!A11</f>
        <v>6. Cases Petitioned (Charge Filed)</v>
      </c>
      <c r="C11" s="33">
        <f>'Data Entry'!C11</f>
        <v>2012</v>
      </c>
      <c r="D11" s="34">
        <f>IF(((AND(C68&gt;0,C11&gt;0))),(C11/(C68)),0)</f>
        <v>54.363685490408002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2012</v>
      </c>
      <c r="Q11" s="42">
        <f>(C$68*L68)-C11</f>
        <v>1689</v>
      </c>
      <c r="R11" s="42">
        <f t="shared" si="5"/>
        <v>3701</v>
      </c>
      <c r="S11" s="30">
        <f t="shared" si="6"/>
        <v>0</v>
      </c>
      <c r="T11" s="30">
        <f t="shared" si="7"/>
        <v>0</v>
      </c>
      <c r="U11" s="31" t="str">
        <f t="shared" si="8"/>
        <v>- -</v>
      </c>
    </row>
    <row r="12" spans="2:21" ht="18" customHeight="1" x14ac:dyDescent="0.25">
      <c r="B12" s="32" t="str">
        <f>'Data Entry'!A12</f>
        <v>7. Cases Resulting in Delinquent Findings</v>
      </c>
      <c r="C12" s="33">
        <f>'Data Entry'!C12</f>
        <v>1284</v>
      </c>
      <c r="D12" s="34">
        <f>IF(((AND(C69&gt;0,C12&gt;0))),(C12/(C69)),0)</f>
        <v>63.817097415506957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1284</v>
      </c>
      <c r="Q12" s="42">
        <f>(C69*L69)-C12</f>
        <v>728</v>
      </c>
      <c r="R12" s="42">
        <f t="shared" si="5"/>
        <v>2012</v>
      </c>
      <c r="S12" s="30">
        <f t="shared" si="6"/>
        <v>0</v>
      </c>
      <c r="T12" s="30">
        <f t="shared" si="7"/>
        <v>0</v>
      </c>
      <c r="U12" s="31" t="str">
        <f t="shared" si="8"/>
        <v>- -</v>
      </c>
    </row>
    <row r="13" spans="2:21" ht="18" customHeight="1" x14ac:dyDescent="0.25">
      <c r="B13" s="32" t="str">
        <f>'Data Entry'!A13</f>
        <v>8. Cases Resulting in Probation Placement</v>
      </c>
      <c r="C13" s="33">
        <f>'Data Entry'!C13</f>
        <v>1376</v>
      </c>
      <c r="D13" s="34">
        <f>IF(((AND(C70&gt;0,C13&gt;0))),(C13/(C70)),0)</f>
        <v>107.16510903426791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1376</v>
      </c>
      <c r="Q13" s="42">
        <f>(C70*L70)-C13</f>
        <v>-92</v>
      </c>
      <c r="R13" s="42">
        <f t="shared" si="5"/>
        <v>1284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376</v>
      </c>
      <c r="Q14" s="42">
        <f>(C70*L70)-C14</f>
        <v>908</v>
      </c>
      <c r="R14" s="42">
        <f t="shared" si="5"/>
        <v>1284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9</v>
      </c>
      <c r="D15" s="34">
        <f>IF(((AND(C69&gt;0,C15&gt;0))),((C15/(C69))),0)</f>
        <v>0.44731610337972166</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9</v>
      </c>
      <c r="Q15" s="42">
        <f>(C69*L69)-C15</f>
        <v>2003</v>
      </c>
      <c r="R15" s="42">
        <f t="shared" si="5"/>
        <v>2012</v>
      </c>
      <c r="S15" s="30">
        <f t="shared" si="6"/>
        <v>0</v>
      </c>
      <c r="T15" s="30">
        <f t="shared" si="7"/>
        <v>0</v>
      </c>
      <c r="U15" s="31" t="str">
        <f t="shared" si="8"/>
        <v>- -</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0</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0</v>
      </c>
      <c r="E42" s="56">
        <f>MAX(C42:D42)</f>
        <v>591.58799999999997</v>
      </c>
      <c r="G42" s="1" t="str">
        <f>B42</f>
        <v>per 1000 youth</v>
      </c>
      <c r="L42" s="57">
        <v>1000</v>
      </c>
      <c r="M42" s="57"/>
      <c r="R42" s="49"/>
    </row>
    <row r="43" spans="2:18" ht="15" hidden="1" customHeight="1" x14ac:dyDescent="0.25">
      <c r="B43" s="49" t="s">
        <v>88</v>
      </c>
      <c r="C43" s="56">
        <f>C7/100</f>
        <v>26.06</v>
      </c>
      <c r="D43" s="56">
        <f>E7/100</f>
        <v>0.02</v>
      </c>
      <c r="E43" s="56">
        <f>MAX(C43:D43,0)</f>
        <v>26.06</v>
      </c>
      <c r="G43" s="1" t="str">
        <f>B43</f>
        <v>per 100 arrests</v>
      </c>
      <c r="L43" s="57">
        <v>100</v>
      </c>
      <c r="M43" s="57"/>
      <c r="R43" s="49"/>
    </row>
    <row r="44" spans="2:18" ht="15" hidden="1" customHeight="1" x14ac:dyDescent="0.25">
      <c r="B44" s="49" t="s">
        <v>89</v>
      </c>
      <c r="C44" s="56">
        <f>C8/100</f>
        <v>37.01</v>
      </c>
      <c r="D44" s="56">
        <f>E8/100</f>
        <v>0</v>
      </c>
      <c r="E44" s="56">
        <f>MAX(C44:D44,0)</f>
        <v>37.01</v>
      </c>
      <c r="G44" s="1" t="str">
        <f>B44</f>
        <v>per 100 referrals</v>
      </c>
      <c r="L44" s="57">
        <v>100</v>
      </c>
      <c r="M44" s="57"/>
      <c r="R44" s="49"/>
    </row>
    <row r="45" spans="2:18" ht="15" hidden="1" customHeight="1" x14ac:dyDescent="0.25">
      <c r="B45" s="49" t="s">
        <v>90</v>
      </c>
      <c r="C45" s="49">
        <f>C11/100</f>
        <v>20.12</v>
      </c>
      <c r="D45" s="49">
        <f>E11/100</f>
        <v>0</v>
      </c>
      <c r="E45" s="56">
        <f>MAX(C45:D45,0)</f>
        <v>20.12</v>
      </c>
      <c r="G45" s="1" t="str">
        <f>B45</f>
        <v>per 100 youth petitioned</v>
      </c>
      <c r="L45" s="57">
        <v>100</v>
      </c>
      <c r="M45" s="57"/>
      <c r="R45" s="49"/>
    </row>
    <row r="46" spans="2:18" ht="15" hidden="1" customHeight="1" x14ac:dyDescent="0.25">
      <c r="B46" s="49" t="s">
        <v>91</v>
      </c>
      <c r="C46" s="49">
        <f>C12/100</f>
        <v>12.84</v>
      </c>
      <c r="D46" s="49">
        <f>E12/100</f>
        <v>0</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0</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26.06</v>
      </c>
      <c r="D49" s="49">
        <f t="shared" si="9"/>
        <v>0.02</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0</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0</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0</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0</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0.02</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0</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0</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0</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0</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0.02</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0</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0</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0</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0</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0.02</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0</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0</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0</v>
      </c>
      <c r="E70" s="56">
        <f>MAX(C70:D70)</f>
        <v>12.84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4" t="str">
        <f>'Data Entry'!H5</f>
        <v>American Indian or Alaska Native</v>
      </c>
      <c r="G1" s="214"/>
      <c r="H1" s="214"/>
      <c r="I1" s="214"/>
      <c r="J1" s="214"/>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All Reporting Counties</v>
      </c>
      <c r="C3" s="22"/>
      <c r="D3" s="22"/>
      <c r="E3" s="22"/>
      <c r="F3" s="22"/>
      <c r="G3" s="7"/>
      <c r="H3" s="7"/>
      <c r="I3" s="7"/>
      <c r="J3" s="7"/>
      <c r="K3" s="7"/>
      <c r="N3" s="213" t="s">
        <v>31</v>
      </c>
      <c r="O3" s="213"/>
      <c r="P3" s="213"/>
      <c r="Q3" s="213"/>
      <c r="R3" s="213"/>
      <c r="S3" s="213"/>
      <c r="T3" s="213"/>
      <c r="U3" s="213"/>
    </row>
    <row r="4" spans="2:21" ht="8.25" customHeight="1" x14ac:dyDescent="0.25">
      <c r="B4" s="4"/>
      <c r="C4" s="23"/>
      <c r="D4" s="23"/>
      <c r="E4" s="23"/>
      <c r="F4" s="23"/>
      <c r="G4" s="8"/>
      <c r="H4" s="8"/>
      <c r="I4" s="8"/>
      <c r="N4" s="213"/>
      <c r="O4" s="213"/>
      <c r="P4" s="213"/>
      <c r="Q4" s="213"/>
      <c r="R4" s="213"/>
      <c r="S4" s="213"/>
      <c r="T4" s="213"/>
      <c r="U4" s="213"/>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10-16) </v>
      </c>
      <c r="C6" s="33">
        <f>'Data Entry'!C6</f>
        <v>591588</v>
      </c>
      <c r="D6" s="34"/>
      <c r="E6" s="33">
        <f>'Data Entry'!H6</f>
        <v>6872</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2. Juvenile Arrests</v>
      </c>
      <c r="C7" s="33">
        <f>'Data Entry'!C7</f>
        <v>2606</v>
      </c>
      <c r="D7" s="34">
        <f>IF((AND(C66&gt;0,C7&gt;0)),(C7/C66),0)</f>
        <v>4.4050927334563923</v>
      </c>
      <c r="E7" s="33">
        <f>'Data Entry'!H7</f>
        <v>24</v>
      </c>
      <c r="F7" s="34">
        <f>IF((AND($E$7&gt;0,$D$66&gt;0)),($E$7/$D$66),0)</f>
        <v>3.4924330616996508</v>
      </c>
      <c r="G7" s="39" t="str">
        <f t="shared" ref="G7:G15" si="0">IF(L$6=100,"*",IF(M7=FALSE,"--",IF(K7=20,"**",($F7/$D7))))</f>
        <v>*</v>
      </c>
      <c r="H7" s="40"/>
      <c r="I7" s="41"/>
      <c r="J7" s="40">
        <f>IF((ABS($U7)&gt;Defaults!D$7),1,2)</f>
        <v>2</v>
      </c>
      <c r="K7" s="39">
        <f>IF((AND(N7&gt;Defaults!B$12,(N7+O7)&gt;Defaults!B$13, P7 &gt; Defaults!B$12, (P7+Q7) &gt; Defaults!B$13)),1,20)</f>
        <v>1</v>
      </c>
      <c r="L7" s="1">
        <f t="shared" ref="L7:L15" si="1">(J7*K7+L$6)-1</f>
        <v>101</v>
      </c>
      <c r="M7" s="1" t="b">
        <f t="shared" ref="M7:M15" si="2">(ISNUMBER(J7))</f>
        <v>1</v>
      </c>
      <c r="N7" s="42">
        <f t="shared" ref="N7:N15" si="3">E7</f>
        <v>24</v>
      </c>
      <c r="O7" s="42">
        <f>E6-E7</f>
        <v>6848</v>
      </c>
      <c r="P7" s="42">
        <f t="shared" ref="P7:P15" si="4">C7</f>
        <v>2606</v>
      </c>
      <c r="Q7" s="42">
        <f>C6-C7</f>
        <v>588982</v>
      </c>
      <c r="R7" s="42">
        <f t="shared" ref="R7:R15" si="5">SUM(N7:Q7)</f>
        <v>598460</v>
      </c>
      <c r="S7" s="30">
        <f t="shared" ref="S7:S15" si="6">R7*((((N7*Q7)-(O7*P7))^2))</f>
        <v>8.238684330706304E+18</v>
      </c>
      <c r="T7" s="30">
        <f t="shared" ref="T7:T15" si="7">(N7+O7)*(P7+Q7)*(N7+P7)*(O7+Q7)</f>
        <v>6.370604168733014E+18</v>
      </c>
      <c r="U7" s="31">
        <f t="shared" ref="U7:U15" si="8">IF((S7&gt;0),S7/T7,"- -")</f>
        <v>1.2932343797377721</v>
      </c>
    </row>
    <row r="8" spans="2:21" ht="18" customHeight="1" x14ac:dyDescent="0.25">
      <c r="B8" s="32" t="str">
        <f>'Data Entry'!A8</f>
        <v>3. Refer to Juvenile Court</v>
      </c>
      <c r="C8" s="33">
        <f>'Data Entry'!C8</f>
        <v>3701</v>
      </c>
      <c r="D8" s="34">
        <f>IF((AND(C67&gt;0,C8&gt;0)),(C8/C67),0)</f>
        <v>142.01841903300078</v>
      </c>
      <c r="E8" s="33">
        <f>'Data Entry'!H8</f>
        <v>58</v>
      </c>
      <c r="F8" s="34">
        <f>IF((AND($E$8&gt;0,$D$67&gt;0)),($E8/$D67),0)</f>
        <v>241.66666666666669</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58</v>
      </c>
      <c r="O8" s="42">
        <f>((D67*L67)-E8)+0.05</f>
        <v>-33.950000000000003</v>
      </c>
      <c r="P8" s="42">
        <f t="shared" si="4"/>
        <v>3701</v>
      </c>
      <c r="Q8" s="42">
        <f>(C$67*L67)-C8</f>
        <v>-1095</v>
      </c>
      <c r="R8" s="42">
        <f t="shared" si="5"/>
        <v>2630.05</v>
      </c>
      <c r="S8" s="30">
        <f t="shared" si="6"/>
        <v>10155278214134.934</v>
      </c>
      <c r="T8" s="30">
        <f t="shared" si="7"/>
        <v>-265972371552.61499</v>
      </c>
      <c r="U8" s="31">
        <f t="shared" si="8"/>
        <v>-38.181703441050843</v>
      </c>
    </row>
    <row r="9" spans="2:21" ht="18" customHeight="1" x14ac:dyDescent="0.25">
      <c r="B9" s="32" t="str">
        <f>'Data Entry'!A9</f>
        <v xml:space="preserve">4. Cases Diverted </v>
      </c>
      <c r="C9" s="33">
        <f>'Data Entry'!C9</f>
        <v>689</v>
      </c>
      <c r="D9" s="34">
        <f>IF((AND(C68&gt;0,C9&gt;0)),((C9/C68)),0)</f>
        <v>18.616590110780869</v>
      </c>
      <c r="E9" s="33">
        <f>'Data Entry'!H9</f>
        <v>2</v>
      </c>
      <c r="F9" s="34">
        <f>IF((AND($E$9&gt;0,$D$68&gt;0)),(($E$9/$D$68)),0)</f>
        <v>3.4482758620689657</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2</v>
      </c>
      <c r="O9" s="42">
        <f>(D$68*L68)-E9</f>
        <v>55.999999999999993</v>
      </c>
      <c r="P9" s="42">
        <f t="shared" si="4"/>
        <v>689</v>
      </c>
      <c r="Q9" s="42">
        <f>(C$68*L68)-C9</f>
        <v>3012</v>
      </c>
      <c r="R9" s="42">
        <f t="shared" si="5"/>
        <v>3759</v>
      </c>
      <c r="S9" s="30">
        <f t="shared" si="6"/>
        <v>3985117382399.998</v>
      </c>
      <c r="T9" s="30">
        <f t="shared" si="7"/>
        <v>455072384103.99994</v>
      </c>
      <c r="U9" s="31">
        <f t="shared" si="8"/>
        <v>8.7571066089768692</v>
      </c>
    </row>
    <row r="10" spans="2:21" ht="18" customHeight="1" x14ac:dyDescent="0.25">
      <c r="B10" s="32" t="str">
        <f>'Data Entry'!A10</f>
        <v>5. Cases Involving Secure Detention</v>
      </c>
      <c r="C10" s="33">
        <f>'Data Entry'!C10</f>
        <v>470</v>
      </c>
      <c r="D10" s="34">
        <f>IF(((AND(C68&gt;0,C10&gt;0))),(C10/(C68)),0)</f>
        <v>12.699270467441233</v>
      </c>
      <c r="E10" s="33">
        <f>'Data Entry'!H10</f>
        <v>2</v>
      </c>
      <c r="F10" s="34">
        <f>IF(((AND($E$10&gt;0,$D$68&gt;0))),($E$10/($D$68)),0)</f>
        <v>3.4482758620689657</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2</v>
      </c>
      <c r="O10" s="42">
        <f>(D$68*L68)-E10</f>
        <v>55.999999999999993</v>
      </c>
      <c r="P10" s="42">
        <f t="shared" si="4"/>
        <v>470</v>
      </c>
      <c r="Q10" s="42">
        <f>(C$68*L68)-C10</f>
        <v>3231</v>
      </c>
      <c r="R10" s="42">
        <f t="shared" si="5"/>
        <v>3759</v>
      </c>
      <c r="S10" s="30">
        <f t="shared" si="6"/>
        <v>1482324676475.9995</v>
      </c>
      <c r="T10" s="30">
        <f t="shared" si="7"/>
        <v>333034159311.99994</v>
      </c>
      <c r="U10" s="31">
        <f t="shared" si="8"/>
        <v>4.4509688721969729</v>
      </c>
    </row>
    <row r="11" spans="2:21" ht="18" customHeight="1" x14ac:dyDescent="0.25">
      <c r="B11" s="32" t="str">
        <f>'Data Entry'!A11</f>
        <v>6. Cases Petitioned (Charge Filed)</v>
      </c>
      <c r="C11" s="33">
        <f>'Data Entry'!C11</f>
        <v>2012</v>
      </c>
      <c r="D11" s="34">
        <f>IF(((AND(C68&gt;0,C11&gt;0))),(C11/(C68)),0)</f>
        <v>54.363685490408002</v>
      </c>
      <c r="E11" s="33">
        <f>'Data Entry'!H11</f>
        <v>23</v>
      </c>
      <c r="F11" s="34">
        <f>IF(((AND($E$11&gt;0,$D$68&gt;0))),($E$11/($D$68)),0)</f>
        <v>39.655172413793103</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23</v>
      </c>
      <c r="O11" s="42">
        <f>(D$68*L68)-E11</f>
        <v>34.999999999999993</v>
      </c>
      <c r="P11" s="42">
        <f t="shared" si="4"/>
        <v>2012</v>
      </c>
      <c r="Q11" s="42">
        <f>(C$68*L68)-C11</f>
        <v>1689</v>
      </c>
      <c r="R11" s="42">
        <f t="shared" si="5"/>
        <v>3759</v>
      </c>
      <c r="S11" s="30">
        <f t="shared" si="6"/>
        <v>3747175422710.9966</v>
      </c>
      <c r="T11" s="30">
        <f t="shared" si="7"/>
        <v>753093247719.99988</v>
      </c>
      <c r="U11" s="31">
        <f t="shared" si="8"/>
        <v>4.9757124155018273</v>
      </c>
    </row>
    <row r="12" spans="2:21" ht="18" customHeight="1" x14ac:dyDescent="0.25">
      <c r="B12" s="32" t="str">
        <f>'Data Entry'!A12</f>
        <v>7. Cases Resulting in Delinquent Findings</v>
      </c>
      <c r="C12" s="33">
        <f>'Data Entry'!C12</f>
        <v>1284</v>
      </c>
      <c r="D12" s="34">
        <f>IF(((AND(C69&gt;0,C12&gt;0))),(C12/(C69)),0)</f>
        <v>63.817097415506957</v>
      </c>
      <c r="E12" s="33">
        <f>'Data Entry'!H12</f>
        <v>18</v>
      </c>
      <c r="F12" s="34">
        <f>IF(((AND($D$69&gt;0,$E$12&gt;0))),(E12/(D69)),0)</f>
        <v>78.260869565217391</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18</v>
      </c>
      <c r="O12" s="42">
        <f>(D69*L69)-E12</f>
        <v>5</v>
      </c>
      <c r="P12" s="42">
        <f t="shared" si="4"/>
        <v>1284</v>
      </c>
      <c r="Q12" s="42">
        <f>(C69*L69)-C12</f>
        <v>728</v>
      </c>
      <c r="R12" s="42">
        <f t="shared" si="5"/>
        <v>2035</v>
      </c>
      <c r="S12" s="30">
        <f t="shared" si="6"/>
        <v>90915366960</v>
      </c>
      <c r="T12" s="30">
        <f t="shared" si="7"/>
        <v>44164241016</v>
      </c>
      <c r="U12" s="31">
        <f t="shared" si="8"/>
        <v>2.0585741964197419</v>
      </c>
    </row>
    <row r="13" spans="2:21" ht="18" customHeight="1" x14ac:dyDescent="0.25">
      <c r="B13" s="32" t="str">
        <f>'Data Entry'!A13</f>
        <v>8. Cases Resulting in Probation Placement</v>
      </c>
      <c r="C13" s="33">
        <f>'Data Entry'!C13</f>
        <v>1376</v>
      </c>
      <c r="D13" s="34">
        <f>IF(((AND(C70&gt;0,C13&gt;0))),(C13/(C70)),0)</f>
        <v>107.16510903426791</v>
      </c>
      <c r="E13" s="33">
        <f>'Data Entry'!H13</f>
        <v>34</v>
      </c>
      <c r="F13" s="34">
        <f>IF(((AND($D$70&gt;0,$E$13&gt;0))),($E$13/($D$70)),0)</f>
        <v>188.88888888888889</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34</v>
      </c>
      <c r="O13" s="42">
        <f>(D70*L70)-E13</f>
        <v>-16</v>
      </c>
      <c r="P13" s="42">
        <f t="shared" si="4"/>
        <v>1376</v>
      </c>
      <c r="Q13" s="42">
        <f>(C70*L70)-C13</f>
        <v>-92</v>
      </c>
      <c r="R13" s="42">
        <f t="shared" si="5"/>
        <v>1302</v>
      </c>
      <c r="S13" s="30">
        <f t="shared" si="6"/>
        <v>464497020288</v>
      </c>
      <c r="T13" s="30">
        <f t="shared" si="7"/>
        <v>-3519495360</v>
      </c>
      <c r="U13" s="31">
        <f t="shared" si="8"/>
        <v>-131.97830165288241</v>
      </c>
    </row>
    <row r="14" spans="2:21" ht="30.75" customHeight="1" x14ac:dyDescent="0.25">
      <c r="B14" s="32" t="str">
        <f>'Data Entry'!A14</f>
        <v xml:space="preserve">9. Cases Resulting in Confinement in Secure Juvenile Correctional Facilities </v>
      </c>
      <c r="C14" s="33">
        <f>'Data Entry'!C14</f>
        <v>376</v>
      </c>
      <c r="D14" s="34">
        <f>IF(((AND(C70&gt;0,C14&gt;0))), ((C14/(C70))),0)</f>
        <v>29.283489096573209</v>
      </c>
      <c r="E14" s="33">
        <f>'Data Entry'!H14</f>
        <v>4</v>
      </c>
      <c r="F14" s="34">
        <f>IF(((AND($D$70&gt;0,$E$14&gt;0))), (($E$14/($D$70))),0)</f>
        <v>22.222222222222221</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4</v>
      </c>
      <c r="O14" s="42">
        <f>(D70*L70)-E14</f>
        <v>14</v>
      </c>
      <c r="P14" s="42">
        <f t="shared" si="4"/>
        <v>376</v>
      </c>
      <c r="Q14" s="42">
        <f>(C70*L70)-C14</f>
        <v>908</v>
      </c>
      <c r="R14" s="42">
        <f t="shared" si="5"/>
        <v>1302</v>
      </c>
      <c r="S14" s="30">
        <f t="shared" si="6"/>
        <v>3467778048</v>
      </c>
      <c r="T14" s="30">
        <f t="shared" si="7"/>
        <v>8097520320</v>
      </c>
      <c r="U14" s="31">
        <f t="shared" si="8"/>
        <v>0.42825184883265599</v>
      </c>
    </row>
    <row r="15" spans="2:21" ht="15.75" customHeight="1" x14ac:dyDescent="0.25">
      <c r="B15" s="32" t="str">
        <f>'Data Entry'!A15</f>
        <v xml:space="preserve">10. Cases Transferred to Adult Court </v>
      </c>
      <c r="C15" s="33">
        <f>'Data Entry'!C15</f>
        <v>9</v>
      </c>
      <c r="D15" s="34">
        <f>IF(((AND(C69&gt;0,C15&gt;0))),((C15/(C69))),0)</f>
        <v>0.44731610337972166</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23</v>
      </c>
      <c r="P15" s="42">
        <f t="shared" si="4"/>
        <v>9</v>
      </c>
      <c r="Q15" s="42">
        <f>(C69*L69)-C15</f>
        <v>2003</v>
      </c>
      <c r="R15" s="42">
        <f t="shared" si="5"/>
        <v>2035</v>
      </c>
      <c r="S15" s="30">
        <f t="shared" si="6"/>
        <v>87197715</v>
      </c>
      <c r="T15" s="30">
        <f t="shared" si="7"/>
        <v>843796584</v>
      </c>
      <c r="U15" s="31">
        <f t="shared" si="8"/>
        <v>0.10333973454436265</v>
      </c>
    </row>
    <row r="16" spans="2:21" ht="12" customHeight="1" x14ac:dyDescent="0.25">
      <c r="B16" s="43" t="s">
        <v>93</v>
      </c>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94</v>
      </c>
      <c r="L17" s="1" t="s">
        <v>95</v>
      </c>
      <c r="N17" s="21"/>
      <c r="O17" s="21"/>
      <c r="P17" s="21"/>
      <c r="Q17" s="21"/>
      <c r="R17" s="21"/>
      <c r="S17" s="30"/>
      <c r="T17" s="30"/>
      <c r="U17" s="31"/>
    </row>
    <row r="18" spans="2:21" ht="15" customHeight="1" x14ac:dyDescent="0.25">
      <c r="B18" s="1" t="s">
        <v>52</v>
      </c>
    </row>
    <row r="19" spans="2:21" ht="15" customHeight="1" x14ac:dyDescent="0.25">
      <c r="B19" s="1" t="s">
        <v>53</v>
      </c>
      <c r="D19" s="45"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63</v>
      </c>
      <c r="K25" s="1" t="s">
        <v>64</v>
      </c>
      <c r="L25" s="1" t="s">
        <v>65</v>
      </c>
      <c r="N25" s="21"/>
      <c r="O25" s="21" t="b">
        <f>ISBLANK(N12)</f>
        <v>0</v>
      </c>
      <c r="P25" s="21"/>
      <c r="Q25" s="21"/>
      <c r="R25" s="21"/>
    </row>
    <row r="26" spans="2:21" ht="15" customHeight="1" x14ac:dyDescent="0.25">
      <c r="B26" s="47" t="s">
        <v>66</v>
      </c>
      <c r="F26" s="47" t="s">
        <v>67</v>
      </c>
      <c r="G26" s="47"/>
      <c r="H26" s="47"/>
      <c r="I26" s="47"/>
      <c r="J26" s="47"/>
      <c r="K26" s="48" t="s">
        <v>62</v>
      </c>
      <c r="L26" s="48" t="s">
        <v>68</v>
      </c>
      <c r="M26" s="48"/>
      <c r="R26" s="49"/>
    </row>
    <row r="27" spans="2:21" ht="15" customHeight="1" x14ac:dyDescent="0.25">
      <c r="B27" s="50" t="s">
        <v>69</v>
      </c>
      <c r="C27" s="50"/>
      <c r="D27" s="50"/>
      <c r="E27" s="50"/>
      <c r="F27" s="50" t="str">
        <f>B66</f>
        <v>per 1000 youth</v>
      </c>
      <c r="G27" s="50"/>
      <c r="H27" s="50"/>
      <c r="I27" s="50"/>
      <c r="J27" s="50">
        <f>F66</f>
        <v>0</v>
      </c>
      <c r="K27" s="50" t="s">
        <v>60</v>
      </c>
      <c r="L27" s="51" t="s">
        <v>70</v>
      </c>
      <c r="R27" s="49"/>
    </row>
    <row r="28" spans="2:21" ht="15" customHeight="1" x14ac:dyDescent="0.25">
      <c r="B28" s="50" t="s">
        <v>71</v>
      </c>
      <c r="C28" s="50"/>
      <c r="D28" s="50"/>
      <c r="E28" s="50"/>
      <c r="F28" s="52" t="str">
        <f>B67</f>
        <v>per 100 arrests</v>
      </c>
      <c r="G28" s="52"/>
      <c r="H28" s="52"/>
      <c r="I28" s="52"/>
      <c r="J28" s="52"/>
      <c r="K28" s="52" t="s">
        <v>58</v>
      </c>
      <c r="L28" s="53" t="s">
        <v>72</v>
      </c>
      <c r="R28" s="49"/>
    </row>
    <row r="29" spans="2:21" ht="15" customHeight="1" x14ac:dyDescent="0.25">
      <c r="B29" s="52" t="s">
        <v>73</v>
      </c>
      <c r="C29" s="52"/>
      <c r="D29" s="52"/>
      <c r="E29" s="52"/>
      <c r="F29" s="52" t="str">
        <f>B68</f>
        <v>per 100 referrals</v>
      </c>
      <c r="G29" s="52"/>
      <c r="H29" s="52"/>
      <c r="I29" s="52"/>
      <c r="J29" s="52"/>
      <c r="K29" s="52"/>
      <c r="L29" s="53"/>
      <c r="R29" s="49"/>
    </row>
    <row r="30" spans="2:21" ht="15" customHeight="1" x14ac:dyDescent="0.25">
      <c r="B30" s="52" t="s">
        <v>74</v>
      </c>
      <c r="C30" s="52"/>
      <c r="D30" s="52"/>
      <c r="E30" s="52"/>
      <c r="F30" s="52" t="str">
        <f>B68</f>
        <v>per 100 referrals</v>
      </c>
      <c r="G30" s="52"/>
      <c r="H30" s="52"/>
      <c r="I30" s="52"/>
      <c r="J30" s="52"/>
      <c r="K30" s="52"/>
      <c r="L30" s="53"/>
      <c r="N30" s="1" t="b">
        <f>ISNUMBER(J14)</f>
        <v>1</v>
      </c>
      <c r="R30" s="49"/>
    </row>
    <row r="31" spans="2:21" ht="15" customHeight="1" x14ac:dyDescent="0.25">
      <c r="B31" s="52" t="s">
        <v>75</v>
      </c>
      <c r="C31" s="52"/>
      <c r="D31" s="52"/>
      <c r="E31" s="52"/>
      <c r="F31" s="52" t="str">
        <f>B68</f>
        <v>per 100 referrals</v>
      </c>
      <c r="G31" s="52"/>
      <c r="H31" s="52"/>
      <c r="I31" s="52"/>
      <c r="J31" s="52"/>
      <c r="K31" s="52"/>
      <c r="L31" s="53"/>
      <c r="R31" s="49"/>
    </row>
    <row r="32" spans="2:21" ht="15" customHeight="1" x14ac:dyDescent="0.25">
      <c r="B32" s="52" t="s">
        <v>76</v>
      </c>
      <c r="C32" s="52"/>
      <c r="D32" s="52"/>
      <c r="E32" s="52"/>
      <c r="F32" s="52" t="str">
        <f>B69</f>
        <v>per 100 youth petitioned</v>
      </c>
      <c r="G32" s="52"/>
      <c r="H32" s="52"/>
      <c r="I32" s="52"/>
      <c r="J32" s="52"/>
      <c r="K32" s="52"/>
      <c r="L32" s="53"/>
      <c r="R32" s="49"/>
    </row>
    <row r="33" spans="2:18" ht="15" customHeight="1" x14ac:dyDescent="0.25">
      <c r="B33" s="52" t="s">
        <v>77</v>
      </c>
      <c r="C33" s="52"/>
      <c r="D33" s="52"/>
      <c r="E33" s="52"/>
      <c r="F33" s="52" t="str">
        <f>B70</f>
        <v>per 100 youth found delinquent</v>
      </c>
      <c r="G33" s="52"/>
      <c r="H33" s="52"/>
      <c r="I33" s="52"/>
      <c r="J33" s="52"/>
      <c r="K33" s="52"/>
      <c r="L33" s="53"/>
      <c r="R33" s="49"/>
    </row>
    <row r="34" spans="2:18" ht="15" customHeight="1" x14ac:dyDescent="0.25">
      <c r="B34" s="52" t="s">
        <v>78</v>
      </c>
      <c r="C34" s="52"/>
      <c r="D34" s="52"/>
      <c r="E34" s="52"/>
      <c r="F34" s="52" t="str">
        <f>B70</f>
        <v>per 100 youth found delinquent</v>
      </c>
      <c r="G34" s="52"/>
      <c r="H34" s="52"/>
      <c r="I34" s="52"/>
      <c r="J34" s="52"/>
      <c r="K34" s="52"/>
      <c r="L34" s="53"/>
      <c r="R34" s="49"/>
    </row>
    <row r="35" spans="2:18" ht="15" customHeight="1" x14ac:dyDescent="0.25">
      <c r="B35" s="52" t="s">
        <v>79</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2" t="s">
        <v>80</v>
      </c>
      <c r="C40" s="212"/>
      <c r="D40" s="212"/>
      <c r="E40" s="212"/>
      <c r="F40" s="212"/>
      <c r="G40" s="212"/>
      <c r="H40" s="212"/>
      <c r="I40" s="212"/>
      <c r="J40" s="212"/>
      <c r="K40" s="8"/>
      <c r="R40" s="49"/>
    </row>
    <row r="41" spans="2:18" ht="15" hidden="1" customHeight="1" x14ac:dyDescent="0.25">
      <c r="B41" s="54" t="s">
        <v>81</v>
      </c>
      <c r="C41" s="54" t="s">
        <v>82</v>
      </c>
      <c r="D41" s="55" t="s">
        <v>83</v>
      </c>
      <c r="E41" s="54" t="s">
        <v>84</v>
      </c>
      <c r="G41" s="54" t="s">
        <v>85</v>
      </c>
      <c r="H41" s="54"/>
      <c r="I41" s="54"/>
      <c r="L41" s="1" t="s">
        <v>86</v>
      </c>
      <c r="R41" s="49"/>
    </row>
    <row r="42" spans="2:18" ht="15" hidden="1" customHeight="1" x14ac:dyDescent="0.25">
      <c r="B42" s="49" t="s">
        <v>87</v>
      </c>
      <c r="C42" s="56">
        <f>C6/1000</f>
        <v>591.58799999999997</v>
      </c>
      <c r="D42" s="56">
        <f>E6/1000</f>
        <v>6.8719999999999999</v>
      </c>
      <c r="E42" s="56">
        <f>MAX(C42:D42)</f>
        <v>591.58799999999997</v>
      </c>
      <c r="G42" s="1" t="str">
        <f>B42</f>
        <v>per 1000 youth</v>
      </c>
      <c r="L42" s="57">
        <v>1000</v>
      </c>
      <c r="M42" s="57"/>
      <c r="R42" s="49"/>
    </row>
    <row r="43" spans="2:18" ht="15" hidden="1" customHeight="1" x14ac:dyDescent="0.25">
      <c r="B43" s="49" t="s">
        <v>88</v>
      </c>
      <c r="C43" s="56">
        <f>C7/100</f>
        <v>26.06</v>
      </c>
      <c r="D43" s="56">
        <f>E7/100</f>
        <v>0.24</v>
      </c>
      <c r="E43" s="56">
        <f>MAX(C43:D43,0)</f>
        <v>26.06</v>
      </c>
      <c r="G43" s="1" t="str">
        <f>B43</f>
        <v>per 100 arrests</v>
      </c>
      <c r="L43" s="57">
        <v>100</v>
      </c>
      <c r="M43" s="57"/>
      <c r="R43" s="49"/>
    </row>
    <row r="44" spans="2:18" ht="15" hidden="1" customHeight="1" x14ac:dyDescent="0.25">
      <c r="B44" s="49" t="s">
        <v>89</v>
      </c>
      <c r="C44" s="56">
        <f>C8/100</f>
        <v>37.01</v>
      </c>
      <c r="D44" s="56">
        <f>E8/100</f>
        <v>0.57999999999999996</v>
      </c>
      <c r="E44" s="56">
        <f>MAX(C44:D44,0)</f>
        <v>37.01</v>
      </c>
      <c r="G44" s="1" t="str">
        <f>B44</f>
        <v>per 100 referrals</v>
      </c>
      <c r="L44" s="57">
        <v>100</v>
      </c>
      <c r="M44" s="57"/>
      <c r="R44" s="49"/>
    </row>
    <row r="45" spans="2:18" ht="15" hidden="1" customHeight="1" x14ac:dyDescent="0.25">
      <c r="B45" s="49" t="s">
        <v>90</v>
      </c>
      <c r="C45" s="49">
        <f>C11/100</f>
        <v>20.12</v>
      </c>
      <c r="D45" s="49">
        <f>E11/100</f>
        <v>0.23</v>
      </c>
      <c r="E45" s="56">
        <f>MAX(C45:D45,0)</f>
        <v>20.12</v>
      </c>
      <c r="G45" s="1" t="str">
        <f>B45</f>
        <v>per 100 youth petitioned</v>
      </c>
      <c r="L45" s="57">
        <v>100</v>
      </c>
      <c r="M45" s="57"/>
      <c r="R45" s="49"/>
    </row>
    <row r="46" spans="2:18" ht="15" hidden="1" customHeight="1" x14ac:dyDescent="0.25">
      <c r="B46" s="49" t="s">
        <v>91</v>
      </c>
      <c r="C46" s="49">
        <f>C12/100</f>
        <v>12.84</v>
      </c>
      <c r="D46" s="49">
        <f>E12/100</f>
        <v>0.18</v>
      </c>
      <c r="E46" s="56">
        <f>MAX(C46:D46)</f>
        <v>12.84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591.58799999999997</v>
      </c>
      <c r="D48" s="56">
        <f>D42</f>
        <v>6.8719999999999999</v>
      </c>
      <c r="E48" s="56">
        <f>MAX(C48:D48)</f>
        <v>591.58799999999997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26.06</v>
      </c>
      <c r="D49" s="49">
        <f t="shared" si="9"/>
        <v>0.24</v>
      </c>
      <c r="E49" s="49">
        <f>MAX(C49:D49)</f>
        <v>26.06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37.01</v>
      </c>
      <c r="D50" s="49">
        <f t="shared" si="9"/>
        <v>0.57999999999999996</v>
      </c>
      <c r="E50" s="49">
        <f>MAX(C50:D50)</f>
        <v>37.01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20.12</v>
      </c>
      <c r="D51" s="49">
        <f>IF(($E45&gt;0),D45,D44)</f>
        <v>0.23</v>
      </c>
      <c r="E51" s="49">
        <f>MAX(C51:D51)</f>
        <v>20.12</v>
      </c>
      <c r="G51" s="1" t="str">
        <f>G45</f>
        <v>per 100 youth petitioned</v>
      </c>
      <c r="L51" s="58">
        <f>IF(($E45&gt;0),L45,L44)</f>
        <v>100</v>
      </c>
      <c r="M51" s="58"/>
    </row>
    <row r="52" spans="2:18" ht="15" hidden="1" customHeight="1" x14ac:dyDescent="0.25">
      <c r="B52" s="49" t="str">
        <f>IF(($E46&gt;0),B46,B45)</f>
        <v>per 100 youth found delinquent</v>
      </c>
      <c r="C52" s="49">
        <f>IF(($E46&gt;0),C46,C45)</f>
        <v>12.84</v>
      </c>
      <c r="D52" s="49">
        <f>IF(($E46&gt;0),D46,D45)</f>
        <v>0.18</v>
      </c>
      <c r="E52" s="56">
        <f>MAX(C52:D52)</f>
        <v>12.84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591.58799999999997</v>
      </c>
      <c r="D54" s="56">
        <f>D48</f>
        <v>6.8719999999999999</v>
      </c>
      <c r="E54" s="56">
        <f>MAX(C54:D54)</f>
        <v>591.58799999999997</v>
      </c>
      <c r="G54" s="1" t="str">
        <f>G48</f>
        <v>per 1000 youth</v>
      </c>
      <c r="L54" s="58">
        <f>L48</f>
        <v>1000</v>
      </c>
      <c r="M54" s="58"/>
    </row>
    <row r="55" spans="2:18" ht="15" hidden="1" customHeight="1" x14ac:dyDescent="0.25">
      <c r="B55" s="49" t="str">
        <f t="shared" ref="B55:D56" si="10">IF(($E49&gt;0),B49,B48)</f>
        <v>per 100 arrests</v>
      </c>
      <c r="C55" s="49">
        <f t="shared" si="10"/>
        <v>26.06</v>
      </c>
      <c r="D55" s="49">
        <f t="shared" si="10"/>
        <v>0.24</v>
      </c>
      <c r="E55" s="49">
        <f>MAX(C55:D55)</f>
        <v>26.06</v>
      </c>
      <c r="G55" s="1" t="str">
        <f>G49</f>
        <v>per 100 arrests</v>
      </c>
      <c r="L55" s="58">
        <f>IF(($E49&gt;0),L49,L48)</f>
        <v>100</v>
      </c>
      <c r="M55" s="58"/>
    </row>
    <row r="56" spans="2:18" ht="15" hidden="1" customHeight="1" x14ac:dyDescent="0.25">
      <c r="B56" s="49" t="str">
        <f t="shared" si="10"/>
        <v>per 100 referrals</v>
      </c>
      <c r="C56" s="49">
        <f t="shared" si="10"/>
        <v>37.01</v>
      </c>
      <c r="D56" s="49">
        <f t="shared" si="10"/>
        <v>0.57999999999999996</v>
      </c>
      <c r="E56" s="49">
        <f>MAX(C56:D56)</f>
        <v>37.01</v>
      </c>
      <c r="G56" s="1" t="str">
        <f>G50</f>
        <v>per 100 referrals</v>
      </c>
      <c r="L56" s="58">
        <f>IF(($E50&gt;0),L50,L49)</f>
        <v>100</v>
      </c>
      <c r="M56" s="58"/>
    </row>
    <row r="57" spans="2:18" ht="15" hidden="1" customHeight="1" x14ac:dyDescent="0.25">
      <c r="B57" s="49" t="str">
        <f>IF(($E51&gt;0),B51,B49)</f>
        <v>per 100 youth petitioned</v>
      </c>
      <c r="C57" s="49">
        <f>IF(($E51&gt;0),C51,C50)</f>
        <v>20.12</v>
      </c>
      <c r="D57" s="49">
        <f>IF(($E51&gt;0),D51,D50)</f>
        <v>0.23</v>
      </c>
      <c r="E57" s="49">
        <f>MAX(C57:D57)</f>
        <v>20.12</v>
      </c>
      <c r="G57" s="1" t="str">
        <f>G51</f>
        <v>per 100 youth petitioned</v>
      </c>
      <c r="L57" s="58">
        <f>IF(($E51&gt;0),L51,L50)</f>
        <v>100</v>
      </c>
      <c r="M57" s="58"/>
    </row>
    <row r="58" spans="2:18" ht="15" hidden="1" customHeight="1" x14ac:dyDescent="0.25">
      <c r="B58" s="49" t="str">
        <f>IF(($E52&gt;0),B52,B51)</f>
        <v>per 100 youth found delinquent</v>
      </c>
      <c r="C58" s="49">
        <f>IF(($E52&gt;0),C52,C51)</f>
        <v>12.84</v>
      </c>
      <c r="D58" s="49">
        <f>IF(($E52&gt;0),D52,D51)</f>
        <v>0.18</v>
      </c>
      <c r="E58" s="56">
        <f>MAX(C58:D58)</f>
        <v>12.84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591.58799999999997</v>
      </c>
      <c r="D60" s="56">
        <f>D54</f>
        <v>6.8719999999999999</v>
      </c>
      <c r="E60" s="56">
        <f>MAX(C60:D60)</f>
        <v>591.58799999999997</v>
      </c>
      <c r="G60" s="1" t="str">
        <f>G54</f>
        <v>per 1000 youth</v>
      </c>
      <c r="L60" s="58">
        <f>L54</f>
        <v>1000</v>
      </c>
      <c r="M60" s="58"/>
    </row>
    <row r="61" spans="2:18" ht="15" hidden="1" customHeight="1" x14ac:dyDescent="0.25">
      <c r="B61" s="49" t="str">
        <f t="shared" ref="B61:D62" si="11">IF(($E55&gt;0),B55,B54)</f>
        <v>per 100 arrests</v>
      </c>
      <c r="C61" s="49">
        <f t="shared" si="11"/>
        <v>26.06</v>
      </c>
      <c r="D61" s="49">
        <f t="shared" si="11"/>
        <v>0.24</v>
      </c>
      <c r="E61" s="49">
        <f>MAX(C61:D61)</f>
        <v>26.06</v>
      </c>
      <c r="G61" s="1" t="str">
        <f>G55</f>
        <v>per 100 arrests</v>
      </c>
      <c r="L61" s="58">
        <f>IF(($E55&gt;0),L55,L54)</f>
        <v>100</v>
      </c>
      <c r="M61" s="58"/>
    </row>
    <row r="62" spans="2:18" ht="15" hidden="1" customHeight="1" x14ac:dyDescent="0.25">
      <c r="B62" s="49" t="str">
        <f t="shared" si="11"/>
        <v>per 100 referrals</v>
      </c>
      <c r="C62" s="49">
        <f t="shared" si="11"/>
        <v>37.01</v>
      </c>
      <c r="D62" s="49">
        <f t="shared" si="11"/>
        <v>0.57999999999999996</v>
      </c>
      <c r="E62" s="49">
        <f>MAX(C62:D62)</f>
        <v>37.01</v>
      </c>
      <c r="G62" s="1" t="str">
        <f>G56</f>
        <v>per 100 referrals</v>
      </c>
      <c r="L62" s="58">
        <f>IF(($E56&gt;0),L56,L55)</f>
        <v>100</v>
      </c>
      <c r="M62" s="58"/>
    </row>
    <row r="63" spans="2:18" ht="15" hidden="1" customHeight="1" x14ac:dyDescent="0.25">
      <c r="B63" s="49" t="str">
        <f>IF(($E57&gt;0),B57,B55)</f>
        <v>per 100 youth petitioned</v>
      </c>
      <c r="C63" s="49">
        <f>IF(($E57&gt;0),C57,C56)</f>
        <v>20.12</v>
      </c>
      <c r="D63" s="49">
        <f>IF(($E57&gt;0),D57,D56)</f>
        <v>0.23</v>
      </c>
      <c r="E63" s="49">
        <f>MAX(C63:D63)</f>
        <v>20.12</v>
      </c>
      <c r="G63" s="1" t="str">
        <f>G57</f>
        <v>per 100 youth petitioned</v>
      </c>
      <c r="L63" s="58">
        <f>IF(($E57&gt;0),L57,L56)</f>
        <v>100</v>
      </c>
      <c r="M63" s="58"/>
    </row>
    <row r="64" spans="2:18" ht="15" hidden="1" customHeight="1" x14ac:dyDescent="0.25">
      <c r="B64" s="49" t="str">
        <f>IF(($E58&gt;0),B58,B57)</f>
        <v>per 100 youth found delinquent</v>
      </c>
      <c r="C64" s="49">
        <f>IF(($E58&gt;0),C58,C57)</f>
        <v>12.84</v>
      </c>
      <c r="D64" s="49">
        <f>IF(($E58&gt;0),D58,D57)</f>
        <v>0.18</v>
      </c>
      <c r="E64" s="56">
        <f>MAX(C64:D64)</f>
        <v>12.84</v>
      </c>
      <c r="G64" s="1" t="str">
        <f>G58</f>
        <v>per 100 youth found delinquent</v>
      </c>
      <c r="L64" s="58">
        <f>IF(($E58&gt;0),L58,L57)</f>
        <v>100</v>
      </c>
      <c r="M64" s="58"/>
    </row>
    <row r="65" spans="2:13" ht="15" hidden="1" customHeight="1" x14ac:dyDescent="0.25">
      <c r="B65" s="59" t="s">
        <v>92</v>
      </c>
      <c r="L65" s="57"/>
      <c r="M65" s="57"/>
    </row>
    <row r="66" spans="2:13" ht="15" hidden="1" customHeight="1" x14ac:dyDescent="0.25">
      <c r="B66" s="49" t="str">
        <f>B60</f>
        <v>per 1000 youth</v>
      </c>
      <c r="C66" s="56">
        <f>C60</f>
        <v>591.58799999999997</v>
      </c>
      <c r="D66" s="56">
        <f>D60</f>
        <v>6.8719999999999999</v>
      </c>
      <c r="E66" s="56">
        <f>MAX(C66:D66)</f>
        <v>591.58799999999997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26.06</v>
      </c>
      <c r="D67" s="49">
        <f t="shared" si="12"/>
        <v>0.24</v>
      </c>
      <c r="E67" s="49">
        <f>MAX(C67:D67)</f>
        <v>26.06</v>
      </c>
      <c r="G67" s="1" t="str">
        <f>G61</f>
        <v>per 100 arrests</v>
      </c>
      <c r="L67" s="58">
        <f>IF(($E61&gt;0),L61,L60)</f>
        <v>100</v>
      </c>
      <c r="M67" s="58">
        <f>IF((B67=G67),1,2)</f>
        <v>1</v>
      </c>
    </row>
    <row r="68" spans="2:13" ht="15" hidden="1" customHeight="1" x14ac:dyDescent="0.25">
      <c r="B68" s="49" t="str">
        <f t="shared" si="12"/>
        <v>per 100 referrals</v>
      </c>
      <c r="C68" s="49">
        <f t="shared" si="12"/>
        <v>37.01</v>
      </c>
      <c r="D68" s="49">
        <f t="shared" si="12"/>
        <v>0.57999999999999996</v>
      </c>
      <c r="E68" s="49">
        <f>MAX(C68:D68)</f>
        <v>37.01</v>
      </c>
      <c r="G68" s="1" t="str">
        <f>G62</f>
        <v>per 100 referrals</v>
      </c>
      <c r="L68" s="58">
        <f>IF(($E62&gt;0),L62,L61)</f>
        <v>100</v>
      </c>
      <c r="M68" s="58">
        <f>IF((B68=G68),1,2)</f>
        <v>1</v>
      </c>
    </row>
    <row r="69" spans="2:13" ht="15" hidden="1" customHeight="1" x14ac:dyDescent="0.25">
      <c r="B69" s="49" t="str">
        <f>IF(($E63&gt;0),B63,B61)</f>
        <v>per 100 youth petitioned</v>
      </c>
      <c r="C69" s="49">
        <f>IF(($E63&gt;0),C63,C62)</f>
        <v>20.12</v>
      </c>
      <c r="D69" s="49">
        <f>IF(($E63&gt;0),D63,D62)</f>
        <v>0.23</v>
      </c>
      <c r="E69" s="49">
        <f>MAX(C69:D69)</f>
        <v>20.12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12.84</v>
      </c>
      <c r="D70" s="49">
        <f>IF(($E64&gt;0),D64,D63)</f>
        <v>0.18</v>
      </c>
      <c r="E70" s="56">
        <f>MAX(C70:D70)</f>
        <v>12.84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U47JMPN4QEAR-1806752177-30257</_dlc_DocId>
    <_dlc_DocIdUrl xmlns="ac3811b5-0f3e-49e2-ba69-f2ffa0c782af">
      <Url>https://michiganphi.sharepoint.com/sites/CMDMC/_layouts/15/DocIdRedir.aspx?ID=U47JMPN4QEAR-1806752177-30257</Url>
      <Description>U47JMPN4QEAR-1806752177-30257</Description>
    </_dlc_DocIdUrl>
  </documentManagement>
</p:properties>
</file>

<file path=customXml/itemProps1.xml><?xml version="1.0" encoding="utf-8"?>
<ds:datastoreItem xmlns:ds="http://schemas.openxmlformats.org/officeDocument/2006/customXml" ds:itemID="{CBC1F615-420D-4107-BE53-1BCF44461C44}"/>
</file>

<file path=customXml/itemProps2.xml><?xml version="1.0" encoding="utf-8"?>
<ds:datastoreItem xmlns:ds="http://schemas.openxmlformats.org/officeDocument/2006/customXml" ds:itemID="{E8D57519-0B5E-4C43-9C18-32CF25253195}"/>
</file>

<file path=customXml/itemProps3.xml><?xml version="1.0" encoding="utf-8"?>
<ds:datastoreItem xmlns:ds="http://schemas.openxmlformats.org/officeDocument/2006/customXml" ds:itemID="{CF9405E7-8511-4DA6-96C9-F740185569B0}"/>
</file>

<file path=customXml/itemProps4.xml><?xml version="1.0" encoding="utf-8"?>
<ds:datastoreItem xmlns:ds="http://schemas.openxmlformats.org/officeDocument/2006/customXml" ds:itemID="{17AFD961-9990-460F-B899-9F4DEF410F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2023-01-30T15:47:17Z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21fa44af-d227-4fcf-bf08-b39ecf09c53e</vt:lpwstr>
  </property>
</Properties>
</file>