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8B8205EC-3A77-4E19-9617-E18593988C1D}"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4"/>
  <c r="M66" i="4"/>
  <c r="F27" i="6"/>
  <c r="M66" i="6"/>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0" i="5"/>
  <c r="B49" i="7"/>
  <c r="D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D51" i="2"/>
  <c r="E51" i="2" s="1"/>
  <c r="L56" i="5"/>
  <c r="R7" i="8"/>
  <c r="S7" i="8" s="1"/>
  <c r="C58" i="5"/>
  <c r="B51" i="2"/>
  <c r="D51" i="8"/>
  <c r="E52" i="8"/>
  <c r="D58" i="8" s="1"/>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D70" i="8" s="1"/>
  <c r="F13" i="8" s="1"/>
  <c r="B70" i="3"/>
  <c r="M70" i="3" s="1"/>
  <c r="L69" i="7"/>
  <c r="Q15" i="7" s="1"/>
  <c r="C63" i="8"/>
  <c r="D70" i="6"/>
  <c r="F14" i="6" s="1"/>
  <c r="L63" i="8"/>
  <c r="L70" i="8" s="1"/>
  <c r="E63" i="3"/>
  <c r="C69" i="3" s="1"/>
  <c r="D15"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B69" i="6"/>
  <c r="M69" i="6" s="1"/>
  <c r="D12" i="3"/>
  <c r="D69" i="3"/>
  <c r="E69" i="3" s="1"/>
  <c r="F33" i="3"/>
  <c r="L69" i="3"/>
  <c r="Q12" i="3" s="1"/>
  <c r="B69" i="3"/>
  <c r="M69" i="3" s="1"/>
  <c r="E63" i="8"/>
  <c r="D69" i="8" s="1"/>
  <c r="F12" i="8" s="1"/>
  <c r="F34" i="3"/>
  <c r="F14" i="3"/>
  <c r="F13" i="6"/>
  <c r="Q13" i="8"/>
  <c r="D13" i="3"/>
  <c r="O14" i="6"/>
  <c r="O13" i="3"/>
  <c r="E70" i="6"/>
  <c r="E70" i="3"/>
  <c r="O13" i="6"/>
  <c r="E69" i="7"/>
  <c r="C69" i="6"/>
  <c r="D12" i="6" s="1"/>
  <c r="Q14" i="3"/>
  <c r="F12" i="7"/>
  <c r="O12" i="7"/>
  <c r="D14" i="6"/>
  <c r="O15" i="7"/>
  <c r="T15" i="7" s="1"/>
  <c r="Q13" i="3"/>
  <c r="Q13" i="6"/>
  <c r="Q14" i="6"/>
  <c r="O14" i="3"/>
  <c r="D69" i="6"/>
  <c r="F12" i="6" s="1"/>
  <c r="T10" i="3"/>
  <c r="K10" i="4"/>
  <c r="F8" i="7"/>
  <c r="T9" i="4"/>
  <c r="F35" i="6"/>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B69" i="8" l="1"/>
  <c r="M69" i="8" s="1"/>
  <c r="F15" i="3"/>
  <c r="O12" i="3"/>
  <c r="R12" i="3" s="1"/>
  <c r="S12" i="3" s="1"/>
  <c r="O15" i="3"/>
  <c r="R15" i="3" s="1"/>
  <c r="S15" i="3" s="1"/>
  <c r="U15" i="3" s="1"/>
  <c r="J15" i="3" s="1"/>
  <c r="M15" i="3" s="1"/>
  <c r="G15" i="3" s="1"/>
  <c r="I16" i="16" s="1"/>
  <c r="R14" i="3"/>
  <c r="S14" i="3" s="1"/>
  <c r="U14" i="3" s="1"/>
  <c r="J14" i="3" s="1"/>
  <c r="M14" i="3" s="1"/>
  <c r="G14" i="3" s="1"/>
  <c r="I15" i="16" s="1"/>
  <c r="T12" i="7"/>
  <c r="F32" i="6"/>
  <c r="F32" i="3"/>
  <c r="F35" i="3"/>
  <c r="T13" i="6"/>
  <c r="K12" i="7"/>
  <c r="O12" i="6"/>
  <c r="C69" i="8"/>
  <c r="E69" i="8" s="1"/>
  <c r="R12" i="7"/>
  <c r="S12" i="7" s="1"/>
  <c r="L69" i="8"/>
  <c r="O15" i="8" s="1"/>
  <c r="R13" i="8"/>
  <c r="S13" i="8" s="1"/>
  <c r="U13" i="8" s="1"/>
  <c r="J13" i="8" s="1"/>
  <c r="M13" i="8" s="1"/>
  <c r="G13" i="8" s="1"/>
  <c r="K14" i="16" s="1"/>
  <c r="K14" i="6"/>
  <c r="K13" i="6"/>
  <c r="R13" i="6"/>
  <c r="S13" i="6" s="1"/>
  <c r="U13" i="6" s="1"/>
  <c r="J13" i="6" s="1"/>
  <c r="M13" i="6" s="1"/>
  <c r="G13" i="6" s="1"/>
  <c r="G13" i="9" s="1"/>
  <c r="K13" i="3"/>
  <c r="T14" i="6"/>
  <c r="R14" i="8"/>
  <c r="S14" i="8" s="1"/>
  <c r="R14" i="6"/>
  <c r="S14" i="6" s="1"/>
  <c r="U14" i="6" s="1"/>
  <c r="J14" i="6" s="1"/>
  <c r="M14" i="6" s="1"/>
  <c r="G14" i="6" s="1"/>
  <c r="M15" i="13" s="1"/>
  <c r="D15" i="6"/>
  <c r="R15" i="7"/>
  <c r="S15" i="7" s="1"/>
  <c r="U15" i="7" s="1"/>
  <c r="J15" i="7" s="1"/>
  <c r="M15" i="7" s="1"/>
  <c r="T13" i="8"/>
  <c r="E69" i="6"/>
  <c r="T13" i="3"/>
  <c r="K14" i="3"/>
  <c r="L14" i="3" s="1"/>
  <c r="P15" i="16" s="1"/>
  <c r="T14" i="3"/>
  <c r="K15" i="7"/>
  <c r="R13" i="3"/>
  <c r="S13" i="3" s="1"/>
  <c r="U13" i="3" s="1"/>
  <c r="J13" i="3" s="1"/>
  <c r="M13" i="3" s="1"/>
  <c r="G13" i="3" s="1"/>
  <c r="O15" i="6"/>
  <c r="Q12" i="6"/>
  <c r="Q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N30" i="3"/>
  <c r="L13" i="8"/>
  <c r="T14" i="16" s="1"/>
  <c r="I15" i="13"/>
  <c r="E14" i="9"/>
  <c r="Q15" i="8"/>
  <c r="R15" i="8" s="1"/>
  <c r="S15" i="8" s="1"/>
  <c r="U15" i="8" s="1"/>
  <c r="J15" i="8" s="1"/>
  <c r="L12" i="7"/>
  <c r="S13" i="16" s="1"/>
  <c r="M12" i="7"/>
  <c r="D15" i="8"/>
  <c r="D12" i="8"/>
  <c r="K12" i="6"/>
  <c r="T12" i="6"/>
  <c r="Q12" i="8"/>
  <c r="O12" i="8"/>
  <c r="Q14" i="13"/>
  <c r="I13" i="9"/>
  <c r="U14" i="8"/>
  <c r="J14" i="8" s="1"/>
  <c r="N30" i="8" s="1"/>
  <c r="L13" i="6"/>
  <c r="R14" i="16" s="1"/>
  <c r="R12" i="6"/>
  <c r="S12" i="6" s="1"/>
  <c r="U12" i="6" s="1"/>
  <c r="J12" i="6" s="1"/>
  <c r="M12" i="6" s="1"/>
  <c r="G12" i="6" s="1"/>
  <c r="M14" i="13"/>
  <c r="L15" i="7"/>
  <c r="S16" i="16" s="1"/>
  <c r="L13" i="3"/>
  <c r="P14" i="16" s="1"/>
  <c r="K15" i="6"/>
  <c r="R15" i="6"/>
  <c r="S15" i="6" s="1"/>
  <c r="U15" i="6" s="1"/>
  <c r="J15" i="6" s="1"/>
  <c r="M15" i="6" s="1"/>
  <c r="G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R13" i="9"/>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Z14" i="13" l="1"/>
  <c r="Q12" i="9"/>
  <c r="Y13" i="13"/>
  <c r="R12" i="8"/>
  <c r="S12" i="8" s="1"/>
  <c r="P13" i="9"/>
  <c r="K15" i="8"/>
  <c r="L15" i="8" s="1"/>
  <c r="T16" i="16" s="1"/>
  <c r="T15" i="8"/>
  <c r="T12" i="8"/>
  <c r="Y16" i="13"/>
  <c r="K12" i="8"/>
  <c r="L12" i="6"/>
  <c r="R13" i="16" s="1"/>
  <c r="X14" i="13"/>
  <c r="Q15" i="9"/>
  <c r="L14" i="8"/>
  <c r="T15" i="16" s="1"/>
  <c r="M14" i="8"/>
  <c r="G14" i="8" s="1"/>
  <c r="K15" i="16" s="1"/>
  <c r="L15" i="6"/>
  <c r="R16" i="16" s="1"/>
  <c r="U12" i="8"/>
  <c r="J12" i="8" s="1"/>
  <c r="M12" i="8" s="1"/>
  <c r="G12" i="8" s="1"/>
  <c r="K13" i="16" s="1"/>
  <c r="N13" i="9"/>
  <c r="U11" i="7"/>
  <c r="J11" i="7" s="1"/>
  <c r="M11" i="7" s="1"/>
  <c r="V14" i="13"/>
  <c r="U10" i="7"/>
  <c r="J10" i="7" s="1"/>
  <c r="L10" i="7" s="1"/>
  <c r="S11" i="16" s="1"/>
  <c r="L8" i="6"/>
  <c r="R9" i="16" s="1"/>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P12" i="9"/>
  <c r="X16" i="13"/>
  <c r="Q15" i="13"/>
  <c r="L12" i="8"/>
  <c r="T13" i="16" s="1"/>
  <c r="Z15" i="13"/>
  <c r="I14" i="9"/>
  <c r="R14" i="9"/>
  <c r="L11" i="7"/>
  <c r="S12" i="16" s="1"/>
  <c r="M10" i="7"/>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Z13" i="13" l="1"/>
  <c r="R12" i="9"/>
  <c r="Y12" i="13"/>
  <c r="Q11"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<sst xmlns="http://schemas.openxmlformats.org/spreadsheetml/2006/main" count="654" uniqueCount="141">
  <si>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</si>
  <si>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</si>
  <si>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</si>
  <si>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</si>
  <si>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</si>
  <si>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</si>
  <si>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</si>
  <si>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</si>
  <si>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</si>
  <si>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</si>
  <si>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</si>
  <si>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</si>
  <si>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</si>
  <si>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</si>
  <si>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</si>
  <si>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</si>
  <si>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</si>
  <si>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</si>
  <si>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</si>
  <si>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</si>
  <si>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</si>
  <si>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</si>
  <si>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</si>
  <si>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</si>
  <si>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</si>
  <si>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</si>
  <si>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</si>
  <si>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</si>
  <si>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</si>
  <si>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</si>
  <si>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</si>
  <si>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</si>
  <si>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</si>
  <si>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</si>
  <si>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</si>
  <si>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</si>
  <si>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</si>
  <si>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</si>
  <si>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</si>
  <si>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</si>
  <si>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</si>
  <si>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</si>
  <si>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</si>
  <si>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</si>
  <si>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</si>
  <si>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</si>
  <si>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</si>
  <si>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</si>
  <si>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</si>
  <si>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</si>
  <si>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</si>
  <si>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</si>
  <si>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</si>
  <si>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</si>
  <si>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</si>
  <si>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</si>
  <si>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</si>
  <si>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</si>
  <si>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</si>
  <si>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</si>
  <si>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</si>
  <si>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</si>
  <si>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</si>
  <si>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</si>
  <si>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</si>
  <si>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</si>
  <si>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</si>
  <si>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</si>
  <si>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</si>
  <si>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</si>
  <si>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</si>
  <si>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</si>
  <si>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</si>
  <si>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</si>
  <si>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</si>
  <si>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</si>
  <si>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</si>
  <si>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</si>
  <si>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</si>
  <si>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</si>
  <si>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</si>
  <si>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</si>
  <si>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</si>
  <si>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</si>
  <si>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</si>
  <si>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</si>
  <si>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</si>
  <si>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</si>
  <si>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</si>
  <si>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</si>
  <si>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</si>
  <si>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</si>
  <si>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</si>
  <si>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</si>
  <si>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</si>
  <si>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</si>
  <si>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</si>
  <si>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</si>
  <si>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</si>
  <si>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</si>
  <si>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</si>
  <si>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</si>
  <si>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</si>
  <si>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</si>
  <si>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</si>
  <si>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</si>
  <si>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</si>
  <si>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</si>
  <si>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</si>
  <si>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</si>
  <si>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</si>
  <si>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</si>
  <si>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</si>
  <si>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</si>
  <si>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</si>
  <si>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</si>
  <si>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</si>
  <si>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</si>
  <si>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</si>
  <si>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</si>
  <si>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</si>
  <si>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</si>
  <si>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</si>
  <si>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</si>
  <si>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</si>
  <si>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</si>
  <si>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</si>
  <si>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</si>
  <si>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</si>
  <si>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</si>
  <si>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</si>
  <si>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</si>
  <si>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</si>
  <si>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</si>
  <si>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</si>
  <si>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</si>
  <si>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</si>
  <si>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Menominee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</si>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</sst>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Menominee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N=12</c:v>
                </c:pt>
                <c:pt idx="4">
                  <c:v>Detentions, total N=2</c:v>
                </c:pt>
                <c:pt idx="5">
                  <c:v>Referrals, total N=18</c:v>
                </c:pt>
                <c:pt idx="6">
                  <c:v>Arrests, total N=19</c:v>
                </c:pt>
                <c:pt idx="7">
                  <c:v>Population, total N=1717</c:v>
                </c:pt>
              </c:strCache>
            </c:strRef>
          </c:cat>
          <c:val>
            <c:numRef>
              <c:f>'Stacked 100%'!$B$7:$B$14</c:f>
              <c:numCache>
                <c:formatCode>0%</c:formatCode>
                <c:ptCount val="8"/>
                <c:pt idx="0">
                  <c:v>0</c:v>
                </c:pt>
                <c:pt idx="1">
                  <c:v>0</c:v>
                </c:pt>
                <c:pt idx="2">
                  <c:v>0</c:v>
                </c:pt>
                <c:pt idx="3">
                  <c:v>0</c:v>
                </c:pt>
                <c:pt idx="4">
                  <c:v>0</c:v>
                </c:pt>
                <c:pt idx="5">
                  <c:v>0</c:v>
                </c:pt>
                <c:pt idx="6">
                  <c:v>5.2631578947368418E-2</c:v>
                </c:pt>
                <c:pt idx="7">
                  <c:v>1.9219569015725101E-2</c:v>
                </c:pt>
              </c:numCache>
            </c:numRef>
          </c:val>
          <c:extLst>
            <c:ext xmlns:c16="http://schemas.microsoft.com/office/drawing/2014/chart" uri="{C3380CC4-5D6E-409C-BE32-E72D297353CC}">
              <c16:uniqueId val="{00000000-8CFE-4A44-9A20-0D13846646E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N=12</c:v>
                </c:pt>
                <c:pt idx="4">
                  <c:v>Detentions, total N=2</c:v>
                </c:pt>
                <c:pt idx="5">
                  <c:v>Referrals, total N=18</c:v>
                </c:pt>
                <c:pt idx="6">
                  <c:v>Arrests, total N=19</c:v>
                </c:pt>
                <c:pt idx="7">
                  <c:v>Population, total N=1717</c:v>
                </c:pt>
              </c:strCache>
            </c:strRef>
          </c:cat>
          <c:val>
            <c:numRef>
              <c:f>'Stacked 100%'!$C$7:$C$14</c:f>
              <c:numCache>
                <c:formatCode>0%</c:formatCode>
                <c:ptCount val="8"/>
                <c:pt idx="0">
                  <c:v>0</c:v>
                </c:pt>
                <c:pt idx="1">
                  <c:v>0</c:v>
                </c:pt>
                <c:pt idx="2">
                  <c:v>0</c:v>
                </c:pt>
                <c:pt idx="3">
                  <c:v>0</c:v>
                </c:pt>
                <c:pt idx="4">
                  <c:v>0</c:v>
                </c:pt>
                <c:pt idx="5">
                  <c:v>0</c:v>
                </c:pt>
                <c:pt idx="6">
                  <c:v>0</c:v>
                </c:pt>
                <c:pt idx="7">
                  <c:v>4.1933605125218404E-2</c:v>
                </c:pt>
              </c:numCache>
            </c:numRef>
          </c:val>
          <c:extLst>
            <c:ext xmlns:c16="http://schemas.microsoft.com/office/drawing/2014/chart" uri="{C3380CC4-5D6E-409C-BE32-E72D297353CC}">
              <c16:uniqueId val="{00000001-8CFE-4A44-9A20-0D13846646E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N=6</c:v>
                </c:pt>
                <c:pt idx="3">
                  <c:v>Petitions, total N=12</c:v>
                </c:pt>
                <c:pt idx="4">
                  <c:v>Detentions, total N=2</c:v>
                </c:pt>
                <c:pt idx="5">
                  <c:v>Referrals, total N=18</c:v>
                </c:pt>
                <c:pt idx="6">
                  <c:v>Arrests, total N=19</c:v>
                </c:pt>
                <c:pt idx="7">
                  <c:v>Population, total N=1717</c:v>
                </c:pt>
              </c:strCache>
            </c:strRef>
          </c:cat>
          <c:val>
            <c:numRef>
              <c:f>'Stacked 100%'!$H$7:$H$14</c:f>
              <c:numCache>
                <c:formatCode>0%</c:formatCode>
                <c:ptCount val="8"/>
                <c:pt idx="0">
                  <c:v>0</c:v>
                </c:pt>
                <c:pt idx="1">
                  <c:v>0</c:v>
                </c:pt>
                <c:pt idx="2">
                  <c:v>0</c:v>
                </c:pt>
                <c:pt idx="3">
                  <c:v>6.9444444444444441E-3</c:v>
                </c:pt>
                <c:pt idx="4">
                  <c:v>0</c:v>
                </c:pt>
                <c:pt idx="5">
                  <c:v>3.0864197530864196E-3</c:v>
                </c:pt>
                <c:pt idx="6">
                  <c:v>0</c:v>
                </c:pt>
                <c:pt idx="7">
                  <c:v>3.2224264599881483E-5</c:v>
                </c:pt>
              </c:numCache>
            </c:numRef>
          </c:val>
          <c:extLst>
            <c:ext xmlns:c16="http://schemas.microsoft.com/office/drawing/2014/chart" uri="{C3380CC4-5D6E-409C-BE32-E72D297353CC}">
              <c16:uniqueId val="{00000002-8CFE-4A44-9A20-0D13846646E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N=6</c:v>
                </c:pt>
                <c:pt idx="3">
                  <c:v>Petitions, total N=12</c:v>
                </c:pt>
                <c:pt idx="4">
                  <c:v>Detentions, total N=2</c:v>
                </c:pt>
                <c:pt idx="5">
                  <c:v>Referrals, total N=18</c:v>
                </c:pt>
                <c:pt idx="6">
                  <c:v>Arrests, total N=19</c:v>
                </c:pt>
                <c:pt idx="7">
                  <c:v>Population, total N=1717</c:v>
                </c:pt>
              </c:strCache>
            </c:strRef>
          </c:cat>
          <c:val>
            <c:numRef>
              <c:f>'Stacked 100%'!$I$7:$I$14</c:f>
              <c:numCache>
                <c:formatCode>0%</c:formatCode>
                <c:ptCount val="8"/>
                <c:pt idx="0">
                  <c:v>0</c:v>
                </c:pt>
                <c:pt idx="1">
                  <c:v>0.66666666666666663</c:v>
                </c:pt>
                <c:pt idx="2">
                  <c:v>0.83333333333333337</c:v>
                </c:pt>
                <c:pt idx="3">
                  <c:v>0.75</c:v>
                </c:pt>
                <c:pt idx="4">
                  <c:v>0</c:v>
                </c:pt>
                <c:pt idx="5">
                  <c:v>0.72222222222222221</c:v>
                </c:pt>
                <c:pt idx="6">
                  <c:v>0.78947368421052633</c:v>
                </c:pt>
                <c:pt idx="7">
                  <c:v>0.88351776354106004</c:v>
                </c:pt>
              </c:numCache>
            </c:numRef>
          </c:val>
          <c:extLst>
            <c:ext xmlns:c16="http://schemas.microsoft.com/office/drawing/2014/chart" uri="{C3380CC4-5D6E-409C-BE32-E72D297353CC}">
              <c16:uniqueId val="{00000003-8CFE-4A44-9A20-0D13846646E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N=6</c:v>
                </c:pt>
                <c:pt idx="3">
                  <c:v>Petitions, total N=12</c:v>
                </c:pt>
                <c:pt idx="4">
                  <c:v>Detentions, total N=2</c:v>
                </c:pt>
                <c:pt idx="5">
                  <c:v>Referrals, total N=18</c:v>
                </c:pt>
                <c:pt idx="6">
                  <c:v>Arrests, total N=19</c:v>
                </c:pt>
                <c:pt idx="7">
                  <c:v>Population, total N=1717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CFE-4A44-9A20-0D13846646E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1717</v>
      </c>
      <c r="C6" s="11">
        <v>1517</v>
      </c>
      <c r="D6" s="11">
        <v>33</v>
      </c>
      <c r="E6" s="11">
        <v>72</v>
      </c>
      <c r="F6" s="11">
        <v>8</v>
      </c>
      <c r="G6" s="11"/>
      <c r="H6" s="11">
        <v>87</v>
      </c>
      <c r="I6" s="11"/>
      <c r="J6" s="91">
        <f>SUM(D6:I6)</f>
        <v>200</v>
      </c>
      <c r="K6" s="92"/>
    </row>
    <row r="7" spans="1:11" ht="15.75" customHeight="1" thickBot="1" x14ac:dyDescent="0.25">
      <c r="A7" s="10" t="s">
        <v>8</v>
      </c>
      <c r="B7" s="11">
        <f t="shared" ref="B7:B15" si="0">SUM(C7:I7)+K7</f>
        <v>19</v>
      </c>
      <c r="C7" s="11">
        <v>15</v>
      </c>
      <c r="D7" s="11">
        <v>1</v>
      </c>
      <c r="E7" s="11"/>
      <c r="F7" s="11"/>
      <c r="G7" s="11"/>
      <c r="H7" s="11"/>
      <c r="I7" s="11"/>
      <c r="J7" s="91">
        <f t="shared" ref="J7:J15" si="1">SUM(D7:I7)</f>
        <v>1</v>
      </c>
      <c r="K7" s="92">
        <v>3</v>
      </c>
    </row>
    <row r="8" spans="1:11" ht="15.75" customHeight="1" thickBot="1" x14ac:dyDescent="0.25">
      <c r="A8" s="10" t="s">
        <v>9</v>
      </c>
      <c r="B8" s="11">
        <f t="shared" si="0"/>
        <v>18</v>
      </c>
      <c r="C8" s="11">
        <v>13</v>
      </c>
      <c r="D8" s="11"/>
      <c r="E8" s="11"/>
      <c r="F8" s="11"/>
      <c r="G8" s="11"/>
      <c r="H8" s="11"/>
      <c r="I8" s="11">
        <v>1</v>
      </c>
      <c r="J8" s="91">
        <f t="shared" si="1"/>
        <v>1</v>
      </c>
      <c r="K8" s="92">
        <v>4</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2</v>
      </c>
      <c r="C10" s="11"/>
      <c r="D10" s="11"/>
      <c r="E10" s="11"/>
      <c r="F10" s="11"/>
      <c r="G10" s="11"/>
      <c r="H10" s="11"/>
      <c r="I10" s="11"/>
      <c r="J10" s="91">
        <f t="shared" si="1"/>
        <v>0</v>
      </c>
      <c r="K10" s="92">
        <v>2</v>
      </c>
    </row>
    <row r="11" spans="1:11" ht="15.75" customHeight="1" thickBot="1" x14ac:dyDescent="0.25">
      <c r="A11" s="10" t="s">
        <v>12</v>
      </c>
      <c r="B11" s="11">
        <f t="shared" si="0"/>
        <v>12</v>
      </c>
      <c r="C11" s="11">
        <v>9</v>
      </c>
      <c r="D11" s="11"/>
      <c r="E11" s="11"/>
      <c r="F11" s="11"/>
      <c r="G11" s="11"/>
      <c r="H11" s="11"/>
      <c r="I11" s="11">
        <v>1</v>
      </c>
      <c r="J11" s="91">
        <f t="shared" si="1"/>
        <v>1</v>
      </c>
      <c r="K11" s="92">
        <v>2</v>
      </c>
    </row>
    <row r="12" spans="1:11" ht="15.75" customHeight="1" thickBot="1" x14ac:dyDescent="0.25">
      <c r="A12" s="10" t="s">
        <v>13</v>
      </c>
      <c r="B12" s="11">
        <f t="shared" si="0"/>
        <v>6</v>
      </c>
      <c r="C12" s="11">
        <v>5</v>
      </c>
      <c r="D12" s="11"/>
      <c r="E12" s="11"/>
      <c r="F12" s="11"/>
      <c r="G12" s="11"/>
      <c r="H12" s="11"/>
      <c r="I12" s="11"/>
      <c r="J12" s="91">
        <f t="shared" si="1"/>
        <v>0</v>
      </c>
      <c r="K12" s="92">
        <v>1</v>
      </c>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3</v>
      </c>
      <c r="C14" s="11">
        <v>2</v>
      </c>
      <c r="D14" s="11"/>
      <c r="E14" s="11"/>
      <c r="F14" s="11"/>
      <c r="G14" s="11"/>
      <c r="H14" s="11"/>
      <c r="I14" s="11"/>
      <c r="J14" s="91">
        <f t="shared" si="1"/>
        <v>0</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1502</v>
      </c>
      <c r="R7" s="42">
        <f t="shared" ref="R7:R15" si="5">SUM(N7:Q7)</f>
        <v>1517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13</v>
      </c>
      <c r="D8" s="34">
        <f>IF((AND(C67&gt;0,C8&gt;0)),(C8/C67),0)</f>
        <v>86.666666666666671</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13</v>
      </c>
      <c r="Q8" s="42">
        <f>(C$67*L67)-C8</f>
        <v>2</v>
      </c>
      <c r="R8" s="42">
        <f t="shared" si="5"/>
        <v>15.05</v>
      </c>
      <c r="S8" s="30">
        <f t="shared" si="6"/>
        <v>3099.1336249999999</v>
      </c>
      <c r="T8" s="30">
        <f t="shared" si="7"/>
        <v>11.025000000000009</v>
      </c>
      <c r="U8" s="31">
        <f t="shared" si="8"/>
        <v>281.10055555555533</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13</v>
      </c>
      <c r="R9" s="42">
        <f t="shared" si="5"/>
        <v>14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13</v>
      </c>
      <c r="R10" s="42">
        <f t="shared" si="5"/>
        <v>14</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Entry'!I11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0</v>
      </c>
      <c r="P11" s="42">
        <f t="shared" si="4"/>
        <v>9</v>
      </c>
      <c r="Q11" s="42">
        <f>(C$68*L68)-C11</f>
        <v>4</v>
      </c>
      <c r="R11" s="42">
        <f t="shared" si="5"/>
        <v>14</v>
      </c>
      <c r="S11" s="30">
        <f t="shared" si="6"/>
        <v>224</v>
      </c>
      <c r="T11" s="30">
        <f t="shared" si="7"/>
        <v>520</v>
      </c>
      <c r="U11" s="31">
        <f t="shared" si="8"/>
        <v>0.43076923076923079</v>
      </c>
    </row>
    <row r="12" spans="2:21" ht="18" customHeight="1" x14ac:dyDescent="0.25">
      <c r="B12" s="32" t="str">
        <f>'Data Entry'!A12</f>
        <v>7. Cases Resulting in Delinquent Findings</v>
      </c>
      <c r="C12" s="33">
        <f>'Data Entry'!C12</f>
        <v>5</v>
      </c>
      <c r="D12" s="34">
        <f>IF(((AND(C69&gt;0,C12&gt;0))),(C12/(C69)),0)</f>
        <v>55.555555555555557</v>
      </c>
      <c r="E12" s="33">
        <f>'Data Entry'!I12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0</v>
      </c>
      <c r="O12" s="42">
        <f>(D69*L69)-E12</f>
        <v>1</v>
      </c>
      <c r="P12" s="42">
        <f t="shared" si="4"/>
        <v>5</v>
      </c>
      <c r="Q12" s="42">
        <f>(C69*L69)-C12</f>
        <v>4</v>
      </c>
      <c r="R12" s="42">
        <f t="shared" si="5"/>
        <v>10</v>
      </c>
      <c r="S12" s="30">
        <f t="shared" si="6"/>
        <v>250</v>
      </c>
      <c r="T12" s="30">
        <f t="shared" si="7"/>
        <v>225</v>
      </c>
      <c r="U12" s="31">
        <f t="shared" si="8"/>
        <v>1.1111111111111112</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0</v>
      </c>
      <c r="E42" s="56">
        <f>MAX(C42:D42)</f>
        <v>1.5169999999999999</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0.13</v>
      </c>
      <c r="D44" s="56">
        <f>E8/100</f>
        <v>0.01</v>
      </c>
      <c r="E44" s="56">
        <f>MAX(C44:D44,0)</f>
        <v>0.13</v>
      </c>
      <c r="G44" s="1" t="str">
        <f>B44</f>
        <v>per 100 referrals</v>
      </c>
      <c r="L44" s="57">
        <v>100</v>
      </c>
      <c r="M44" s="57"/>
      <c r="R44" s="49"/>
    </row>
    <row r="45" spans="2:18" ht="15" hidden="1" customHeight="1" x14ac:dyDescent="0.25">
      <c r="B45" s="49" t="s">
        <v>89</v>
      </c>
      <c r="C45" s="49">
        <f>C11/100</f>
        <v>0.09</v>
      </c>
      <c r="D45" s="49">
        <f>E11/100</f>
        <v>0.01</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0</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0.01</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0.01</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0</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0.01</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0.01</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0</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0.01</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0.01</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0</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0.01</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0.01</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Entry'!J6</f>
        <v>200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Entry'!J7</f>
        <v>1</v>
      </c>
      <c r="F7" s="34">
        <f>IF((AND($E$7&gt;0,$D$66&gt;0)),($E$7/$D$66),0)</f>
        <v>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199</v>
      </c>
      <c r="P7" s="42">
        <f t="shared" ref="P7:P15" si="4">C7</f>
        <v>15</v>
      </c>
      <c r="Q7" s="42">
        <f>C6-C7</f>
        <v>1502</v>
      </c>
      <c r="R7" s="42">
        <f t="shared" ref="R7:R15" si="5">SUM(N7:Q7)</f>
        <v>1717</v>
      </c>
      <c r="S7" s="30">
        <f t="shared" ref="S7:S15" si="6">R7*((((N7*Q7)-(O7*P7))^2))</f>
        <v>3776179213</v>
      </c>
      <c r="T7" s="30">
        <f t="shared" ref="T7:T15" si="7">(N7+O7)*(P7+Q7)*(N7+P7)*(O7+Q7)</f>
        <v>8257334400</v>
      </c>
      <c r="U7" s="31">
        <f t="shared" ref="U7:U15" si="8">IF((S7&gt;0),S7/T7,"- -")</f>
        <v>0.45731213368323803</v>
      </c>
    </row>
    <row r="8" spans="2:21" ht="18" customHeight="1" x14ac:dyDescent="0.25">
      <c r="B8" s="32" t="str">
        <f>'Data Entry'!A8</f>
        <v>3. Refer to Juvenile Court</v>
      </c>
      <c r="C8" s="33">
        <f>'Data Entry'!C8</f>
        <v>13</v>
      </c>
      <c r="D8" s="34">
        <f>IF((AND(C67&gt;0,C8&gt;0)),(C8/C67),0)</f>
        <v>86.666666666666671</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13</v>
      </c>
      <c r="Q8" s="42">
        <f>(C$67*L67)-C8</f>
        <v>2</v>
      </c>
      <c r="R8" s="42">
        <f t="shared" si="5"/>
        <v>16.05</v>
      </c>
      <c r="S8" s="30">
        <f t="shared" si="6"/>
        <v>29.251125000000005</v>
      </c>
      <c r="T8" s="30">
        <f t="shared" si="7"/>
        <v>452.02499999999998</v>
      </c>
      <c r="U8" s="31">
        <f t="shared" si="8"/>
        <v>6.4711299153807883E-2</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13</v>
      </c>
      <c r="R9" s="42">
        <f t="shared" si="5"/>
        <v>14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13</v>
      </c>
      <c r="R10" s="42">
        <f t="shared" si="5"/>
        <v>14</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Entry'!J11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9</v>
      </c>
      <c r="Q11" s="42">
        <f>(C$68*L68)-C11</f>
        <v>4</v>
      </c>
      <c r="R11" s="42">
        <f t="shared" si="5"/>
        <v>14</v>
      </c>
      <c r="S11" s="30">
        <f t="shared" si="6"/>
        <v>224</v>
      </c>
      <c r="T11" s="30">
        <f t="shared" si="7"/>
        <v>520</v>
      </c>
      <c r="U11" s="31">
        <f t="shared" si="8"/>
        <v>0.43076923076923079</v>
      </c>
    </row>
    <row r="12" spans="2:21" ht="18" customHeight="1" x14ac:dyDescent="0.25">
      <c r="B12" s="32" t="str">
        <f>'Data Entry'!A12</f>
        <v>7. Cases Resulting in Delinquent Findings</v>
      </c>
      <c r="C12" s="33">
        <f>'Data Entry'!C12</f>
        <v>5</v>
      </c>
      <c r="D12" s="34">
        <f>IF(((AND(C69&gt;0,C12&gt;0))),(C12/(C69)),0)</f>
        <v>55.555555555555557</v>
      </c>
      <c r="E12" s="33">
        <f>'Data Entry'!J12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5</v>
      </c>
      <c r="Q12" s="42">
        <f>(C69*L69)-C12</f>
        <v>4</v>
      </c>
      <c r="R12" s="42">
        <f t="shared" si="5"/>
        <v>10</v>
      </c>
      <c r="S12" s="30">
        <f t="shared" si="6"/>
        <v>250</v>
      </c>
      <c r="T12" s="30">
        <f t="shared" si="7"/>
        <v>225</v>
      </c>
      <c r="U12" s="31">
        <f t="shared" si="8"/>
        <v>1.1111111111111112</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0.2</v>
      </c>
      <c r="E42" s="56">
        <f>MAX(C42:D42)</f>
        <v>1.5169999999999999</v>
      </c>
      <c r="G42" s="1" t="str">
        <f>B42</f>
        <v>per 1000 youth</v>
      </c>
      <c r="L42" s="57">
        <v>1000</v>
      </c>
      <c r="M42" s="57"/>
      <c r="R42" s="49"/>
    </row>
    <row r="43" spans="2:18" ht="15" hidden="1" customHeight="1" x14ac:dyDescent="0.25">
      <c r="B43" s="49" t="s">
        <v>87</v>
      </c>
      <c r="C43" s="56">
        <f>C7/100</f>
        <v>0.15</v>
      </c>
      <c r="D43" s="56">
        <f>E7/100</f>
        <v>0.01</v>
      </c>
      <c r="E43" s="56">
        <f>MAX(C43:D43,0)</f>
        <v>0.15</v>
      </c>
      <c r="G43" s="1" t="str">
        <f>B43</f>
        <v>per 100 arrests</v>
      </c>
      <c r="L43" s="57">
        <v>100</v>
      </c>
      <c r="M43" s="57"/>
      <c r="R43" s="49"/>
    </row>
    <row r="44" spans="2:18" ht="15" hidden="1" customHeight="1" x14ac:dyDescent="0.25">
      <c r="B44" s="49" t="s">
        <v>88</v>
      </c>
      <c r="C44" s="56">
        <f>C8/100</f>
        <v>0.13</v>
      </c>
      <c r="D44" s="56">
        <f>E8/100</f>
        <v>0.01</v>
      </c>
      <c r="E44" s="56">
        <f>MAX(C44:D44,0)</f>
        <v>0.13</v>
      </c>
      <c r="G44" s="1" t="str">
        <f>B44</f>
        <v>per 100 referrals</v>
      </c>
      <c r="L44" s="57">
        <v>100</v>
      </c>
      <c r="M44" s="57"/>
      <c r="R44" s="49"/>
    </row>
    <row r="45" spans="2:18" ht="15" hidden="1" customHeight="1" x14ac:dyDescent="0.25">
      <c r="B45" s="49" t="s">
        <v>89</v>
      </c>
      <c r="C45" s="49">
        <f>C11/100</f>
        <v>0.09</v>
      </c>
      <c r="D45" s="49">
        <f>E11/100</f>
        <v>0.01</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0.2</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0.01</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0.01</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0.2</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0.01</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0.01</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0.2</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0.01</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0.01</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0.2</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0.01</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0.01</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Menominee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1717</v>
      </c>
      <c r="D3" s="57">
        <f>'Data Entry'!C6</f>
        <v>1517</v>
      </c>
      <c r="E3" s="57">
        <f>'Data Entry'!D6</f>
        <v>33</v>
      </c>
      <c r="F3" s="57">
        <f>'Data Entry'!E6</f>
        <v>72</v>
      </c>
      <c r="G3" s="57">
        <f>'Data Entry'!F6</f>
        <v>8</v>
      </c>
      <c r="H3" s="57">
        <f>'Data Entry'!G6</f>
        <v>0</v>
      </c>
      <c r="I3" s="57">
        <f>'Data Entry'!H6</f>
        <v>87</v>
      </c>
      <c r="J3" s="57">
        <f>'Data Entry'!I6</f>
        <v>0</v>
      </c>
      <c r="K3" s="57">
        <f>'Data Entry'!J6</f>
        <v>200</v>
      </c>
    </row>
    <row r="4" spans="2:11" ht="15" customHeight="1" x14ac:dyDescent="0.25">
      <c r="B4" s="16" t="s">
        <v>8</v>
      </c>
      <c r="C4" s="1">
        <f>IF((C$3&gt;0),(1000*('Data Entry'!B7/'Data Entry'!B$6)), 0)</f>
        <v>11.0658124635993</v>
      </c>
      <c r="D4" s="1">
        <f>IF((D$3&gt;0),(1000*('Data Entry'!C7/'Data Entry'!C$6)), 0)</f>
        <v>9.8879367172050099</v>
      </c>
      <c r="E4" s="1">
        <f>IF((E$3&gt;0),(1000*('Data Entry'!D7/'Data Entry'!D$6)), 0)</f>
        <v>30.303030303030305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v>
      </c>
    </row>
    <row r="5" spans="2:11" ht="15" customHeight="1" x14ac:dyDescent="0.25">
      <c r="B5" s="16" t="s">
        <v>9</v>
      </c>
      <c r="C5" s="1">
        <f>IF((C$3&gt;0),(1000*('Data Entry'!B8/'Data Entry'!B$6)), 0)</f>
        <v>10.483401281304602</v>
      </c>
      <c r="D5" s="1">
        <f>IF((D$3&gt;0),(1000*('Data Entry'!C8/'Data Entry'!C$6)), 0)</f>
        <v>8.5695451549110082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1.1648223645894002</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6.9889341875364011</v>
      </c>
      <c r="D8" s="1">
        <f>IF((D$3&gt;0),(1000*('Data Entry'!C11/'Data Entry'!C$6)), 0)</f>
        <v>5.9327620303230058</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v>
      </c>
    </row>
    <row r="9" spans="2:11" ht="15" customHeight="1" x14ac:dyDescent="0.25">
      <c r="B9" s="16" t="s">
        <v>13</v>
      </c>
      <c r="C9" s="1">
        <f>IF((C$3&gt;0),(1000*('Data Entry'!B12/'Data Entry'!B$6)), 0)</f>
        <v>3.4944670937682005</v>
      </c>
      <c r="D9" s="1">
        <f>IF((D$3&gt;0),(1000*('Data Entry'!C12/'Data Entry'!C$6)), 0)</f>
        <v>3.2959789057350033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1.7472335468841003</v>
      </c>
      <c r="D11" s="1">
        <f>IF((D$3&gt;0),(1000*('Data Entry'!C14/'Data Entry'!C$6)), 0)</f>
        <v>1.3183915622940012</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Menominee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3.0646464646464646</v>
      </c>
      <c r="E19" s="72" t="str">
        <f t="shared" si="1"/>
        <v>--</v>
      </c>
      <c r="F19" s="72" t="str">
        <f t="shared" si="1"/>
        <v>--</v>
      </c>
      <c r="G19" s="72" t="str">
        <f t="shared" si="1"/>
        <v>--</v>
      </c>
      <c r="H19" s="72" t="str">
        <f t="shared" si="1"/>
        <v>--</v>
      </c>
      <c r="I19" s="72" t="str">
        <f t="shared" si="1"/>
        <v>--</v>
      </c>
      <c r="J19" s="73">
        <f t="shared" si="1"/>
        <v>0.50566666666666671</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0.58346153846153848</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0.84277777777777785</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Menominee</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1517</v>
      </c>
      <c r="D7" s="104">
        <f>'Data Entry'!D6</f>
        <v>33</v>
      </c>
      <c r="E7" s="105"/>
      <c r="F7" s="106">
        <f>'Data Entry'!E6</f>
        <v>72</v>
      </c>
      <c r="G7" s="105"/>
      <c r="H7" s="106">
        <f>'Data Entry'!F6</f>
        <v>8</v>
      </c>
      <c r="I7" s="105"/>
      <c r="J7" s="106">
        <f>'Data Entry'!G6</f>
        <v>0</v>
      </c>
      <c r="K7" s="105"/>
      <c r="L7" s="106">
        <f>'Data Entry'!H6</f>
        <v>87</v>
      </c>
      <c r="M7" s="105"/>
      <c r="N7" s="106">
        <f>'Data Entry'!I6</f>
        <v>0</v>
      </c>
      <c r="O7" s="105"/>
      <c r="P7" s="106">
        <f>'Data Entry'!J6</f>
        <v>200</v>
      </c>
      <c r="Q7" s="107"/>
    </row>
    <row r="8" spans="2:26" s="1" customFormat="1" ht="15" customHeight="1" x14ac:dyDescent="0.3">
      <c r="B8" s="142" t="s">
        <v>8</v>
      </c>
      <c r="C8" s="103">
        <f>'Data Entry'!C7</f>
        <v>15</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2" t="s">
        <v>134</v>
      </c>
      <c r="C9" s="103">
        <f>'Data Entry'!C8</f>
        <v>13</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1</v>
      </c>
      <c r="Q9" s="111" t="str">
        <f>'All Minorities'!G8</f>
        <v>**</v>
      </c>
      <c r="R9"/>
      <c r="T9" s="1">
        <f>'Black or African-American'!L8</f>
        <v>20</v>
      </c>
      <c r="U9" s="1">
        <f>Hispanic!L8</f>
        <v>40</v>
      </c>
      <c r="V9" s="1">
        <f>Asian!L8</f>
        <v>139</v>
      </c>
      <c r="W9" s="1">
        <f>Hawaiian!L8</f>
        <v>139</v>
      </c>
      <c r="X9" s="1">
        <f>'Am Indian'!L8</f>
        <v>40</v>
      </c>
      <c r="Y9" s="1">
        <f>'Other - Mixed'!L8</f>
        <v>119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2" t="s">
        <v>95</v>
      </c>
      <c r="C12" s="103">
        <f>'Data Entry'!C11</f>
        <v>9</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1</v>
      </c>
      <c r="Q12" s="115"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x14ac:dyDescent="0.3">
      <c r="B13" s="142" t="s">
        <v>13</v>
      </c>
      <c r="C13" s="103">
        <f>'Data Entry'!C12</f>
        <v>5</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x14ac:dyDescent="0.3">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Menominee</v>
      </c>
    </row>
    <row r="6" spans="1:12" x14ac:dyDescent="0.2">
      <c r="A6" s="135" t="str">
        <f>CONCATENATE("Percentage of Minorities at Stages of the Juvenile Justice System, ", A5, " 2021")</f>
        <v>Percentage of Minorities at Stages of the Juvenile Justice System, County: Menominee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7.585</v>
      </c>
    </row>
    <row r="8" spans="1:12" ht="25.5" customHeight="1" x14ac:dyDescent="0.2">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0.66666666666666663</v>
      </c>
      <c r="K8" s="96" t="str">
        <f>A8</f>
        <v>Confinement, total N=3</v>
      </c>
      <c r="L8">
        <f>I14/(SUM(B14:G14))</f>
        <v>7.585</v>
      </c>
    </row>
    <row r="9" spans="1:12" x14ac:dyDescent="0.2">
      <c r="A9" s="128" t="str">
        <f>CONCATENATE("Delinquent Findings, total N=", 'Data Entry'!B12)</f>
        <v>Delinquent Findings, total N=6</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0.83333333333333337</v>
      </c>
      <c r="K9" s="96" t="str">
        <f t="shared" si="0"/>
        <v>Delinquent Findings, total N=6</v>
      </c>
      <c r="L9">
        <f>I14/(SUM(B14:G14))</f>
        <v>7.585</v>
      </c>
    </row>
    <row r="10" spans="1:12" x14ac:dyDescent="0.2">
      <c r="A10" s="128" t="str">
        <f>CONCATENATE("Petitions, total N=", 'Data Entry'!B11)</f>
        <v>Petitions, total N=12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8.3333333333333329E-2</v>
      </c>
      <c r="H10" s="150">
        <f>SUM(D10:G10)/'Data Entry'!B11</f>
        <v>6.9444444444444441E-3</v>
      </c>
      <c r="I10" s="150">
        <f>'Data Entry'!C11/'Data Entry'!B11</f>
        <v>0.75</v>
      </c>
      <c r="K10" s="96" t="str">
        <f t="shared" si="0"/>
        <v>Petitions, total N=12</v>
      </c>
      <c r="L10">
        <f>I14/(SUM(B14:G14))</f>
        <v>7.585</v>
      </c>
    </row>
    <row r="11" spans="1:12" x14ac:dyDescent="0.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N=2</v>
      </c>
      <c r="L11">
        <f>I14/(SUM(B14:G14))</f>
        <v>7.585</v>
      </c>
    </row>
    <row r="12" spans="1:12" x14ac:dyDescent="0.2">
      <c r="A12" s="128" t="str">
        <f>CONCATENATE("Referrals, total N=", 'Data Entry'!B8)</f>
        <v>Referrals, total N=18</v>
      </c>
      <c r="B12" s="150">
        <f>'Data Entry'!D8/'Data Entry'!B8</f>
        <v>0</v>
      </c>
      <c r="C12" s="150">
        <f>'Data Entry'!E8/'Data Entry'!B8</f>
        <v>0</v>
      </c>
      <c r="D12" s="150">
        <f>'Data Entry'!F8/'Data Entry'!B8</f>
        <v>0</v>
      </c>
      <c r="E12" s="150">
        <f>'Data Entry'!G8/'Data Entry'!B8</f>
        <v>0</v>
      </c>
      <c r="F12" s="150">
        <f>'Data Entry'!H8/'Data Entry'!B8</f>
        <v>0</v>
      </c>
      <c r="G12" s="150">
        <f>'Data Entry'!I8/'Data Entry'!B8</f>
        <v>5.5555555555555552E-2</v>
      </c>
      <c r="H12" s="150">
        <f>SUM(D12:G12)/'Data Entry'!B8</f>
        <v>3.0864197530864196E-3</v>
      </c>
      <c r="I12" s="150">
        <f>'Data Entry'!C8/'Data Entry'!B8</f>
        <v>0.72222222222222221</v>
      </c>
      <c r="K12" s="96" t="str">
        <f t="shared" si="0"/>
        <v>Referrals, total N=18</v>
      </c>
      <c r="L12">
        <f>I14/(SUM(B14:G14))</f>
        <v>7.585</v>
      </c>
    </row>
    <row r="13" spans="1:12" x14ac:dyDescent="0.2">
      <c r="A13" s="128" t="str">
        <f>CONCATENATE("Arrests, total N=", 'Data Entry'!B7)</f>
        <v>Arrests, total N=19</v>
      </c>
      <c r="B13" s="150">
        <f>'Data Entry'!D7/'Data Entry'!B7</f>
        <v>5.2631578947368418E-2</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0.78947368421052633</v>
      </c>
      <c r="K13" s="96" t="str">
        <f t="shared" si="0"/>
        <v>Arrests, total N=19</v>
      </c>
      <c r="L13">
        <f>I14/(SUM(B14:G14))</f>
        <v>7.585</v>
      </c>
    </row>
    <row r="14" spans="1:12" x14ac:dyDescent="0.2">
      <c r="A14" s="128" t="str">
        <f>CONCATENATE("Population, total N=", 'Data Entry'!B6)</f>
        <v>Population, total N=1717</v>
      </c>
      <c r="B14" s="150">
        <f>'Data Entry'!D6/'Data Entry'!B6</f>
        <v>1.9219569015725101E-2</v>
      </c>
      <c r="C14" s="150">
        <f>'Data Entry'!E6/'Data Entry'!B6</f>
        <v>4.1933605125218404E-2</v>
      </c>
      <c r="D14" s="150">
        <f>'Data Entry'!F6/'Data Entry'!B6</f>
        <v>4.6592894583576006E-3</v>
      </c>
      <c r="E14" s="150">
        <f>'Data Entry'!G6/'Data Entry'!B6</f>
        <v>0</v>
      </c>
      <c r="F14" s="150">
        <f>'Data Entry'!H6/'Data Entry'!B6</f>
        <v>5.0669772859638904E-2</v>
      </c>
      <c r="G14" s="150">
        <f>'Data Entry'!I6/'Data Entry'!B6</f>
        <v>0</v>
      </c>
      <c r="H14" s="150">
        <f>SUM(D14:G14)/'Data Entry'!B6</f>
        <v>3.2224264599881483E-5</v>
      </c>
      <c r="I14" s="150">
        <f>'Data Entry'!C6/'Data Entry'!B6</f>
        <v>0.88351776354106004</v>
      </c>
      <c r="K14" s="96" t="str">
        <f t="shared" si="0"/>
        <v>Population, total N=1717</v>
      </c>
      <c r="L14">
        <f>I14/(SUM(B14:G14))</f>
        <v>7.585</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Menominee</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1517</v>
      </c>
      <c r="D7" s="104">
        <f>'Data Entry'!D6</f>
        <v>33</v>
      </c>
      <c r="E7" s="105"/>
      <c r="F7" s="106">
        <f>'Data Entry'!E6</f>
        <v>72</v>
      </c>
      <c r="G7" s="105"/>
      <c r="H7" s="106">
        <f>'Data Entry'!F6</f>
        <v>8</v>
      </c>
      <c r="I7" s="105"/>
      <c r="J7" s="106">
        <f>'Data Entry'!J6</f>
        <v>200</v>
      </c>
      <c r="K7" s="107"/>
    </row>
    <row r="8" spans="2:30" s="1" customFormat="1" ht="15" customHeight="1" x14ac:dyDescent="0.3">
      <c r="B8" s="121" t="s">
        <v>8</v>
      </c>
      <c r="C8" s="103">
        <f>'Data Entry'!C7</f>
        <v>15</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1" t="s">
        <v>134</v>
      </c>
      <c r="C9" s="103">
        <f>'Data Entry'!C8</f>
        <v>13</v>
      </c>
      <c r="D9" s="108">
        <f>'Data Entry'!D8</f>
        <v>0</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20</v>
      </c>
      <c r="O9" s="1">
        <f>Hispanic!L8</f>
        <v>40</v>
      </c>
      <c r="P9" s="1">
        <f>Asian!L8</f>
        <v>139</v>
      </c>
      <c r="Q9" s="1">
        <f>Hawaiian!L8</f>
        <v>139</v>
      </c>
      <c r="R9" s="1">
        <f>'Am Indian'!L8</f>
        <v>40</v>
      </c>
      <c r="S9" s="1">
        <f>'Other - Mixed'!L8</f>
        <v>119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1" t="s">
        <v>95</v>
      </c>
      <c r="C12" s="103">
        <f>'Data Entry'!C11</f>
        <v>9</v>
      </c>
      <c r="D12" s="112">
        <f>'Data Entry'!D11</f>
        <v>0</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x14ac:dyDescent="0.3">
      <c r="B13" s="121" t="s">
        <v>13</v>
      </c>
      <c r="C13" s="103">
        <f>'Data Entry'!C12</f>
        <v>5</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x14ac:dyDescent="0.3">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x14ac:dyDescent="0.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Entry'!D6</f>
        <v>33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Entry'!D7</f>
        <v>1</v>
      </c>
      <c r="F7" s="34">
        <f>IF((AND($E$7&gt;0,$D$66&gt;0)),($E$7/$D$66),0)</f>
        <v>30.303030303030301</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32</v>
      </c>
      <c r="P7" s="42">
        <f t="shared" ref="P7:P15" si="2">C7</f>
        <v>15</v>
      </c>
      <c r="Q7" s="42">
        <f>C6-C7</f>
        <v>1502</v>
      </c>
      <c r="R7" s="42">
        <f t="shared" ref="R7:R15" si="3">SUM(N7:Q7)</f>
        <v>1550</v>
      </c>
      <c r="S7" s="30">
        <f t="shared" ref="S7:S15" si="4">R7*((((N7*Q7)-(O7*P7))^2))</f>
        <v>1618950200</v>
      </c>
      <c r="T7" s="30">
        <f t="shared" ref="T7:T15" si="5">(N7+O7)*(P7+Q7)*(N7+P7)*(O7+Q7)</f>
        <v>1228697184</v>
      </c>
      <c r="U7" s="31">
        <f t="shared" ref="U7:U15" si="6">IF((S7&gt;0),S7/T7,"- -")</f>
        <v>1.3176152929150036</v>
      </c>
    </row>
    <row r="8" spans="2:21" ht="18" customHeight="1" x14ac:dyDescent="0.25">
      <c r="B8" s="32" t="str">
        <f>'Data Entry'!A8</f>
        <v>3. Refer to Juvenile Court</v>
      </c>
      <c r="C8" s="33">
        <f>'Data Entry'!C8</f>
        <v>13</v>
      </c>
      <c r="D8" s="34">
        <f>IF((AND(C67&gt;0,C8&gt;0)),(C8/C67),0)</f>
        <v>86.666666666666671</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1.05</v>
      </c>
      <c r="P8" s="42">
        <f t="shared" si="2"/>
        <v>13</v>
      </c>
      <c r="Q8" s="42">
        <f>(C$67*L67)-C8</f>
        <v>2</v>
      </c>
      <c r="R8" s="42">
        <f t="shared" si="3"/>
        <v>16.05</v>
      </c>
      <c r="S8" s="30">
        <f t="shared" si="4"/>
        <v>2990.4761250000006</v>
      </c>
      <c r="T8" s="30">
        <f t="shared" si="5"/>
        <v>624.48749999999995</v>
      </c>
      <c r="U8" s="31">
        <f t="shared" si="6"/>
        <v>4.7886885245901656</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13</v>
      </c>
      <c r="R9" s="42">
        <f t="shared" si="3"/>
        <v>13</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13</v>
      </c>
      <c r="R10" s="42">
        <f t="shared" si="3"/>
        <v>13</v>
      </c>
      <c r="S10" s="30">
        <f t="shared" si="4"/>
        <v>0</v>
      </c>
      <c r="T10" s="30">
        <f t="shared" si="5"/>
        <v>0</v>
      </c>
      <c r="U10" s="31" t="str">
        <f t="shared" si="6"/>
        <v>- -</v>
      </c>
    </row>
    <row r="11" spans="2:21" ht="18" customHeight="1" x14ac:dyDescent="0.25">
      <c r="B11" s="32" t="str">
        <f>'Data Entry'!A11</f>
        <v>6. Cases Petitioned (Charge Filed)</v>
      </c>
      <c r="C11" s="33">
        <f>'Data Entry'!C11</f>
        <v>9</v>
      </c>
      <c r="D11" s="34">
        <f>IF(((AND(C68&gt;0,C11&gt;0))),(C11/(C68)),0)</f>
        <v>69.230769230769226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9</v>
      </c>
      <c r="Q11" s="42">
        <f>(C$68*L68)-C11</f>
        <v>4</v>
      </c>
      <c r="R11" s="42">
        <f t="shared" si="3"/>
        <v>13</v>
      </c>
      <c r="S11" s="30">
        <f t="shared" si="4"/>
        <v>0</v>
      </c>
      <c r="T11" s="30">
        <f t="shared" si="5"/>
        <v>0</v>
      </c>
      <c r="U11" s="31" t="str">
        <f t="shared" si="6"/>
        <v>- -</v>
      </c>
    </row>
    <row r="12" spans="2:21" ht="18" customHeight="1" x14ac:dyDescent="0.25">
      <c r="B12" s="32" t="str">
        <f>'Data Entry'!A12</f>
        <v>7. Cases Resulting in Delinquent Findings</v>
      </c>
      <c r="C12" s="33">
        <f>'Data Entry'!C12</f>
        <v>5</v>
      </c>
      <c r="D12" s="34">
        <f>IF(((AND(C69&gt;0,C12&gt;0))),(C12/(C69)),0)</f>
        <v>55.555555555555557</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5</v>
      </c>
      <c r="Q12" s="42">
        <f>(C69*L69)-C12</f>
        <v>4</v>
      </c>
      <c r="R12" s="42">
        <f t="shared" si="3"/>
        <v>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5</v>
      </c>
      <c r="R13" s="42">
        <f t="shared" si="3"/>
        <v>5</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3</v>
      </c>
      <c r="R14" s="42">
        <f t="shared" si="3"/>
        <v>5</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9</v>
      </c>
      <c r="R15" s="42">
        <f t="shared" si="3"/>
        <v>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3.3000000000000002E-2</v>
      </c>
      <c r="E42" s="56">
        <f>MAX(C42:D42)</f>
        <v>1.5169999999999999</v>
      </c>
      <c r="G42" s="1" t="str">
        <f>B42</f>
        <v>per 1000 youth</v>
      </c>
      <c r="L42" s="57">
        <v>1000</v>
      </c>
      <c r="M42" s="57"/>
      <c r="R42" s="49"/>
    </row>
    <row r="43" spans="2:18" ht="15" hidden="1" customHeight="1" x14ac:dyDescent="0.25">
      <c r="B43" s="49" t="s">
        <v>87</v>
      </c>
      <c r="C43" s="56">
        <f>C7/100</f>
        <v>0.15</v>
      </c>
      <c r="D43" s="56">
        <f>E7/100</f>
        <v>0.01</v>
      </c>
      <c r="E43" s="56">
        <f>MAX(C43:D43,0)</f>
        <v>0.15</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3.3000000000000002E-2</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0.15</v>
      </c>
      <c r="D49" s="49">
        <f t="shared" si="9"/>
        <v>0.01</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3.3000000000000002E-2</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3.3000000000000002E-2</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3.3000000000000002E-2</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Entry'!F6</f>
        <v>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15</v>
      </c>
      <c r="Q7" s="42">
        <f>C6-C7</f>
        <v>1502</v>
      </c>
      <c r="R7" s="42">
        <f t="shared" ref="R7:R15" si="5">SUM(N7:Q7)</f>
        <v>1525</v>
      </c>
      <c r="S7" s="30">
        <f t="shared" ref="S7:S15" si="6">R7*((((N7*Q7)-(O7*P7))^2))</f>
        <v>21960000</v>
      </c>
      <c r="T7" s="30">
        <f t="shared" ref="T7:T15" si="7">(N7+O7)*(P7+Q7)*(N7+P7)*(O7+Q7)</f>
        <v>274880400</v>
      </c>
      <c r="U7" s="31">
        <f t="shared" ref="U7:U15" si="8">IF((S7&gt;0),S7/T7,"- -")</f>
        <v>7.9889290033047095E-2</v>
      </c>
    </row>
    <row r="8" spans="2:21" ht="18" customHeight="1" x14ac:dyDescent="0.25">
      <c r="B8" s="32" t="str">
        <f>'Data Entry'!A8</f>
        <v>3. Refer to Juvenile Court</v>
      </c>
      <c r="C8" s="33">
        <f>'Data Entry'!C8</f>
        <v>13</v>
      </c>
      <c r="D8" s="34">
        <f>IF((AND(C67&gt;0,C8&gt;0)),(C8/C67),0)</f>
        <v>86.666666666666671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v>
      </c>
      <c r="Q8" s="42">
        <f>(C$67*L67)-C8</f>
        <v>2</v>
      </c>
      <c r="R8" s="42">
        <f t="shared" si="5"/>
        <v>15.05</v>
      </c>
      <c r="S8" s="30">
        <f t="shared" si="6"/>
        <v>6.3586250000000009</v>
      </c>
      <c r="T8" s="30">
        <f t="shared" si="7"/>
        <v>19.987499999999997</v>
      </c>
      <c r="U8" s="31">
        <f t="shared" si="8"/>
        <v>0.31813008130081311</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4</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55.555555555555557</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4</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8.0000000000000002E-3</v>
      </c>
      <c r="E42" s="56">
        <f>MAX(C42:D42)</f>
        <v>1.5169999999999999</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8.0000000000000002E-3</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8.0000000000000002E-3</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8.0000000000000002E-3</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8.0000000000000002E-3</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Entry'!E6</f>
        <v>72</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72</v>
      </c>
      <c r="P7" s="42">
        <f t="shared" ref="P7:P15" si="4">C7</f>
        <v>15</v>
      </c>
      <c r="Q7" s="42">
        <f>C6-C7</f>
        <v>1502</v>
      </c>
      <c r="R7" s="42">
        <f t="shared" ref="R7:R15" si="5">SUM(N7:Q7)</f>
        <v>1589</v>
      </c>
      <c r="S7" s="30">
        <f t="shared" ref="S7:S15" si="6">R7*((((N7*Q7)-(O7*P7))^2))</f>
        <v>1853409600</v>
      </c>
      <c r="T7" s="30">
        <f t="shared" ref="T7:T15" si="7">(N7+O7)*(P7+Q7)*(N7+P7)*(O7+Q7)</f>
        <v>2578778640</v>
      </c>
      <c r="U7" s="31">
        <f t="shared" ref="U7:U15" si="8">IF((S7&gt;0),S7/T7,"- -")</f>
        <v>0.71871605078906653</v>
      </c>
    </row>
    <row r="8" spans="2:21" ht="18" customHeight="1" x14ac:dyDescent="0.25">
      <c r="B8" s="32" t="str">
        <f>'Data Entry'!A8</f>
        <v>3. Refer to Juvenile Court</v>
      </c>
      <c r="C8" s="33">
        <f>'Data Entry'!C8</f>
        <v>13</v>
      </c>
      <c r="D8" s="34">
        <f>IF((AND(C67&gt;0,C8&gt;0)),(C8/C67),0)</f>
        <v>86.666666666666671</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v>
      </c>
      <c r="Q8" s="42">
        <f>(C$67*L67)-C8</f>
        <v>2</v>
      </c>
      <c r="R8" s="42">
        <f t="shared" si="5"/>
        <v>15.05</v>
      </c>
      <c r="S8" s="30">
        <f t="shared" si="6"/>
        <v>6.3586250000000009</v>
      </c>
      <c r="T8" s="30">
        <f t="shared" si="7"/>
        <v>19.987499999999997</v>
      </c>
      <c r="U8" s="31">
        <f t="shared" si="8"/>
        <v>0.31813008130081311</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4</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55.555555555555557</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4</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7.1999999999999995E-2</v>
      </c>
      <c r="E42" s="56">
        <f>MAX(C42:D42)</f>
        <v>1.5169999999999999</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7.1999999999999995E-2</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7.1999999999999995E-2</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7.1999999999999995E-2</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7.1999999999999995E-2</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1502</v>
      </c>
      <c r="R7" s="42">
        <f t="shared" ref="R7:R15" si="5">SUM(N7:Q7)</f>
        <v>1517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13</v>
      </c>
      <c r="D8" s="34">
        <f>IF((AND(C67&gt;0,C8&gt;0)),(C8/C67),0)</f>
        <v>86.666666666666671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v>
      </c>
      <c r="Q8" s="42">
        <f>(C$67*L67)-C8</f>
        <v>2</v>
      </c>
      <c r="R8" s="42">
        <f t="shared" si="5"/>
        <v>15.05</v>
      </c>
      <c r="S8" s="30">
        <f t="shared" si="6"/>
        <v>6.3586250000000009</v>
      </c>
      <c r="T8" s="30">
        <f t="shared" si="7"/>
        <v>19.987499999999997</v>
      </c>
      <c r="U8" s="31">
        <f t="shared" si="8"/>
        <v>0.31813008130081311</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4</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55.555555555555557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4</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0</v>
      </c>
      <c r="E42" s="56">
        <f>MAX(C42:D42)</f>
        <v>1.5169999999999999</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0</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0</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0</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0</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Menominee</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1517</v>
      </c>
      <c r="D6" s="34"/>
      <c r="E6" s="33">
        <f>'Data Entry'!H6</f>
        <v>87</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9.8879367172050099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87</v>
      </c>
      <c r="P7" s="42">
        <f t="shared" ref="P7:P15" si="4">C7</f>
        <v>15</v>
      </c>
      <c r="Q7" s="42">
        <f>C6-C7</f>
        <v>1502</v>
      </c>
      <c r="R7" s="42">
        <f t="shared" ref="R7:R15" si="5">SUM(N7:Q7)</f>
        <v>1604</v>
      </c>
      <c r="S7" s="30">
        <f t="shared" ref="S7:S15" si="6">R7*((((N7*Q7)-(O7*P7))^2))</f>
        <v>2731652100</v>
      </c>
      <c r="T7" s="30">
        <f t="shared" ref="T7:T15" si="7">(N7+O7)*(P7+Q7)*(N7+P7)*(O7+Q7)</f>
        <v>3145719465</v>
      </c>
      <c r="U7" s="31">
        <f t="shared" ref="U7:U15" si="8">IF((S7&gt;0),S7/T7,"- -")</f>
        <v>0.86837117244337614</v>
      </c>
    </row>
    <row r="8" spans="2:21" ht="18" customHeight="1" x14ac:dyDescent="0.25">
      <c r="B8" s="32" t="str">
        <f>'Data Entry'!A8</f>
        <v>3. Refer to Juvenile Court</v>
      </c>
      <c r="C8" s="33">
        <f>'Data Entry'!C8</f>
        <v>13</v>
      </c>
      <c r="D8" s="34">
        <f>IF((AND(C67&gt;0,C8&gt;0)),(C8/C67),0)</f>
        <v>86.666666666666671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v>
      </c>
      <c r="Q8" s="42">
        <f>(C$67*L67)-C8</f>
        <v>2</v>
      </c>
      <c r="R8" s="42">
        <f t="shared" si="5"/>
        <v>15.05</v>
      </c>
      <c r="S8" s="30">
        <f t="shared" si="6"/>
        <v>6.3586250000000009</v>
      </c>
      <c r="T8" s="30">
        <f t="shared" si="7"/>
        <v>19.987499999999997</v>
      </c>
      <c r="U8" s="31">
        <f t="shared" si="8"/>
        <v>0.31813008130081311</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x14ac:dyDescent="0.25">
      <c r="B11" s="32" t="str">
        <f>'Data Entry'!A11</f>
        <v>6. Cases Petitioned (Charge Filed)</v>
      </c>
      <c r="C11" s="33">
        <f>'Data Entry'!C11</f>
        <v>9</v>
      </c>
      <c r="D11" s="34">
        <f>IF(((AND(C68&gt;0,C11&gt;0))),(C11/(C68)),0)</f>
        <v>69.230769230769226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4</v>
      </c>
      <c r="R11" s="42">
        <f t="shared" si="5"/>
        <v>13</v>
      </c>
      <c r="S11" s="30">
        <f t="shared" si="6"/>
        <v>0</v>
      </c>
      <c r="T11" s="30">
        <f t="shared" si="7"/>
        <v>0</v>
      </c>
      <c r="U11" s="31" t="str">
        <f t="shared" si="8"/>
        <v>- -</v>
      </c>
    </row>
    <row r="12" spans="2:21" ht="18" customHeight="1" x14ac:dyDescent="0.25">
      <c r="B12" s="32" t="str">
        <f>'Data Entry'!A12</f>
        <v>7. Cases Resulting in Delinquent Findings</v>
      </c>
      <c r="C12" s="33">
        <f>'Data Entry'!C12</f>
        <v>5</v>
      </c>
      <c r="D12" s="34">
        <f>IF(((AND(C69&gt;0,C12&gt;0))),(C12/(C69)),0)</f>
        <v>55.555555555555557</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4</v>
      </c>
      <c r="R12" s="42">
        <f t="shared" si="5"/>
        <v>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2</v>
      </c>
      <c r="D14" s="34">
        <f>IF(((AND(C70&gt;0,C14&gt;0))), ((C14/(C70))),0)</f>
        <v>40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3</v>
      </c>
      <c r="R14" s="42">
        <f t="shared" si="5"/>
        <v>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1.5169999999999999</v>
      </c>
      <c r="D42" s="56">
        <f>E6/1000</f>
        <v>8.6999999999999994E-2</v>
      </c>
      <c r="E42" s="56">
        <f>MAX(C42:D42)</f>
        <v>1.5169999999999999</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0.13</v>
      </c>
      <c r="D44" s="56">
        <f>E8/100</f>
        <v>0</v>
      </c>
      <c r="E44" s="56">
        <f>MAX(C44:D44,0)</f>
        <v>0.13</v>
      </c>
      <c r="G44" s="1" t="str">
        <f>B44</f>
        <v>per 100 referrals</v>
      </c>
      <c r="L44" s="57">
        <v>100</v>
      </c>
      <c r="M44" s="57"/>
      <c r="R44" s="49"/>
    </row>
    <row r="45" spans="2:18" ht="15" hidden="1" customHeight="1" x14ac:dyDescent="0.25">
      <c r="B45" s="49" t="s">
        <v>89</v>
      </c>
      <c r="C45" s="49">
        <f>C11/100</f>
        <v>0.09</v>
      </c>
      <c r="D45" s="49">
        <f>E11/100</f>
        <v>0</v>
      </c>
      <c r="E45" s="56">
        <f>MAX(C45:D45,0)</f>
        <v>0.09</v>
      </c>
      <c r="G45" s="1" t="str">
        <f>B45</f>
        <v>per 100 youth petitioned</v>
      </c>
      <c r="L45" s="57">
        <v>100</v>
      </c>
      <c r="M45" s="57"/>
      <c r="R45" s="49"/>
    </row>
    <row r="46" spans="2:18" ht="15" hidden="1" customHeight="1" x14ac:dyDescent="0.25">
      <c r="B46" s="49" t="s">
        <v>90</v>
      </c>
      <c r="C46" s="49">
        <f>C12/100</f>
        <v>0.05</v>
      </c>
      <c r="D46" s="49">
        <f>E12/100</f>
        <v>0</v>
      </c>
      <c r="E46" s="56">
        <f>MAX(C46:D46)</f>
        <v>0.05</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1.5169999999999999</v>
      </c>
      <c r="D48" s="56">
        <f>D42</f>
        <v>8.6999999999999994E-2</v>
      </c>
      <c r="E48" s="56">
        <f>MAX(C48:D48)</f>
        <v>1.5169999999999999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x14ac:dyDescent="0.25">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1.5169999999999999</v>
      </c>
      <c r="D54" s="56">
        <f>D48</f>
        <v>8.6999999999999994E-2</v>
      </c>
      <c r="E54" s="56">
        <f>MAX(C54:D54)</f>
        <v>1.5169999999999999</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0.13</v>
      </c>
      <c r="D56" s="49">
        <f t="shared" si="10"/>
        <v>0</v>
      </c>
      <c r="E56" s="49">
        <f>MAX(C56:D56)</f>
        <v>0.13</v>
      </c>
      <c r="G56" s="1" t="str">
        <f>G50</f>
        <v>per 100 referrals</v>
      </c>
      <c r="L56" s="58">
        <f>IF(($E50&gt;0),L50,L49)</f>
        <v>100</v>
      </c>
      <c r="M56" s="58"/>
    </row>
    <row r="57" spans="2:18" ht="15" hidden="1" customHeight="1" x14ac:dyDescent="0.25">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x14ac:dyDescent="0.25">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1.5169999999999999</v>
      </c>
      <c r="D60" s="56">
        <f>D54</f>
        <v>8.6999999999999994E-2</v>
      </c>
      <c r="E60" s="56">
        <f>MAX(C60:D60)</f>
        <v>1.5169999999999999</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0.13</v>
      </c>
      <c r="D62" s="49">
        <f t="shared" si="11"/>
        <v>0</v>
      </c>
      <c r="E62" s="49">
        <f>MAX(C62:D62)</f>
        <v>0.13</v>
      </c>
      <c r="G62" s="1" t="str">
        <f>G56</f>
        <v>per 100 referrals</v>
      </c>
      <c r="L62" s="58">
        <f>IF(($E56&gt;0),L56,L55)</f>
        <v>100</v>
      </c>
      <c r="M62" s="58"/>
    </row>
    <row r="63" spans="2:18" ht="15" hidden="1" customHeight="1" x14ac:dyDescent="0.25">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x14ac:dyDescent="0.25">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1.5169999999999999</v>
      </c>
      <c r="D66" s="56">
        <f>D60</f>
        <v>8.6999999999999994E-2</v>
      </c>
      <c r="E66" s="56">
        <f>MAX(C66:D66)</f>
        <v>1.5169999999999999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0.13</v>
      </c>
      <c r="D68" s="49">
        <f t="shared" si="12"/>
        <v>0</v>
      </c>
      <c r="E68" s="49">
        <f>MAX(C68:D68)</f>
        <v>0.13</v>
      </c>
      <c r="G68" s="1" t="str">
        <f>G62</f>
        <v>per 100 referrals</v>
      </c>
      <c r="L68" s="58">
        <f>IF(($E62&gt;0),L62,L61)</f>
        <v>100</v>
      </c>
      <c r="M68" s="58">
        <f>IF((B68=G68),1,2)</f>
        <v>1</v>
      </c>
    </row>
    <row r="69" spans="2:13" ht="15" hidden="1" customHeight="1" x14ac:dyDescent="0.25">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U47JMPN4QEAR-1806752177-30251</_dlc_DocId>
    <_dlc_DocIdUrl xmlns="ac3811b5-0f3e-49e2-ba69-f2ffa0c782af">
      <Url>https://michiganphi.sharepoint.com/sites/CMDMC/_layouts/15/DocIdRedir.aspx?ID=U47JMPN4QEAR-1806752177-30251</Url>
      <Description>U47JMPN4QEAR-1806752177-30251</Description>
    </_dlc_DocIdUrl>
  </documentManagement>
</p:properties>
</file>

<file path=customXml/itemProps1.xml><?xml version="1.0" encoding="utf-8"?>
<ds:datastoreItem xmlns:ds="http://schemas.openxmlformats.org/officeDocument/2006/customXml" ds:itemID="{7C3C615A-AE29-4996-93E6-5505A71088D3}"/>
</file>

<file path=customXml/itemProps2.xml><?xml version="1.0" encoding="utf-8"?>
<ds:datastoreItem xmlns:ds="http://schemas.openxmlformats.org/officeDocument/2006/customXml" ds:itemID="{45FFB1B6-1B01-4161-9AE3-A839A1B68D15}"/>
</file>

<file path=customXml/itemProps3.xml><?xml version="1.0" encoding="utf-8"?>
<ds:datastoreItem xmlns:ds="http://schemas.openxmlformats.org/officeDocument/2006/customXml" ds:itemID="{55830EAB-239A-486A-A922-BBE53B001965}"/>
</file>

<file path=customXml/itemProps4.xml><?xml version="1.0" encoding="utf-8"?>
<ds:datastoreItem xmlns:ds="http://schemas.openxmlformats.org/officeDocument/2006/customXml" ds:itemID="{96526E6F-40AD-4C81-B4BB-F31EBB7481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7baedf26-ccdf-4e51-8eba-59e5c0c62c20</vt:lpwstr>
  </property>
</Properties>
</file>