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AE758F80-2E04-40CF-B41E-ABE943B4C521}" xr6:coauthVersionLast="47" xr6:coauthVersionMax="47" xr10:uidLastSave="{852D6E58-5621-47C5-8561-E36697E39F1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2"/>
  <c r="M66" i="2"/>
  <c r="F27" i="6"/>
  <c r="M66" i="6"/>
  <c r="M66" i="7"/>
  <c r="F27" i="7"/>
  <c r="F27" i="4"/>
  <c r="M66" i="4"/>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B52" i="3" s="1"/>
  <c r="E44" i="6"/>
  <c r="D50" i="6" s="1"/>
  <c r="E43" i="7"/>
  <c r="E46" i="7"/>
  <c r="D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D52" i="3"/>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50" i="6" l="1"/>
  <c r="E50" i="6" s="1"/>
  <c r="L52" i="7"/>
  <c r="L50" i="6"/>
  <c r="B50" i="6"/>
  <c r="B52"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E49" i="5"/>
  <c r="D51" i="2"/>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8" s="1"/>
  <c r="L64" i="3"/>
  <c r="B56" i="8"/>
  <c r="L56" i="8"/>
  <c r="D64" i="5"/>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B64" i="8"/>
  <c r="D64" i="8"/>
  <c r="Q8" i="13"/>
  <c r="I7" i="9"/>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D63" i="8"/>
  <c r="B70" i="3"/>
  <c r="M70" i="3" s="1"/>
  <c r="L69" i="7"/>
  <c r="C70" i="3"/>
  <c r="D14" i="3" s="1"/>
  <c r="L70" i="6"/>
  <c r="C70" i="6"/>
  <c r="D14" i="6" s="1"/>
  <c r="B63" i="8"/>
  <c r="B70" i="8" s="1"/>
  <c r="M70" i="8" s="1"/>
  <c r="C69" i="7"/>
  <c r="D12" i="7" s="1"/>
  <c r="C63" i="8"/>
  <c r="D70" i="6"/>
  <c r="F13" i="6" s="1"/>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B69" i="6"/>
  <c r="M69" i="6" s="1"/>
  <c r="O14" i="6"/>
  <c r="E63" i="8"/>
  <c r="D69" i="8" s="1"/>
  <c r="F15" i="8" s="1"/>
  <c r="B69" i="3"/>
  <c r="M69" i="3" s="1"/>
  <c r="L69" i="3"/>
  <c r="Q12" i="3" s="1"/>
  <c r="D12" i="3"/>
  <c r="D13" i="3"/>
  <c r="Q13" i="3"/>
  <c r="Q14" i="3"/>
  <c r="Q15" i="7"/>
  <c r="E69" i="7"/>
  <c r="D15" i="7"/>
  <c r="F34" i="3"/>
  <c r="D69" i="3"/>
  <c r="E69" i="3" s="1"/>
  <c r="Q13" i="6"/>
  <c r="Q14" i="6"/>
  <c r="O13" i="6"/>
  <c r="F14" i="6"/>
  <c r="E70" i="6"/>
  <c r="D13" i="6"/>
  <c r="E70" i="3"/>
  <c r="O13" i="3"/>
  <c r="F14" i="3"/>
  <c r="Q12" i="7"/>
  <c r="C69" i="6"/>
  <c r="D12" i="6" s="1"/>
  <c r="F12" i="7"/>
  <c r="O12" i="7"/>
  <c r="O15" i="7"/>
  <c r="O14" i="3"/>
  <c r="D69" i="6"/>
  <c r="F12" i="6" s="1"/>
  <c r="T10" i="3"/>
  <c r="K10" i="4"/>
  <c r="F8" i="7"/>
  <c r="T9" i="4"/>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K14" i="6"/>
  <c r="T15" i="7"/>
  <c r="Q15" i="3"/>
  <c r="F32" i="3"/>
  <c r="F35" i="3"/>
  <c r="B69" i="8"/>
  <c r="M69" i="8" s="1"/>
  <c r="F12" i="8"/>
  <c r="C69" i="8"/>
  <c r="D12" i="8" s="1"/>
  <c r="R13" i="3"/>
  <c r="S13" i="3" s="1"/>
  <c r="U13" i="3" s="1"/>
  <c r="J13" i="3" s="1"/>
  <c r="M13" i="3" s="1"/>
  <c r="G13" i="3" s="1"/>
  <c r="R14" i="3"/>
  <c r="S14" i="3" s="1"/>
  <c r="U14" i="3" s="1"/>
  <c r="J14" i="3" s="1"/>
  <c r="M14" i="3" s="1"/>
  <c r="G14" i="3" s="1"/>
  <c r="I15" i="16" s="1"/>
  <c r="O15" i="3"/>
  <c r="T15" i="3" s="1"/>
  <c r="D15" i="6"/>
  <c r="F15" i="3"/>
  <c r="F12" i="3"/>
  <c r="O12" i="3"/>
  <c r="R12" i="3" s="1"/>
  <c r="S12" i="3" s="1"/>
  <c r="U12" i="3" s="1"/>
  <c r="J12" i="3" s="1"/>
  <c r="R13" i="6"/>
  <c r="S13" i="6" s="1"/>
  <c r="U13" i="6" s="1"/>
  <c r="J13" i="6" s="1"/>
  <c r="M13" i="6" s="1"/>
  <c r="G13" i="6" s="1"/>
  <c r="G13" i="9" s="1"/>
  <c r="T13" i="3"/>
  <c r="T13" i="6"/>
  <c r="K13" i="6"/>
  <c r="K15" i="7"/>
  <c r="R15" i="7"/>
  <c r="S15" i="7" s="1"/>
  <c r="U15" i="7" s="1"/>
  <c r="J15" i="7" s="1"/>
  <c r="M15" i="7" s="1"/>
  <c r="T13" i="8"/>
  <c r="U13" i="8" s="1"/>
  <c r="J13" i="8" s="1"/>
  <c r="M13" i="8" s="1"/>
  <c r="T14" i="6"/>
  <c r="R14" i="6"/>
  <c r="S14" i="6" s="1"/>
  <c r="U14" i="6" s="1"/>
  <c r="J14" i="6" s="1"/>
  <c r="M14" i="6" s="1"/>
  <c r="G14" i="6" s="1"/>
  <c r="M15" i="13" s="1"/>
  <c r="T12" i="7"/>
  <c r="R12" i="7"/>
  <c r="S12" i="7" s="1"/>
  <c r="K13" i="3"/>
  <c r="K12" i="7"/>
  <c r="O12" i="6"/>
  <c r="R14" i="8"/>
  <c r="S14" i="8" s="1"/>
  <c r="E69" i="6"/>
  <c r="K14" i="3"/>
  <c r="T14" i="3"/>
  <c r="O15" i="6"/>
  <c r="Q12" i="6"/>
  <c r="Q15" i="6"/>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K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4" i="3"/>
  <c r="P15" i="16" s="1"/>
  <c r="R15" i="3"/>
  <c r="S15" i="3" s="1"/>
  <c r="U15" i="3" s="1"/>
  <c r="J15" i="3" s="1"/>
  <c r="M15" i="3" s="1"/>
  <c r="G15" i="3" s="1"/>
  <c r="I16" i="16" s="1"/>
  <c r="L13" i="3"/>
  <c r="P14" i="16" s="1"/>
  <c r="I15" i="13"/>
  <c r="Q15" i="8"/>
  <c r="R15" i="8" s="1"/>
  <c r="S15" i="8" s="1"/>
  <c r="U15" i="8" s="1"/>
  <c r="J15" i="8" s="1"/>
  <c r="E69" i="8"/>
  <c r="F32" i="8"/>
  <c r="Q12" i="8"/>
  <c r="R12" i="8" s="1"/>
  <c r="S12" i="8" s="1"/>
  <c r="E14" i="9"/>
  <c r="N30" i="3"/>
  <c r="F35" i="8"/>
  <c r="T12" i="3"/>
  <c r="M14" i="13"/>
  <c r="L13" i="6"/>
  <c r="R14" i="16" s="1"/>
  <c r="L15" i="7"/>
  <c r="S16" i="16" s="1"/>
  <c r="U13" i="7"/>
  <c r="J13" i="7" s="1"/>
  <c r="M13" i="7" s="1"/>
  <c r="U12" i="7"/>
  <c r="J12" i="7" s="1"/>
  <c r="M12" i="7" s="1"/>
  <c r="U14" i="8"/>
  <c r="J14" i="8" s="1"/>
  <c r="N30" i="8" s="1"/>
  <c r="G13" i="8"/>
  <c r="I13" i="9" s="1"/>
  <c r="T12" i="6"/>
  <c r="T15" i="6"/>
  <c r="L13" i="8"/>
  <c r="T14" i="16" s="1"/>
  <c r="K12" i="6"/>
  <c r="K15" i="6"/>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5" i="3"/>
  <c r="P16"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V15" i="13" l="1"/>
  <c r="N14" i="9"/>
  <c r="V14" i="13"/>
  <c r="K15" i="8"/>
  <c r="T15" i="8"/>
  <c r="N13" i="9"/>
  <c r="P13" i="9"/>
  <c r="X14" i="13"/>
  <c r="T12" i="8"/>
  <c r="U12" i="8" s="1"/>
  <c r="J12" i="8" s="1"/>
  <c r="M12" i="8" s="1"/>
  <c r="K12" i="8"/>
  <c r="Y16" i="13"/>
  <c r="L12" i="7"/>
  <c r="Y13" i="13" s="1"/>
  <c r="Q15" i="9"/>
  <c r="L13" i="7"/>
  <c r="S14" i="16" s="1"/>
  <c r="L14" i="8"/>
  <c r="T15" i="16" s="1"/>
  <c r="M14" i="8"/>
  <c r="G14" i="8" s="1"/>
  <c r="K15" i="16" s="1"/>
  <c r="U11" i="7"/>
  <c r="J11" i="7" s="1"/>
  <c r="L11" i="7" s="1"/>
  <c r="S12" i="16" s="1"/>
  <c r="U10" i="7"/>
  <c r="J10" i="7" s="1"/>
  <c r="M10" i="7" s="1"/>
  <c r="K14" i="16"/>
  <c r="Q14" i="13"/>
  <c r="U14" i="2"/>
  <c r="J14" i="2" s="1"/>
  <c r="M14" i="2" s="1"/>
  <c r="G14" i="2" s="1"/>
  <c r="E15" i="16" s="1"/>
  <c r="U13" i="2"/>
  <c r="J13" i="2" s="1"/>
  <c r="M13" i="2" s="1"/>
  <c r="G13" i="2" s="1"/>
  <c r="E14" i="16" s="1"/>
  <c r="L15" i="6"/>
  <c r="R16" i="16" s="1"/>
  <c r="R13" i="9"/>
  <c r="Z14" i="13"/>
  <c r="L12" i="6"/>
  <c r="R13"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L14" i="2"/>
  <c r="N15" i="16" s="1"/>
  <c r="M11" i="7"/>
  <c r="L13" i="2"/>
  <c r="N14" i="16" s="1"/>
  <c r="X16" i="13"/>
  <c r="E14" i="13"/>
  <c r="R14" i="9"/>
  <c r="Z15" i="13"/>
  <c r="N30" i="2"/>
  <c r="L10" i="7"/>
  <c r="S11" i="16" s="1"/>
  <c r="Q13" i="9"/>
  <c r="Y14" i="13"/>
  <c r="S13" i="16"/>
  <c r="Q12" i="9"/>
  <c r="L12" i="8"/>
  <c r="T13" i="16" s="1"/>
  <c r="I14" i="9"/>
  <c r="Q15" i="13"/>
  <c r="C14" i="9"/>
  <c r="E15" i="13"/>
  <c r="C13" i="9"/>
  <c r="P15" i="9"/>
  <c r="X13" i="13"/>
  <c r="P12"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4" i="9" l="1"/>
  <c r="T15" i="13"/>
  <c r="I12" i="9"/>
  <c r="Q13" i="13"/>
  <c r="T14" i="13"/>
  <c r="L13" i="9"/>
  <c r="Z13" i="13"/>
  <c r="Q10" i="9"/>
  <c r="R12" i="9"/>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<sst xmlns="http://schemas.openxmlformats.org/spreadsheetml/2006/main" count="654" uniqueCount="141">
  <si>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</si>
  <si>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</si>
  <si>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</si>
  <si>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</si>
  <si>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</si>
  <si>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</si>
  <si>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</si>
  <si>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</si>
  <si>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</si>
  <si>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</si>
  <si>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</si>
  <si>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</si>
  <si>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</si>
  <si>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</si>
  <si>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</si>
  <si>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</si>
  <si>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</si>
  <si>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</si>
  <si>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</si>
  <si>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</si>
  <si>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</si>
  <si>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</si>
  <si>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</si>
  <si>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</si>
  <si>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</si>
  <si>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</si>
  <si>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</si>
  <si>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</si>
  <si>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</si>
  <si>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</si>
  <si>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</si>
  <si>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</si>
  <si>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</si>
  <si>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</si>
  <si>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</si>
  <si>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</si>
  <si>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</si>
  <si>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</si>
  <si>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</si>
  <si>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</si>
  <si>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</si>
  <si>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</si>
  <si>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</si>
  <si>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</si>
  <si>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</si>
  <si>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</si>
  <si>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</si>
  <si>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</si>
  <si>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</si>
  <si>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</si>
  <si>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</si>
  <si>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</si>
  <si>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</si>
  <si>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</si>
  <si>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</si>
  <si>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</si>
  <si>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</si>
  <si>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</si>
  <si>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</si>
  <si>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</si>
  <si>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</si>
  <si>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</si>
  <si>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</si>
  <si>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</si>
  <si>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</si>
  <si>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</si>
  <si>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</si>
  <si>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</si>
  <si>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</si>
  <si>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</si>
  <si>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</si>
  <si>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</si>
  <si>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</si>
  <si>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</si>
  <si>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</si>
  <si>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</si>
  <si>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</si>
  <si>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</si>
  <si>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</si>
  <si>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</si>
  <si>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</si>
  <si>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</si>
  <si>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</si>
  <si>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</si>
  <si>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</si>
  <si>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</si>
  <si>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</si>
  <si>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</si>
  <si>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</si>
  <si>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</si>
  <si>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</si>
  <si>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</si>
  <si>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</si>
  <si>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</si>
  <si>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</si>
  <si>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</si>
  <si>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</si>
  <si>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</si>
  <si>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</si>
  <si>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</si>
  <si>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</si>
  <si>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</si>
  <si>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</si>
  <si>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</si>
  <si>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</si>
  <si>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</si>
  <si>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</si>
  <si>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</si>
  <si>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</si>
  <si>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</si>
  <si>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</si>
  <si>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</si>
  <si>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</si>
  <si>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</si>
  <si>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</si>
  <si>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</si>
  <si>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</si>
  <si>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</si>
  <si>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</si>
  <si>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</si>
  <si>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</si>
  <si>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</si>
  <si>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</si>
  <si>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</si>
  <si>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</si>
  <si>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</si>
  <si>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</si>
  <si>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</si>
  <si>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</si>
  <si>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</si>
  <si>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</si>
  <si>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</si>
  <si>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</si>
  <si>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</si>
  <si>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</si>
  <si>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</si>
  <si>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Mecosta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</si>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</sst>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Mecosta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N=40</c:v>
                </c:pt>
                <c:pt idx="3">
                  <c:v>Petitions, total N=46</c:v>
                </c:pt>
                <c:pt idx="4">
                  <c:v>Detentions, total N=9</c:v>
                </c:pt>
                <c:pt idx="5">
                  <c:v>Referrals, total N=94</c:v>
                </c:pt>
                <c:pt idx="6">
                  <c:v>Arrests, total N=73</c:v>
                </c:pt>
                <c:pt idx="7">
                  <c:v>Population, total N=3625</c:v>
                </c:pt>
              </c:strCache>
            </c:strRef>
          </c:cat>
          <c:val>
            <c:numRef>
              <c:f>'Stacked 100%'!$B$7:$B$14</c:f>
              <c:numCache>
                <c:formatCode>0%</c:formatCode>
                <c:ptCount val="8"/>
                <c:pt idx="0">
                  <c:v>0</c:v>
                </c:pt>
                <c:pt idx="1">
                  <c:v>4.5454545454545456E-2</c:v>
                </c:pt>
                <c:pt idx="2">
                  <c:v>0.05</c:v>
                </c:pt>
                <c:pt idx="3">
                  <c:v>6.5217391304347824E-2</c:v>
                </c:pt>
                <c:pt idx="4">
                  <c:v>0</c:v>
                </c:pt>
                <c:pt idx="5">
                  <c:v>5.3191489361702128E-2</c:v>
                </c:pt>
                <c:pt idx="6">
                  <c:v>0.15068493150684931</c:v>
                </c:pt>
                <c:pt idx="7">
                  <c:v>3.5586206896551724E-2</c:v>
                </c:pt>
              </c:numCache>
            </c:numRef>
          </c:val>
          <c:extLst>
            <c:ext xmlns:c16="http://schemas.microsoft.com/office/drawing/2014/chart" uri="{C3380CC4-5D6E-409C-BE32-E72D297353CC}">
              <c16:uniqueId val="{00000000-CA3D-4A42-B9C4-4672415EF9C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N=40</c:v>
                </c:pt>
                <c:pt idx="3">
                  <c:v>Petitions, total N=46</c:v>
                </c:pt>
                <c:pt idx="4">
                  <c:v>Detentions, total N=9</c:v>
                </c:pt>
                <c:pt idx="5">
                  <c:v>Referrals, total N=94</c:v>
                </c:pt>
                <c:pt idx="6">
                  <c:v>Arrests, total N=73</c:v>
                </c:pt>
                <c:pt idx="7">
                  <c:v>Population, total N=3625</c:v>
                </c:pt>
              </c:strCache>
            </c:strRef>
          </c:cat>
          <c:val>
            <c:numRef>
              <c:f>'Stacked 100%'!$C$7:$C$14</c:f>
              <c:numCache>
                <c:formatCode>0%</c:formatCode>
                <c:ptCount val="8"/>
                <c:pt idx="0">
                  <c:v>0</c:v>
                </c:pt>
                <c:pt idx="1">
                  <c:v>0</c:v>
                </c:pt>
                <c:pt idx="2">
                  <c:v>0</c:v>
                </c:pt>
                <c:pt idx="3">
                  <c:v>0</c:v>
                </c:pt>
                <c:pt idx="4">
                  <c:v>0</c:v>
                </c:pt>
                <c:pt idx="5">
                  <c:v>0</c:v>
                </c:pt>
                <c:pt idx="6">
                  <c:v>0</c:v>
                </c:pt>
                <c:pt idx="7">
                  <c:v>4.2206896551724139E-2</c:v>
                </c:pt>
              </c:numCache>
            </c:numRef>
          </c:val>
          <c:extLst>
            <c:ext xmlns:c16="http://schemas.microsoft.com/office/drawing/2014/chart" uri="{C3380CC4-5D6E-409C-BE32-E72D297353CC}">
              <c16:uniqueId val="{00000001-CA3D-4A42-B9C4-4672415EF9C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N=22</c:v>
                </c:pt>
                <c:pt idx="2">
                  <c:v>Delinquent Findings, total N=40</c:v>
                </c:pt>
                <c:pt idx="3">
                  <c:v>Petitions, total N=46</c:v>
                </c:pt>
                <c:pt idx="4">
                  <c:v>Detentions, total N=9</c:v>
                </c:pt>
                <c:pt idx="5">
                  <c:v>Referrals, total N=94</c:v>
                </c:pt>
                <c:pt idx="6">
                  <c:v>Arrests, total N=73</c:v>
                </c:pt>
                <c:pt idx="7">
                  <c:v>Population, total N=3625</c:v>
                </c:pt>
              </c:strCache>
            </c:strRef>
          </c:cat>
          <c:val>
            <c:numRef>
              <c:f>'Stacked 100%'!$H$7:$H$14</c:f>
              <c:numCache>
                <c:formatCode>0%</c:formatCode>
                <c:ptCount val="8"/>
                <c:pt idx="0">
                  <c:v>0</c:v>
                </c:pt>
                <c:pt idx="1">
                  <c:v>0</c:v>
                </c:pt>
                <c:pt idx="2">
                  <c:v>0</c:v>
                </c:pt>
                <c:pt idx="3">
                  <c:v>0</c:v>
                </c:pt>
                <c:pt idx="4">
                  <c:v>0</c:v>
                </c:pt>
                <c:pt idx="5">
                  <c:v>0</c:v>
                </c:pt>
                <c:pt idx="6">
                  <c:v>0</c:v>
                </c:pt>
                <c:pt idx="7">
                  <c:v>4.2615933412604045E-6</c:v>
                </c:pt>
              </c:numCache>
            </c:numRef>
          </c:val>
          <c:extLst>
            <c:ext xmlns:c16="http://schemas.microsoft.com/office/drawing/2014/chart" uri="{C3380CC4-5D6E-409C-BE32-E72D297353CC}">
              <c16:uniqueId val="{00000002-CA3D-4A42-B9C4-4672415EF9C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N=22</c:v>
                </c:pt>
                <c:pt idx="2">
                  <c:v>Delinquent Findings, total N=40</c:v>
                </c:pt>
                <c:pt idx="3">
                  <c:v>Petitions, total N=46</c:v>
                </c:pt>
                <c:pt idx="4">
                  <c:v>Detentions, total N=9</c:v>
                </c:pt>
                <c:pt idx="5">
                  <c:v>Referrals, total N=94</c:v>
                </c:pt>
                <c:pt idx="6">
                  <c:v>Arrests, total N=73</c:v>
                </c:pt>
                <c:pt idx="7">
                  <c:v>Population, total N=3625</c:v>
                </c:pt>
              </c:strCache>
            </c:strRef>
          </c:cat>
          <c:val>
            <c:numRef>
              <c:f>'Stacked 100%'!$I$7:$I$14</c:f>
              <c:numCache>
                <c:formatCode>0%</c:formatCode>
                <c:ptCount val="8"/>
                <c:pt idx="0">
                  <c:v>0</c:v>
                </c:pt>
                <c:pt idx="1">
                  <c:v>0</c:v>
                </c:pt>
                <c:pt idx="2">
                  <c:v>0.17499999999999999</c:v>
                </c:pt>
                <c:pt idx="3">
                  <c:v>0.15217391304347827</c:v>
                </c:pt>
                <c:pt idx="4">
                  <c:v>0</c:v>
                </c:pt>
                <c:pt idx="5">
                  <c:v>0.1702127659574468</c:v>
                </c:pt>
                <c:pt idx="6">
                  <c:v>0.79452054794520544</c:v>
                </c:pt>
                <c:pt idx="7">
                  <c:v>0.90675862068965518</c:v>
                </c:pt>
              </c:numCache>
            </c:numRef>
          </c:val>
          <c:extLst>
            <c:ext xmlns:c16="http://schemas.microsoft.com/office/drawing/2014/chart" uri="{C3380CC4-5D6E-409C-BE32-E72D297353CC}">
              <c16:uniqueId val="{00000003-CA3D-4A42-B9C4-4672415EF9C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N=22</c:v>
                </c:pt>
                <c:pt idx="2">
                  <c:v>Delinquent Findings, total N=40</c:v>
                </c:pt>
                <c:pt idx="3">
                  <c:v>Petitions, total N=46</c:v>
                </c:pt>
                <c:pt idx="4">
                  <c:v>Detentions, total N=9</c:v>
                </c:pt>
                <c:pt idx="5">
                  <c:v>Referrals, total N=94</c:v>
                </c:pt>
                <c:pt idx="6">
                  <c:v>Arrests, total N=73</c:v>
                </c:pt>
                <c:pt idx="7">
                  <c:v>Population, total N=3625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A3D-4A42-B9C4-4672415EF9C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3625</v>
      </c>
      <c r="C6" s="11">
        <v>3287</v>
      </c>
      <c r="D6" s="11">
        <v>129</v>
      </c>
      <c r="E6" s="11">
        <v>153</v>
      </c>
      <c r="F6" s="11">
        <v>26</v>
      </c>
      <c r="G6" s="11"/>
      <c r="H6" s="11">
        <v>30</v>
      </c>
      <c r="I6" s="11"/>
      <c r="J6" s="91">
        <f>SUM(D6:I6)</f>
        <v>338</v>
      </c>
      <c r="K6" s="92"/>
    </row>
    <row r="7" spans="1:11" ht="15.75" customHeight="1" thickBot="1">
      <c r="A7" s="10" t="s">
        <v>8</v>
      </c>
      <c r="B7" s="11">
        <f t="shared" ref="B7:B15" si="0">SUM(C7:I7)+K7</f>
        <v>73</v>
      </c>
      <c r="C7" s="11">
        <v>58</v>
      </c>
      <c r="D7" s="11">
        <v>11</v>
      </c>
      <c r="E7" s="11">
        <v>0</v>
      </c>
      <c r="F7" s="11">
        <v>0</v>
      </c>
      <c r="G7" s="11">
        <v>0</v>
      </c>
      <c r="H7" s="11">
        <v>0</v>
      </c>
      <c r="I7" s="11"/>
      <c r="J7" s="91">
        <f t="shared" ref="J7:J15" si="1">SUM(D7:I7)</f>
        <v>11</v>
      </c>
      <c r="K7" s="92">
        <v>4</v>
      </c>
    </row>
    <row r="8" spans="1:11" ht="15.75" customHeight="1" thickBot="1">
      <c r="A8" s="10" t="s">
        <v>9</v>
      </c>
      <c r="B8" s="11">
        <f t="shared" si="0"/>
        <v>94</v>
      </c>
      <c r="C8" s="11">
        <v>16</v>
      </c>
      <c r="D8" s="11">
        <v>5</v>
      </c>
      <c r="E8" s="11"/>
      <c r="F8" s="11"/>
      <c r="G8" s="11"/>
      <c r="H8" s="11"/>
      <c r="I8" s="11"/>
      <c r="J8" s="91">
        <f t="shared" si="1"/>
        <v>5</v>
      </c>
      <c r="K8" s="92">
        <v>73</v>
      </c>
    </row>
    <row r="9" spans="1:11" ht="15.75" customHeight="1" thickBot="1">
      <c r="A9" s="10" t="s">
        <v>10</v>
      </c>
      <c r="B9" s="11">
        <f t="shared" si="0"/>
        <v>8</v>
      </c>
      <c r="C9" s="11"/>
      <c r="D9" s="11"/>
      <c r="E9" s="11"/>
      <c r="F9" s="11"/>
      <c r="G9" s="11"/>
      <c r="H9" s="11"/>
      <c r="I9" s="11"/>
      <c r="J9" s="91">
        <f t="shared" si="1"/>
        <v>0</v>
      </c>
      <c r="K9" s="92">
        <v>8</v>
      </c>
    </row>
    <row r="10" spans="1:11" ht="15.75" customHeight="1" thickBot="1">
      <c r="A10" s="10" t="s">
        <v>11</v>
      </c>
      <c r="B10" s="11">
        <f t="shared" si="0"/>
        <v>9</v>
      </c>
      <c r="C10" s="11"/>
      <c r="D10" s="11"/>
      <c r="E10" s="11"/>
      <c r="F10" s="11"/>
      <c r="G10" s="11"/>
      <c r="H10" s="11"/>
      <c r="I10" s="11"/>
      <c r="J10" s="91">
        <f t="shared" si="1"/>
        <v>0</v>
      </c>
      <c r="K10" s="92">
        <v>9</v>
      </c>
    </row>
    <row r="11" spans="1:11" ht="15.75" customHeight="1" thickBot="1">
      <c r="A11" s="10" t="s">
        <v>12</v>
      </c>
      <c r="B11" s="11">
        <f t="shared" si="0"/>
        <v>46</v>
      </c>
      <c r="C11" s="11">
        <v>7</v>
      </c>
      <c r="D11" s="11">
        <v>3</v>
      </c>
      <c r="E11" s="11"/>
      <c r="F11" s="11"/>
      <c r="G11" s="11"/>
      <c r="H11" s="11"/>
      <c r="I11" s="11"/>
      <c r="J11" s="91">
        <f t="shared" si="1"/>
        <v>3</v>
      </c>
      <c r="K11" s="92">
        <v>36</v>
      </c>
    </row>
    <row r="12" spans="1:11" ht="15.75" customHeight="1" thickBot="1">
      <c r="A12" s="10" t="s">
        <v>13</v>
      </c>
      <c r="B12" s="11">
        <f t="shared" si="0"/>
        <v>40</v>
      </c>
      <c r="C12" s="11">
        <v>7</v>
      </c>
      <c r="D12" s="11">
        <v>2</v>
      </c>
      <c r="E12" s="11"/>
      <c r="F12" s="11"/>
      <c r="G12" s="11"/>
      <c r="H12" s="11"/>
      <c r="I12" s="11"/>
      <c r="J12" s="91">
        <f t="shared" si="1"/>
        <v>2</v>
      </c>
      <c r="K12" s="92">
        <v>31</v>
      </c>
    </row>
    <row r="13" spans="1:11" ht="15.75" customHeight="1" thickBot="1">
      <c r="A13" s="10" t="s">
        <v>133</v>
      </c>
      <c r="B13" s="11">
        <f t="shared" si="0"/>
        <v>66</v>
      </c>
      <c r="C13" s="11">
        <v>5</v>
      </c>
      <c r="D13" s="11">
        <v>4</v>
      </c>
      <c r="E13" s="11"/>
      <c r="F13" s="11"/>
      <c r="G13" s="11"/>
      <c r="H13" s="11"/>
      <c r="I13" s="11"/>
      <c r="J13" s="91">
        <f t="shared" si="1"/>
        <v>4</v>
      </c>
      <c r="K13" s="92">
        <v>57</v>
      </c>
    </row>
    <row r="14" spans="1:11" ht="26.25" customHeight="1" thickBot="1">
      <c r="A14" s="10" t="s">
        <v>123</v>
      </c>
      <c r="B14" s="11">
        <f t="shared" si="0"/>
        <v>22</v>
      </c>
      <c r="C14" s="11"/>
      <c r="D14" s="11">
        <v>1</v>
      </c>
      <c r="E14" s="11"/>
      <c r="F14" s="11"/>
      <c r="G14" s="11"/>
      <c r="H14" s="11"/>
      <c r="I14" s="11"/>
      <c r="J14" s="91">
        <f t="shared" si="1"/>
        <v>1</v>
      </c>
      <c r="K14" s="92">
        <v>21</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58</v>
      </c>
      <c r="Q7" s="42">
        <f>C6-C7</f>
        <v>3229</v>
      </c>
      <c r="R7" s="42">
        <f t="shared" ref="R7:R15" si="5">SUM(N7:Q7)</f>
        <v>3287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27.586206896551726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41.999999999999993</v>
      </c>
      <c r="R8" s="42">
        <f t="shared" si="5"/>
        <v>58.05</v>
      </c>
      <c r="S8" s="30">
        <f t="shared" si="6"/>
        <v>37.152000000000008</v>
      </c>
      <c r="T8" s="30">
        <f t="shared" si="7"/>
        <v>1951.1199999999994</v>
      </c>
      <c r="U8" s="31">
        <f t="shared" si="8"/>
        <v>1.9041371109926614E-2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v>
      </c>
      <c r="Q11" s="42">
        <f>(C$68*L68)-C11</f>
        <v>9</v>
      </c>
      <c r="R11" s="42">
        <f t="shared" si="5"/>
        <v>16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99.999999999999986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0</v>
      </c>
      <c r="R12" s="42">
        <f t="shared" si="5"/>
        <v>7</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71.428571428571416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v>
      </c>
      <c r="E42" s="56">
        <f>MAX(C42:D42)</f>
        <v>3.2869999999999999</v>
      </c>
      <c r="G42" s="1" t="str">
        <f>B42</f>
        <v>per 1000 youth</v>
      </c>
      <c r="L42" s="57">
        <v>1000</v>
      </c>
      <c r="M42" s="57"/>
      <c r="R42" s="49"/>
    </row>
    <row r="43" spans="2:18" ht="15" hidden="1" customHeight="1">
      <c r="B43" s="49" t="s">
        <v>87</v>
      </c>
      <c r="C43" s="56">
        <f>C7/100</f>
        <v>0.57999999999999996</v>
      </c>
      <c r="D43" s="56">
        <f>E7/100</f>
        <v>0</v>
      </c>
      <c r="E43" s="56">
        <f>MAX(C43:D43,0)</f>
        <v>0.57999999999999996</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7.0000000000000007E-2</v>
      </c>
      <c r="D45" s="49">
        <f>E11/100</f>
        <v>0</v>
      </c>
      <c r="E45" s="56">
        <f>MAX(C45:D45,0)</f>
        <v>7.0000000000000007E-2</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Entry'!J6</f>
        <v>338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Entry'!J7</f>
        <v>11</v>
      </c>
      <c r="F7" s="34">
        <f>IF((AND($E$7&gt;0,$D$66&gt;0)),($E$7/$D$66),0)</f>
        <v>32.544378698224847</v>
      </c>
      <c r="G7" s="39">
        <f t="shared" ref="G7:G15" si="0">IF(L$6=100,"*",IF(M7=FALSE,"--",IF(K7=20,"**",($F7/$D7))))</f>
        <v>1.8443684962252598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11</v>
      </c>
      <c r="O7" s="42">
        <f>E6-E7</f>
        <v>327</v>
      </c>
      <c r="P7" s="42">
        <f t="shared" ref="P7:P15" si="4">C7</f>
        <v>58</v>
      </c>
      <c r="Q7" s="42">
        <f>C6-C7</f>
        <v>3229</v>
      </c>
      <c r="R7" s="42">
        <f t="shared" ref="R7:R15" si="5">SUM(N7:Q7)</f>
        <v>3625</v>
      </c>
      <c r="S7" s="30">
        <f t="shared" ref="S7:S15" si="6">R7*((((N7*Q7)-(O7*P7))^2))</f>
        <v>993256557625</v>
      </c>
      <c r="T7" s="30">
        <f t="shared" ref="T7:T15" si="7">(N7+O7)*(P7+Q7)*(N7+P7)*(O7+Q7)</f>
        <v>272600876184</v>
      </c>
      <c r="U7" s="31">
        <f t="shared" ref="U7:U15" si="8">IF((S7&gt;0),S7/T7,"- -")</f>
        <v>3.6436293658666461</v>
      </c>
    </row>
    <row r="8" spans="2:21" ht="18" customHeight="1">
      <c r="B8" s="32" t="str">
        <f>'Data Entry'!A8</f>
        <v>3. Refer to Juvenile Court</v>
      </c>
      <c r="C8" s="33">
        <f>'Data Entry'!C8</f>
        <v>16</v>
      </c>
      <c r="D8" s="34">
        <f>IF((AND(C67&gt;0,C8&gt;0)),(C8/C67),0)</f>
        <v>27.586206896551726</v>
      </c>
      <c r="E8" s="33">
        <f>'Data Entry'!J8</f>
        <v>5</v>
      </c>
      <c r="F8" s="34">
        <f>IF((AND($E$8&gt;0,$D$67&gt;0)),($E8/$D67),0)</f>
        <v>45.454545454545453</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6.05</v>
      </c>
      <c r="P8" s="42">
        <f t="shared" si="4"/>
        <v>16</v>
      </c>
      <c r="Q8" s="42">
        <f>(C$67*L67)-C8</f>
        <v>41.999999999999993</v>
      </c>
      <c r="R8" s="42">
        <f t="shared" si="5"/>
        <v>69.05</v>
      </c>
      <c r="S8" s="30">
        <f t="shared" si="6"/>
        <v>884823.27199999953</v>
      </c>
      <c r="T8" s="30">
        <f t="shared" si="7"/>
        <v>646700.1449999999</v>
      </c>
      <c r="U8" s="31">
        <f t="shared" si="8"/>
        <v>1.3682125770978444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16</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16</v>
      </c>
      <c r="R10" s="42">
        <f t="shared" si="5"/>
        <v>21</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Entry'!J11</f>
        <v>3</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v>
      </c>
      <c r="P11" s="42">
        <f t="shared" si="4"/>
        <v>7</v>
      </c>
      <c r="Q11" s="42">
        <f>(C$68*L68)-C11</f>
        <v>9</v>
      </c>
      <c r="R11" s="42">
        <f t="shared" si="5"/>
        <v>21</v>
      </c>
      <c r="S11" s="30">
        <f t="shared" si="6"/>
        <v>3549</v>
      </c>
      <c r="T11" s="30">
        <f t="shared" si="7"/>
        <v>8800</v>
      </c>
      <c r="U11" s="31">
        <f t="shared" si="8"/>
        <v>0.40329545454545457</v>
      </c>
    </row>
    <row r="12" spans="2:21" ht="18" customHeight="1">
      <c r="B12" s="32" t="str">
        <f>'Data Entry'!A12</f>
        <v>7. Cases Resulting in Delinquent Findings</v>
      </c>
      <c r="C12" s="33">
        <f>'Data Entry'!C12</f>
        <v>7</v>
      </c>
      <c r="D12" s="34">
        <f>IF(((AND(C69&gt;0,C12&gt;0))),(C12/(C69)),0)</f>
        <v>99.999999999999986</v>
      </c>
      <c r="E12" s="33">
        <f>'Data Entry'!J12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7</v>
      </c>
      <c r="Q12" s="42">
        <f>(C69*L69)-C12</f>
        <v>0</v>
      </c>
      <c r="R12" s="42">
        <f t="shared" si="5"/>
        <v>10</v>
      </c>
      <c r="S12" s="30">
        <f t="shared" si="6"/>
        <v>490</v>
      </c>
      <c r="T12" s="30">
        <f t="shared" si="7"/>
        <v>189</v>
      </c>
      <c r="U12" s="31">
        <f t="shared" si="8"/>
        <v>2.5925925925925926</v>
      </c>
    </row>
    <row r="13" spans="2:21" ht="18" customHeight="1">
      <c r="B13" s="32" t="str">
        <f>'Data Entry'!A13</f>
        <v>8. Cases Resulting in Probation Placement</v>
      </c>
      <c r="C13" s="33">
        <f>'Data Entry'!C13</f>
        <v>5</v>
      </c>
      <c r="D13" s="34">
        <f>IF(((AND(C70&gt;0,C13&gt;0))),(C13/(C70)),0)</f>
        <v>71.428571428571416</v>
      </c>
      <c r="E13" s="33">
        <f>'Data Entry'!J13</f>
        <v>4</v>
      </c>
      <c r="F13" s="34">
        <f>IF(((AND($D$70&gt;0,$E$13&gt;0))),($E$13/($D$70)),0)</f>
        <v>200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4</v>
      </c>
      <c r="O13" s="42">
        <f>(D70*L70)-E13</f>
        <v>-2</v>
      </c>
      <c r="P13" s="42">
        <f t="shared" si="4"/>
        <v>5</v>
      </c>
      <c r="Q13" s="42">
        <f>(C70*L70)-C13</f>
        <v>2.0000000000000009</v>
      </c>
      <c r="R13" s="42">
        <f t="shared" si="5"/>
        <v>9</v>
      </c>
      <c r="S13" s="30">
        <f t="shared" si="6"/>
        <v>2916.0000000000009</v>
      </c>
      <c r="T13" s="30">
        <f t="shared" si="7"/>
        <v>1.1191048088221579E-13</v>
      </c>
      <c r="U13" s="31">
        <f t="shared" si="8"/>
        <v>2.6056540701215016E+16</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1</v>
      </c>
      <c r="F14" s="34">
        <f>IF(((AND($D$70&gt;0,$E$14&gt;0))), (($E$14/($D$70))),0)</f>
        <v>50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v>
      </c>
      <c r="O14" s="42">
        <f>(D70*L70)-E14</f>
        <v>1</v>
      </c>
      <c r="P14" s="42">
        <f t="shared" si="4"/>
        <v>0</v>
      </c>
      <c r="Q14" s="42">
        <f>(C70*L70)-C14</f>
        <v>7.0000000000000009</v>
      </c>
      <c r="R14" s="42">
        <f t="shared" si="5"/>
        <v>9</v>
      </c>
      <c r="S14" s="30">
        <f t="shared" si="6"/>
        <v>441.00000000000011</v>
      </c>
      <c r="T14" s="30">
        <f t="shared" si="7"/>
        <v>112.00000000000001</v>
      </c>
      <c r="U14" s="31">
        <f t="shared" si="8"/>
        <v>3.9375000000000004</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7.0000000000000009</v>
      </c>
      <c r="R15" s="42">
        <f t="shared" si="5"/>
        <v>10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0.33800000000000002</v>
      </c>
      <c r="E42" s="56">
        <f>MAX(C42:D42)</f>
        <v>3.2869999999999999</v>
      </c>
      <c r="G42" s="1" t="str">
        <f>B42</f>
        <v>per 1000 youth</v>
      </c>
      <c r="L42" s="57">
        <v>1000</v>
      </c>
      <c r="M42" s="57"/>
      <c r="R42" s="49"/>
    </row>
    <row r="43" spans="2:18" ht="15" hidden="1" customHeight="1">
      <c r="B43" s="49" t="s">
        <v>87</v>
      </c>
      <c r="C43" s="56">
        <f>C7/100</f>
        <v>0.57999999999999996</v>
      </c>
      <c r="D43" s="56">
        <f>E7/100</f>
        <v>0.11</v>
      </c>
      <c r="E43" s="56">
        <f>MAX(C43:D43,0)</f>
        <v>0.57999999999999996</v>
      </c>
      <c r="G43" s="1" t="str">
        <f>B43</f>
        <v>per 100 arrests</v>
      </c>
      <c r="L43" s="57">
        <v>100</v>
      </c>
      <c r="M43" s="57"/>
      <c r="R43" s="49"/>
    </row>
    <row r="44" spans="2:18" ht="15" hidden="1" customHeight="1">
      <c r="B44" s="49" t="s">
        <v>88</v>
      </c>
      <c r="C44" s="56">
        <f>C8/100</f>
        <v>0.16</v>
      </c>
      <c r="D44" s="56">
        <f>E8/100</f>
        <v>0.05</v>
      </c>
      <c r="E44" s="56">
        <f>MAX(C44:D44,0)</f>
        <v>0.16</v>
      </c>
      <c r="G44" s="1" t="str">
        <f>B44</f>
        <v>per 100 referrals</v>
      </c>
      <c r="L44" s="57">
        <v>100</v>
      </c>
      <c r="M44" s="57"/>
      <c r="R44" s="49"/>
    </row>
    <row r="45" spans="2:18" ht="15" hidden="1" customHeight="1">
      <c r="B45" s="49" t="s">
        <v>89</v>
      </c>
      <c r="C45" s="49">
        <f>C11/100</f>
        <v>7.0000000000000007E-2</v>
      </c>
      <c r="D45" s="49">
        <f>E11/100</f>
        <v>0.03</v>
      </c>
      <c r="E45" s="56">
        <f>MAX(C45:D45,0)</f>
        <v>7.0000000000000007E-2</v>
      </c>
      <c r="G45" s="1" t="str">
        <f>B45</f>
        <v>per 100 youth petitioned</v>
      </c>
      <c r="L45" s="57">
        <v>100</v>
      </c>
      <c r="M45" s="57"/>
      <c r="R45" s="49"/>
    </row>
    <row r="46" spans="2:18" ht="15" hidden="1" customHeight="1">
      <c r="B46" s="49" t="s">
        <v>90</v>
      </c>
      <c r="C46" s="49">
        <f>C12/100</f>
        <v>7.0000000000000007E-2</v>
      </c>
      <c r="D46" s="49">
        <f>E12/100</f>
        <v>0.02</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0.33800000000000002</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0.11</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0.05</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0.03</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0.02</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0.33800000000000002</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0.11</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0.05</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0.03</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0.02</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0.33800000000000002</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0.11</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0.05</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0.03</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0.33800000000000002</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0.11</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0.05</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0.03</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0.02</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Mecosta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4.8325314087142468</v>
      </c>
      <c r="D7" s="72" t="str">
        <f>Hispanic!G7</f>
        <v>**</v>
      </c>
      <c r="E7" s="72" t="str">
        <f>Asian!G7</f>
        <v>*</v>
      </c>
      <c r="F7" s="72" t="str">
        <f>Hawaiian!G7</f>
        <v>*</v>
      </c>
      <c r="G7" s="72" t="str">
        <f>'Am Indian'!G7</f>
        <v>*</v>
      </c>
      <c r="H7" s="72" t="str">
        <f>'Other - Mixed'!G7</f>
        <v>*</v>
      </c>
      <c r="I7" s="73">
        <f>'All Minorities'!G7</f>
        <v>1.8443684962252598</v>
      </c>
      <c r="L7" s="1">
        <f>'Black or African-American'!L7</f>
        <v>1</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3625</v>
      </c>
      <c r="D3" s="57">
        <f>'Data Entry'!C6</f>
        <v>3287</v>
      </c>
      <c r="E3" s="57">
        <f>'Data Entry'!D6</f>
        <v>129</v>
      </c>
      <c r="F3" s="57">
        <f>'Data Entry'!E6</f>
        <v>153</v>
      </c>
      <c r="G3" s="57">
        <f>'Data Entry'!F6</f>
        <v>26</v>
      </c>
      <c r="H3" s="57">
        <f>'Data Entry'!G6</f>
        <v>0</v>
      </c>
      <c r="I3" s="57">
        <f>'Data Entry'!H6</f>
        <v>30</v>
      </c>
      <c r="J3" s="57">
        <f>'Data Entry'!I6</f>
        <v>0</v>
      </c>
      <c r="K3" s="57">
        <f>'Data Entry'!J6</f>
        <v>338</v>
      </c>
    </row>
    <row r="4" spans="2:11" ht="15" customHeight="1">
      <c r="B4" s="16" t="s">
        <v>8</v>
      </c>
      <c r="C4" s="1">
        <f>IF((C$3&gt;0),(1000*('Data Entry'!B7/'Data Entry'!B$6)), 0)</f>
        <v>20.137931034482758</v>
      </c>
      <c r="D4" s="1">
        <f>IF((D$3&gt;0),(1000*('Data Entry'!C7/'Data Entry'!C$6)), 0)</f>
        <v>17.645269242470338</v>
      </c>
      <c r="E4" s="1">
        <f>IF((E$3&gt;0),(1000*('Data Entry'!D7/'Data Entry'!D$6)), 0)</f>
        <v>85.271317829457359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32.544378698224854</v>
      </c>
    </row>
    <row r="5" spans="2:11" ht="15" customHeight="1">
      <c r="B5" s="16" t="s">
        <v>9</v>
      </c>
      <c r="C5" s="1">
        <f>IF((C$3&gt;0),(1000*('Data Entry'!B8/'Data Entry'!B$6)), 0)</f>
        <v>25.931034482758619</v>
      </c>
      <c r="D5" s="1">
        <f>IF((D$3&gt;0),(1000*('Data Entry'!C8/'Data Entry'!C$6)), 0)</f>
        <v>4.8676604806814723</v>
      </c>
      <c r="E5" s="1">
        <f>IF((E$3&gt;0),(1000*('Data Entry'!D8/'Data Entry'!D$6)), 0)</f>
        <v>38.759689922480618</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14.792899408284024</v>
      </c>
    </row>
    <row r="6" spans="2:11" ht="15" customHeight="1">
      <c r="B6" s="16" t="s">
        <v>10</v>
      </c>
      <c r="C6" s="1">
        <f>IF((C$3&gt;0),(1000*('Data Entry'!B9/'Data Entry'!B$6)), 0)</f>
        <v>2.2068965517241379</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2.4827586206896552</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12.689655172413792</v>
      </c>
      <c r="D8" s="1">
        <f>IF((D$3&gt;0),(1000*('Data Entry'!C11/'Data Entry'!C$6)), 0)</f>
        <v>2.1296014602981441</v>
      </c>
      <c r="E8" s="1">
        <f>IF((E$3&gt;0),(1000*('Data Entry'!D11/'Data Entry'!D$6)), 0)</f>
        <v>23.255813953488371</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8.8757396449704142</v>
      </c>
    </row>
    <row r="9" spans="2:11" ht="15" customHeight="1">
      <c r="B9" s="16" t="s">
        <v>13</v>
      </c>
      <c r="C9" s="1">
        <f>IF((C$3&gt;0),(1000*('Data Entry'!B12/'Data Entry'!B$6)), 0)</f>
        <v>11.034482758620689</v>
      </c>
      <c r="D9" s="1">
        <f>IF((D$3&gt;0),(1000*('Data Entry'!C12/'Data Entry'!C$6)), 0)</f>
        <v>2.1296014602981441</v>
      </c>
      <c r="E9" s="1">
        <f>IF((E$3&gt;0),(1000*('Data Entry'!D12/'Data Entry'!D$6)), 0)</f>
        <v>15.503875968992247</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5.9171597633136095</v>
      </c>
    </row>
    <row r="10" spans="2:11" ht="15" customHeight="1">
      <c r="B10" s="16" t="s">
        <v>14</v>
      </c>
      <c r="C10" s="1">
        <f>IF((C$3&gt;0),(1000*('Data Entry'!B13/'Data Entry'!B$6)), 0)</f>
        <v>18.206896551724139</v>
      </c>
      <c r="D10" s="1">
        <f>IF((D$3&gt;0),(1000*('Data Entry'!C13/'Data Entry'!C$6)), 0)</f>
        <v>1.5211439002129601</v>
      </c>
      <c r="E10" s="1">
        <f>IF((E$3&gt;0),(1000*('Data Entry'!D13/'Data Entry'!D$6)), 0)</f>
        <v>31.007751937984494</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11.834319526627219</v>
      </c>
    </row>
    <row r="11" spans="2:11" ht="25.5" customHeight="1">
      <c r="B11" s="16" t="s">
        <v>15</v>
      </c>
      <c r="C11" s="1">
        <f>IF((C$3&gt;0),(1000*('Data Entry'!B14/'Data Entry'!B$6)), 0)</f>
        <v>6.068965517241379</v>
      </c>
      <c r="D11" s="1">
        <f>IF((D$3&gt;0),(1000*('Data Entry'!C14/'Data Entry'!C$6)), 0)</f>
        <v>0</v>
      </c>
      <c r="E11" s="1">
        <f>IF((E$3&gt;0),(1000*('Data Entry'!D14/'Data Entry'!D$6)), 0)</f>
        <v>7.7519379844961236</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2.9585798816568047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Mecosta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4.8325314087142468</v>
      </c>
      <c r="E19" s="72" t="str">
        <f t="shared" si="1"/>
        <v>--</v>
      </c>
      <c r="F19" s="72" t="str">
        <f t="shared" si="1"/>
        <v>--</v>
      </c>
      <c r="G19" s="72" t="str">
        <f t="shared" si="1"/>
        <v>--</v>
      </c>
      <c r="H19" s="72" t="str">
        <f t="shared" si="1"/>
        <v>--</v>
      </c>
      <c r="I19" s="72" t="str">
        <f t="shared" si="1"/>
        <v>--</v>
      </c>
      <c r="J19" s="73">
        <f t="shared" si="1"/>
        <v>1.8443684962252602</v>
      </c>
    </row>
    <row r="20" spans="2:10" ht="15" customHeight="1">
      <c r="B20" s="71" t="s">
        <v>9</v>
      </c>
      <c r="C20" s="72">
        <f t="shared" ref="C20:J27" si="2">IF(AND(($D5&gt;0),(D5&gt;0)), (D5/$D5),"--")</f>
        <v>1</v>
      </c>
      <c r="D20" s="72">
        <f t="shared" si="2"/>
        <v>7.962693798449612</v>
      </c>
      <c r="E20" s="72" t="str">
        <f t="shared" si="2"/>
        <v>--</v>
      </c>
      <c r="F20" s="72" t="str">
        <f t="shared" si="2"/>
        <v>--</v>
      </c>
      <c r="G20" s="72" t="str">
        <f t="shared" si="2"/>
        <v>--</v>
      </c>
      <c r="H20" s="72" t="str">
        <f t="shared" si="2"/>
        <v>--</v>
      </c>
      <c r="I20" s="72" t="str">
        <f t="shared" si="2"/>
        <v>--</v>
      </c>
      <c r="J20" s="73">
        <f t="shared" si="2"/>
        <v>3.0390162721893494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10.920265780730897</v>
      </c>
      <c r="E23" s="72" t="str">
        <f t="shared" si="2"/>
        <v>--</v>
      </c>
      <c r="F23" s="72" t="str">
        <f t="shared" si="2"/>
        <v>--</v>
      </c>
      <c r="G23" s="72" t="str">
        <f t="shared" si="2"/>
        <v>--</v>
      </c>
      <c r="H23" s="72" t="str">
        <f t="shared" si="2"/>
        <v>--</v>
      </c>
      <c r="I23" s="72" t="str">
        <f t="shared" si="2"/>
        <v>--</v>
      </c>
      <c r="J23" s="73">
        <f t="shared" si="2"/>
        <v>4.1677937447168221</v>
      </c>
    </row>
    <row r="24" spans="2:10" ht="15" customHeight="1">
      <c r="B24" s="71" t="s">
        <v>13</v>
      </c>
      <c r="C24" s="72">
        <f t="shared" si="2"/>
        <v>1</v>
      </c>
      <c r="D24" s="72">
        <f t="shared" si="2"/>
        <v>7.2801771871539316</v>
      </c>
      <c r="E24" s="72" t="str">
        <f t="shared" si="2"/>
        <v>--</v>
      </c>
      <c r="F24" s="72" t="str">
        <f t="shared" si="2"/>
        <v>--</v>
      </c>
      <c r="G24" s="72" t="str">
        <f t="shared" si="2"/>
        <v>--</v>
      </c>
      <c r="H24" s="72" t="str">
        <f t="shared" si="2"/>
        <v>--</v>
      </c>
      <c r="I24" s="72" t="str">
        <f t="shared" si="2"/>
        <v>--</v>
      </c>
      <c r="J24" s="73">
        <f t="shared" si="2"/>
        <v>2.7785291631445479</v>
      </c>
    </row>
    <row r="25" spans="2:10" ht="15" customHeight="1">
      <c r="B25" s="71" t="s">
        <v>14</v>
      </c>
      <c r="C25" s="72">
        <f t="shared" si="2"/>
        <v>1</v>
      </c>
      <c r="D25" s="72">
        <f t="shared" si="2"/>
        <v>20.384496124031006</v>
      </c>
      <c r="E25" s="72" t="str">
        <f t="shared" si="2"/>
        <v>--</v>
      </c>
      <c r="F25" s="72" t="str">
        <f t="shared" si="2"/>
        <v>--</v>
      </c>
      <c r="G25" s="72" t="str">
        <f t="shared" si="2"/>
        <v>--</v>
      </c>
      <c r="H25" s="72" t="str">
        <f t="shared" si="2"/>
        <v>--</v>
      </c>
      <c r="I25" s="72" t="str">
        <f t="shared" si="2"/>
        <v>--</v>
      </c>
      <c r="J25" s="73">
        <f t="shared" si="2"/>
        <v>7.7798816568047338</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Mecosta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3287</v>
      </c>
      <c r="D7" s="104">
        <f>'Data Entry'!D6</f>
        <v>129</v>
      </c>
      <c r="E7" s="105"/>
      <c r="F7" s="106">
        <f>'Data Entry'!E6</f>
        <v>153</v>
      </c>
      <c r="G7" s="105"/>
      <c r="H7" s="106">
        <f>'Data Entry'!F6</f>
        <v>26</v>
      </c>
      <c r="I7" s="105"/>
      <c r="J7" s="106">
        <f>'Data Entry'!G6</f>
        <v>0</v>
      </c>
      <c r="K7" s="105"/>
      <c r="L7" s="106">
        <f>'Data Entry'!H6</f>
        <v>30</v>
      </c>
      <c r="M7" s="105"/>
      <c r="N7" s="106">
        <f>'Data Entry'!I6</f>
        <v>0</v>
      </c>
      <c r="O7" s="105"/>
      <c r="P7" s="106">
        <f>'Data Entry'!J6</f>
        <v>338</v>
      </c>
      <c r="Q7" s="107"/>
    </row>
    <row r="8" spans="2:26" s="1" customFormat="1" ht="15" customHeight="1">
      <c r="B8" s="142" t="s">
        <v>8</v>
      </c>
      <c r="C8" s="103">
        <f>'Data Entry'!C7</f>
        <v>58</v>
      </c>
      <c r="D8" s="104">
        <f>'Data Entry'!D7</f>
        <v>11</v>
      </c>
      <c r="E8" s="105">
        <f>'Black or African-American'!$G7</f>
        <v>4.8325314087142468</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11</v>
      </c>
      <c r="Q8" s="107">
        <f>'All Minorities'!G7</f>
        <v>1.8443684962252598</v>
      </c>
      <c r="R8"/>
      <c r="T8" s="1">
        <f>'Black or African-American'!L7</f>
        <v>1</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16</v>
      </c>
      <c r="D9" s="108">
        <f>'Data Entry'!D8</f>
        <v>5</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5</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7</v>
      </c>
      <c r="D12" s="112">
        <f>'Data Entry'!D11</f>
        <v>3</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3</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7</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5</v>
      </c>
      <c r="D14" s="112">
        <f>'Data Entry'!D13</f>
        <v>4</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4</v>
      </c>
      <c r="Q14" s="115" t="str">
        <f>'All Minorities'!G13</f>
        <v>**</v>
      </c>
      <c r="R14"/>
      <c r="T14" s="1">
        <f>'Black or African-American'!L13</f>
        <v>20</v>
      </c>
      <c r="U14" s="1" t="e">
        <f>Hispanic!L13</f>
        <v>#VALUE!</v>
      </c>
      <c r="V14" s="1" t="e">
        <f>Asian!L13</f>
        <v>#VALUE!</v>
      </c>
      <c r="W14" s="1" t="e">
        <f>Hawaiian!L13</f>
        <v>#VALUE!</v>
      </c>
      <c r="X14" s="1" t="e">
        <f>'Am Indian'!L13</f>
        <v>#VALUE!</v>
      </c>
      <c r="Y14" s="1" t="e">
        <f>'Other - Mixed'!L13</f>
        <v>#VALUE!</v>
      </c>
      <c r="Z14" s="1">
        <f>'All Minorities'!L13</f>
        <v>20</v>
      </c>
    </row>
    <row r="15" spans="2:26" s="1" customFormat="1" ht="33">
      <c r="B15" s="144" t="s">
        <v>123</v>
      </c>
      <c r="C15" s="103">
        <f>'Data Entry'!C14</f>
        <v>0</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20</v>
      </c>
      <c r="U15" s="1" t="e">
        <f>Hispanic!L14</f>
        <v>#VALUE!</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Mecosta</v>
      </c>
    </row>
    <row r="6" spans="1:12">
      <c r="A6" s="135" t="str">
        <f>CONCATENATE("Percentage of Minorities at Stages of the Juvenile Justice System, ", A5, " 2024")</f>
        <v>Percentage of Minorities at Stages of the Juvenile Justice System, County: Mecosta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9.7248520710059161</v>
      </c>
    </row>
    <row r="8" spans="1:12" ht="25.5" customHeight="1">
      <c r="A8" s="151" t="str">
        <f>CONCATENATE("Confinement, total N=", 'Data Entry'!B14)</f>
        <v>Confinement, total N=22</v>
      </c>
      <c r="B8" s="150">
        <f>'Data Entry'!D14/'Data Entry'!B14</f>
        <v>4.5454545454545456E-2</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N=22</v>
      </c>
      <c r="L8">
        <f>I14/(SUM(B14:G14))</f>
        <v>9.7248520710059161</v>
      </c>
    </row>
    <row r="9" spans="1:12">
      <c r="A9" s="128" t="str">
        <f>CONCATENATE("Delinquent Findings, total N=", 'Data Entry'!B12)</f>
        <v>Delinquent Findings, total N=40</v>
      </c>
      <c r="B9" s="150">
        <f>'Data Entry'!D12/'Data Entry'!B12</f>
        <v>0.05</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0.17499999999999999</v>
      </c>
      <c r="K9" s="96" t="str">
        <f t="shared" si="0"/>
        <v>Delinquent Findings, total N=40</v>
      </c>
      <c r="L9">
        <f>I14/(SUM(B14:G14))</f>
        <v>9.7248520710059161</v>
      </c>
    </row>
    <row r="10" spans="1:12">
      <c r="A10" s="128" t="str">
        <f>CONCATENATE("Petitions, total N=", 'Data Entry'!B11)</f>
        <v>Petitions, total N=46</v>
      </c>
      <c r="B10" s="150">
        <f>'Data Entry'!D11/'Data Entry'!B11</f>
        <v>6.5217391304347824E-2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0.15217391304347827</v>
      </c>
      <c r="K10" s="96" t="str">
        <f t="shared" si="0"/>
        <v>Petitions, total N=46</v>
      </c>
      <c r="L10">
        <f>I14/(SUM(B14:G14))</f>
        <v>9.7248520710059161</v>
      </c>
    </row>
    <row r="11" spans="1:12">
      <c r="A11" s="128" t="str">
        <f>CONCATENATE("Detentions, total N=", 'Data Entry'!B10)</f>
        <v>Detentions, total N=9</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N=9</v>
      </c>
      <c r="L11">
        <f>I14/(SUM(B14:G14))</f>
        <v>9.7248520710059161</v>
      </c>
    </row>
    <row r="12" spans="1:12">
      <c r="A12" s="128" t="str">
        <f>CONCATENATE("Referrals, total N=", 'Data Entry'!B8)</f>
        <v>Referrals, total N=94</v>
      </c>
      <c r="B12" s="150">
        <f>'Data Entry'!D8/'Data Entry'!B8</f>
        <v>5.3191489361702128E-2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0.1702127659574468</v>
      </c>
      <c r="K12" s="96" t="str">
        <f t="shared" si="0"/>
        <v>Referrals, total N=94</v>
      </c>
      <c r="L12">
        <f>I14/(SUM(B14:G14))</f>
        <v>9.7248520710059161</v>
      </c>
    </row>
    <row r="13" spans="1:12">
      <c r="A13" s="128" t="str">
        <f>CONCATENATE("Arrests, total N=", 'Data Entry'!B7)</f>
        <v>Arrests, total N=73</v>
      </c>
      <c r="B13" s="150">
        <f>'Data Entry'!D7/'Data Entry'!B7</f>
        <v>0.15068493150684931</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0.79452054794520544</v>
      </c>
      <c r="K13" s="96" t="str">
        <f t="shared" si="0"/>
        <v>Arrests, total N=73</v>
      </c>
      <c r="L13">
        <f>I14/(SUM(B14:G14))</f>
        <v>9.7248520710059161</v>
      </c>
    </row>
    <row r="14" spans="1:12">
      <c r="A14" s="128" t="str">
        <f>CONCATENATE("Population, total N=", 'Data Entry'!B6)</f>
        <v>Population, total N=3625</v>
      </c>
      <c r="B14" s="150">
        <f>'Data Entry'!D6/'Data Entry'!B6</f>
        <v>3.5586206896551724E-2</v>
      </c>
      <c r="C14" s="150">
        <f>'Data Entry'!E6/'Data Entry'!B6</f>
        <v>4.2206896551724139E-2</v>
      </c>
      <c r="D14" s="150">
        <f>'Data Entry'!F6/'Data Entry'!B6</f>
        <v>7.1724137931034482E-3</v>
      </c>
      <c r="E14" s="150">
        <f>'Data Entry'!G6/'Data Entry'!B6</f>
        <v>0</v>
      </c>
      <c r="F14" s="150">
        <f>'Data Entry'!H6/'Data Entry'!B6</f>
        <v>8.2758620689655175E-3</v>
      </c>
      <c r="G14" s="150">
        <f>'Data Entry'!I6/'Data Entry'!B6</f>
        <v>0</v>
      </c>
      <c r="H14" s="150">
        <f>SUM(D14:G14)/'Data Entry'!B6</f>
        <v>4.2615933412604045E-6</v>
      </c>
      <c r="I14" s="150">
        <f>'Data Entry'!C6/'Data Entry'!B6</f>
        <v>0.90675862068965518</v>
      </c>
      <c r="K14" s="96" t="str">
        <f t="shared" si="0"/>
        <v>Population, total N=3625</v>
      </c>
      <c r="L14">
        <f>I14/(SUM(B14:G14))</f>
        <v>9.7248520710059161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Mecosta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3287</v>
      </c>
      <c r="D7" s="104">
        <f>'Data Entry'!D6</f>
        <v>129</v>
      </c>
      <c r="E7" s="105"/>
      <c r="F7" s="106">
        <f>'Data Entry'!E6</f>
        <v>153</v>
      </c>
      <c r="G7" s="105"/>
      <c r="H7" s="106">
        <f>'Data Entry'!F6</f>
        <v>26</v>
      </c>
      <c r="I7" s="105"/>
      <c r="J7" s="106">
        <f>'Data Entry'!J6</f>
        <v>338</v>
      </c>
      <c r="K7" s="107"/>
    </row>
    <row r="8" spans="2:30" s="1" customFormat="1" ht="15" customHeight="1">
      <c r="B8" s="121" t="s">
        <v>8</v>
      </c>
      <c r="C8" s="103">
        <f>'Data Entry'!C7</f>
        <v>58</v>
      </c>
      <c r="D8" s="104">
        <f>'Data Entry'!D7</f>
        <v>11</v>
      </c>
      <c r="E8" s="105">
        <f>'Black or African-American'!$G7</f>
        <v>4.8325314087142468</v>
      </c>
      <c r="F8" s="106">
        <f>'Data Entry'!E7</f>
        <v>0</v>
      </c>
      <c r="G8" s="105" t="str">
        <f>Hispanic!G7</f>
        <v>**</v>
      </c>
      <c r="H8" s="106">
        <f>'Data Entry'!F7</f>
        <v>0</v>
      </c>
      <c r="I8" s="105" t="str">
        <f>Asian!G7</f>
        <v>*</v>
      </c>
      <c r="J8" s="106">
        <f>'Data Entry'!J7</f>
        <v>11</v>
      </c>
      <c r="K8" s="107">
        <f>'All Minorities'!G7</f>
        <v>1.8443684962252598</v>
      </c>
      <c r="L8"/>
      <c r="N8" s="1">
        <f>'Black or African-American'!L7</f>
        <v>1</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16</v>
      </c>
      <c r="D9" s="108">
        <f>'Data Entry'!D8</f>
        <v>5</v>
      </c>
      <c r="E9" s="109" t="str">
        <f>'Black or African-American'!$G8</f>
        <v>**</v>
      </c>
      <c r="F9" s="110">
        <f>'Data Entry'!E8</f>
        <v>0</v>
      </c>
      <c r="G9" s="109" t="str">
        <f>Hispanic!G8</f>
        <v>**</v>
      </c>
      <c r="H9" s="110">
        <f>'Data Entry'!F8</f>
        <v>0</v>
      </c>
      <c r="I9" s="109" t="str">
        <f>Asian!G8</f>
        <v>*</v>
      </c>
      <c r="J9" s="110">
        <f>'Data Entry'!J8</f>
        <v>5</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7</v>
      </c>
      <c r="D12" s="112">
        <f>'Data Entry'!D11</f>
        <v>3</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7</v>
      </c>
      <c r="D13" s="108">
        <f>'Data Entry'!D12</f>
        <v>2</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5</v>
      </c>
      <c r="D14" s="112">
        <f>'Data Entry'!D13</f>
        <v>4</v>
      </c>
      <c r="E14" s="113" t="str">
        <f>'Black or African-American'!$G13</f>
        <v>**</v>
      </c>
      <c r="F14" s="114">
        <f>'Data Entry'!E13</f>
        <v>0</v>
      </c>
      <c r="G14" s="113" t="str">
        <f>Hispanic!G13</f>
        <v>--</v>
      </c>
      <c r="H14" s="114">
        <f>'Data Entry'!F13</f>
        <v>0</v>
      </c>
      <c r="I14" s="113" t="str">
        <f>Asian!G13</f>
        <v>*</v>
      </c>
      <c r="J14" s="114">
        <f>'Data Entry'!J13</f>
        <v>4</v>
      </c>
      <c r="K14" s="115" t="str">
        <f>'All Minorities'!G13</f>
        <v>**</v>
      </c>
      <c r="L14"/>
      <c r="N14" s="1">
        <f>'Black or African-American'!L13</f>
        <v>20</v>
      </c>
      <c r="O14" s="1" t="e">
        <f>Hispanic!L13</f>
        <v>#VALUE!</v>
      </c>
      <c r="P14" s="1" t="e">
        <f>Asian!L13</f>
        <v>#VALUE!</v>
      </c>
      <c r="Q14" s="1" t="e">
        <f>Hawaiian!L13</f>
        <v>#VALUE!</v>
      </c>
      <c r="R14" s="1" t="e">
        <f>'Am Indian'!L13</f>
        <v>#VALUE!</v>
      </c>
      <c r="S14" s="1" t="e">
        <f>'Other - Mixed'!L13</f>
        <v>#VALUE!</v>
      </c>
      <c r="T14" s="1">
        <f>'All Minorities'!L13</f>
        <v>20</v>
      </c>
      <c r="W14" s="8"/>
      <c r="X14" s="8"/>
      <c r="Y14" s="8"/>
      <c r="Z14" s="8"/>
      <c r="AA14" s="8"/>
      <c r="AB14" s="8"/>
      <c r="AC14" s="8"/>
      <c r="AD14" s="8"/>
    </row>
    <row r="15" spans="2:30" s="1" customFormat="1" ht="33">
      <c r="B15" s="126" t="s">
        <v>123</v>
      </c>
      <c r="C15" s="103">
        <f>'Data Entry'!C14</f>
        <v>0</v>
      </c>
      <c r="D15" s="108">
        <f>'Data Entry'!D14</f>
        <v>1</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f>'Black or African-American'!L14</f>
        <v>20</v>
      </c>
      <c r="O15" s="1" t="e">
        <f>Hispanic!L14</f>
        <v>#VALUE!</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Entry'!D6</f>
        <v>129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Entry'!D7</f>
        <v>11</v>
      </c>
      <c r="F7" s="34">
        <f>IF((AND($E$7&gt;0,$D$66&gt;0)),($E$7/$D$66),0)</f>
        <v>85.271317829457359</v>
      </c>
      <c r="G7" s="39">
        <f>IF(L$6=100,"*",IF(M7=FALSE,"--",IF(K7=20,"**",($F7/$D7))))</f>
        <v>4.8325314087142468</v>
      </c>
      <c r="H7" s="40"/>
      <c r="I7" s="41"/>
      <c r="J7" s="40">
        <f>IF((ABS($U7)&gt;Defaults!D$7),1,2)</f>
        <v>1</v>
      </c>
      <c r="K7" s="39">
        <f>IF((AND(N7&gt;Defaults!B$12,(N7+O7)&gt;Defaults!B$13, P7 &gt; Defaults!B$12, (P7+Q7) &gt; Defaults!B$13)),1,20)</f>
        <v>1</v>
      </c>
      <c r="L7" s="1">
        <f>(J7*K7+L$6)-1</f>
        <v>1</v>
      </c>
      <c r="M7" s="1" t="b">
        <f t="shared" ref="M7:M15" si="0">(ISNUMBER(J7))</f>
        <v>1</v>
      </c>
      <c r="N7" s="42">
        <f t="shared" ref="N7:N15" si="1">E7</f>
        <v>11</v>
      </c>
      <c r="O7" s="42">
        <f>E6-E7</f>
        <v>118</v>
      </c>
      <c r="P7" s="42">
        <f t="shared" ref="P7:P15" si="2">C7</f>
        <v>58</v>
      </c>
      <c r="Q7" s="42">
        <f>C6-C7</f>
        <v>3229</v>
      </c>
      <c r="R7" s="42">
        <f t="shared" ref="R7:R15" si="3">SUM(N7:Q7)</f>
        <v>3416</v>
      </c>
      <c r="S7" s="30">
        <f t="shared" ref="S7:S15" si="4">R7*((((N7*Q7)-(O7*P7))^2))</f>
        <v>2808825215000</v>
      </c>
      <c r="T7" s="30">
        <f t="shared" ref="T7:T15" si="5">(N7+O7)*(P7+Q7)*(N7+P7)*(O7+Q7)</f>
        <v>97925143689</v>
      </c>
      <c r="U7" s="31">
        <f t="shared" ref="U7:U15" si="6">IF((S7&gt;0),S7/T7,"- -")</f>
        <v>28.683391304694275</v>
      </c>
    </row>
    <row r="8" spans="2:21" ht="18" customHeight="1">
      <c r="B8" s="32" t="str">
        <f>'Data Entry'!A8</f>
        <v>3. Refer to Juvenile Court</v>
      </c>
      <c r="C8" s="33">
        <f>'Data Entry'!C8</f>
        <v>16</v>
      </c>
      <c r="D8" s="34">
        <f>IF((AND(C67&gt;0,C8&gt;0)),(C8/C67),0)</f>
        <v>27.586206896551726</v>
      </c>
      <c r="E8" s="33">
        <f>'Data Entry'!D8</f>
        <v>5</v>
      </c>
      <c r="F8" s="34">
        <f>IF((AND($E$8&gt;0,$D$67&gt;0)),($E8/$D67),0)</f>
        <v>45.454545454545453</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5</v>
      </c>
      <c r="O8" s="42">
        <f>((D67*L67)-E8)+0.05</f>
        <v>6.05</v>
      </c>
      <c r="P8" s="42">
        <f t="shared" si="2"/>
        <v>16</v>
      </c>
      <c r="Q8" s="42">
        <f>(C$67*L67)-C8</f>
        <v>41.999999999999993</v>
      </c>
      <c r="R8" s="42">
        <f t="shared" si="3"/>
        <v>69.05</v>
      </c>
      <c r="S8" s="30">
        <f t="shared" si="4"/>
        <v>884823.27199999953</v>
      </c>
      <c r="T8" s="30">
        <f t="shared" si="5"/>
        <v>646700.1449999999</v>
      </c>
      <c r="U8" s="31">
        <f t="shared" si="6"/>
        <v>1.3682125770978444</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v>
      </c>
      <c r="P9" s="42">
        <f t="shared" si="2"/>
        <v>0</v>
      </c>
      <c r="Q9" s="42">
        <f>(C$68*L68)-C9</f>
        <v>16</v>
      </c>
      <c r="R9" s="42">
        <f t="shared" si="3"/>
        <v>21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5</v>
      </c>
      <c r="P10" s="42">
        <f t="shared" si="2"/>
        <v>0</v>
      </c>
      <c r="Q10" s="42">
        <f>(C$68*L68)-C10</f>
        <v>16</v>
      </c>
      <c r="R10" s="42">
        <f t="shared" si="3"/>
        <v>21</v>
      </c>
      <c r="S10" s="30">
        <f t="shared" si="4"/>
        <v>0</v>
      </c>
      <c r="T10" s="30">
        <f t="shared" si="5"/>
        <v>0</v>
      </c>
      <c r="U10" s="31" t="str">
        <f t="shared" si="6"/>
        <v>- -</v>
      </c>
    </row>
    <row r="11" spans="2:21" ht="18" customHeight="1">
      <c r="B11" s="32" t="str">
        <f>'Data Entry'!A11</f>
        <v>6. Cases Petitioned (Charge Filed)</v>
      </c>
      <c r="C11" s="33">
        <f>'Data Entry'!C11</f>
        <v>7</v>
      </c>
      <c r="D11" s="34">
        <f>IF(((AND(C68&gt;0,C11&gt;0))),(C11/(C68)),0)</f>
        <v>43.75</v>
      </c>
      <c r="E11" s="33">
        <f>'Data Entry'!D11</f>
        <v>3</v>
      </c>
      <c r="F11" s="34">
        <f>IF(((AND($E$11&gt;0,$D$68&gt;0))),($E$11/($D$68)),0)</f>
        <v>60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2</v>
      </c>
      <c r="P11" s="42">
        <f t="shared" si="2"/>
        <v>7</v>
      </c>
      <c r="Q11" s="42">
        <f>(C$68*L68)-C11</f>
        <v>9</v>
      </c>
      <c r="R11" s="42">
        <f t="shared" si="3"/>
        <v>21</v>
      </c>
      <c r="S11" s="30">
        <f t="shared" si="4"/>
        <v>3549</v>
      </c>
      <c r="T11" s="30">
        <f t="shared" si="5"/>
        <v>8800</v>
      </c>
      <c r="U11" s="31">
        <f t="shared" si="6"/>
        <v>0.40329545454545457</v>
      </c>
    </row>
    <row r="12" spans="2:21" ht="18" customHeight="1">
      <c r="B12" s="32" t="str">
        <f>'Data Entry'!A12</f>
        <v>7. Cases Resulting in Delinquent Findings</v>
      </c>
      <c r="C12" s="33">
        <f>'Data Entry'!C12</f>
        <v>7</v>
      </c>
      <c r="D12" s="34">
        <f>IF(((AND(C69&gt;0,C12&gt;0))),(C12/(C69)),0)</f>
        <v>99.999999999999986</v>
      </c>
      <c r="E12" s="33">
        <f>'Data Entry'!D12</f>
        <v>2</v>
      </c>
      <c r="F12" s="34">
        <f>IF(((AND($D$69&gt;0,$E$12&gt;0))),(E12/(D69)),0)</f>
        <v>66.666666666666671</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7</v>
      </c>
      <c r="Q12" s="42">
        <f>(C69*L69)-C12</f>
        <v>0</v>
      </c>
      <c r="R12" s="42">
        <f t="shared" si="3"/>
        <v>10</v>
      </c>
      <c r="S12" s="30">
        <f t="shared" si="4"/>
        <v>490</v>
      </c>
      <c r="T12" s="30">
        <f t="shared" si="5"/>
        <v>189</v>
      </c>
      <c r="U12" s="31">
        <f t="shared" si="6"/>
        <v>2.5925925925925926</v>
      </c>
    </row>
    <row r="13" spans="2:21" ht="18" customHeight="1">
      <c r="B13" s="32" t="str">
        <f>'Data Entry'!A13</f>
        <v>8. Cases Resulting in Probation Placement</v>
      </c>
      <c r="C13" s="33">
        <f>'Data Entry'!C13</f>
        <v>5</v>
      </c>
      <c r="D13" s="34">
        <f>IF(((AND(C70&gt;0,C13&gt;0))),(C13/(C70)),0)</f>
        <v>71.428571428571416</v>
      </c>
      <c r="E13" s="33">
        <f>'Data Entry'!D13</f>
        <v>4</v>
      </c>
      <c r="F13" s="34">
        <f>IF(((AND($D$70&gt;0,$E$13&gt;0))),($E$13/($D$70)),0)</f>
        <v>200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4</v>
      </c>
      <c r="O13" s="42">
        <f>(D70*L70)-E13</f>
        <v>-2</v>
      </c>
      <c r="P13" s="42">
        <f t="shared" si="2"/>
        <v>5</v>
      </c>
      <c r="Q13" s="42">
        <f>(C70*L70)-C13</f>
        <v>2.0000000000000009</v>
      </c>
      <c r="R13" s="42">
        <f t="shared" si="3"/>
        <v>9</v>
      </c>
      <c r="S13" s="30">
        <f t="shared" si="4"/>
        <v>2916.0000000000009</v>
      </c>
      <c r="T13" s="30">
        <f t="shared" si="5"/>
        <v>1.1191048088221579E-13</v>
      </c>
      <c r="U13" s="31">
        <f t="shared" si="6"/>
        <v>2.6056540701215016E+16</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1</v>
      </c>
      <c r="F14" s="34">
        <f>IF(((AND($D$70&gt;0,$E$14&gt;0))), (($E$14/($D$70))),0)</f>
        <v>50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1</v>
      </c>
      <c r="O14" s="42">
        <f>(D70*L70)-E14</f>
        <v>1</v>
      </c>
      <c r="P14" s="42">
        <f t="shared" si="2"/>
        <v>0</v>
      </c>
      <c r="Q14" s="42">
        <f>(C70*L70)-C14</f>
        <v>7.0000000000000009</v>
      </c>
      <c r="R14" s="42">
        <f t="shared" si="3"/>
        <v>9</v>
      </c>
      <c r="S14" s="30">
        <f t="shared" si="4"/>
        <v>441.00000000000011</v>
      </c>
      <c r="T14" s="30">
        <f t="shared" si="5"/>
        <v>112.00000000000001</v>
      </c>
      <c r="U14" s="31">
        <f t="shared" si="6"/>
        <v>3.9375000000000004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7.0000000000000009</v>
      </c>
      <c r="R15" s="42">
        <f t="shared" si="3"/>
        <v>10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0.129</v>
      </c>
      <c r="E42" s="56">
        <f>MAX(C42:D42)</f>
        <v>3.2869999999999999</v>
      </c>
      <c r="G42" s="1" t="str">
        <f>B42</f>
        <v>per 1000 youth</v>
      </c>
      <c r="L42" s="57">
        <v>1000</v>
      </c>
      <c r="M42" s="57"/>
      <c r="R42" s="49"/>
    </row>
    <row r="43" spans="2:18" ht="15" hidden="1" customHeight="1">
      <c r="B43" s="49" t="s">
        <v>87</v>
      </c>
      <c r="C43" s="56">
        <f>C7/100</f>
        <v>0.57999999999999996</v>
      </c>
      <c r="D43" s="56">
        <f>E7/100</f>
        <v>0.11</v>
      </c>
      <c r="E43" s="56">
        <f>MAX(C43:D43,0)</f>
        <v>0.57999999999999996</v>
      </c>
      <c r="G43" s="1" t="str">
        <f>B43</f>
        <v>per 100 arrests</v>
      </c>
      <c r="L43" s="57">
        <v>100</v>
      </c>
      <c r="M43" s="57"/>
      <c r="R43" s="49"/>
    </row>
    <row r="44" spans="2:18" ht="15" hidden="1" customHeight="1">
      <c r="B44" s="49" t="s">
        <v>88</v>
      </c>
      <c r="C44" s="56">
        <f>C8/100</f>
        <v>0.16</v>
      </c>
      <c r="D44" s="56">
        <f>E8/100</f>
        <v>0.05</v>
      </c>
      <c r="E44" s="56">
        <f>MAX(C44:D44,0)</f>
        <v>0.16</v>
      </c>
      <c r="G44" s="1" t="str">
        <f>B44</f>
        <v>per 100 referrals</v>
      </c>
      <c r="L44" s="57">
        <v>100</v>
      </c>
      <c r="M44" s="57"/>
      <c r="R44" s="49"/>
    </row>
    <row r="45" spans="2:18" ht="15" hidden="1" customHeight="1">
      <c r="B45" s="49" t="s">
        <v>89</v>
      </c>
      <c r="C45" s="49">
        <f>C11/100</f>
        <v>7.0000000000000007E-2</v>
      </c>
      <c r="D45" s="49">
        <f>E11/100</f>
        <v>0.03</v>
      </c>
      <c r="E45" s="56">
        <f>MAX(C45:D45,0)</f>
        <v>7.0000000000000007E-2</v>
      </c>
      <c r="G45" s="1" t="str">
        <f>B45</f>
        <v>per 100 youth petitioned</v>
      </c>
      <c r="L45" s="57">
        <v>100</v>
      </c>
      <c r="M45" s="57"/>
      <c r="R45" s="49"/>
    </row>
    <row r="46" spans="2:18" ht="15" hidden="1" customHeight="1">
      <c r="B46" s="49" t="s">
        <v>90</v>
      </c>
      <c r="C46" s="49">
        <f>C12/100</f>
        <v>7.0000000000000007E-2</v>
      </c>
      <c r="D46" s="49">
        <f>E12/100</f>
        <v>0.02</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0.129</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0.57999999999999996</v>
      </c>
      <c r="D49" s="49">
        <f t="shared" si="9"/>
        <v>0.11</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0.05</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0.03</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0.02</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0.129</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0.11</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0.05</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0.03</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0.02</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0.129</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0.11</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0.05</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0.03</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0.02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0.129</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0.11</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0.05</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0.03</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0.02</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Entry'!F6</f>
        <v>26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26</v>
      </c>
      <c r="P7" s="42">
        <f t="shared" ref="P7:P15" si="4">C7</f>
        <v>58</v>
      </c>
      <c r="Q7" s="42">
        <f>C6-C7</f>
        <v>3229</v>
      </c>
      <c r="R7" s="42">
        <f t="shared" ref="R7:R15" si="5">SUM(N7:Q7)</f>
        <v>3313</v>
      </c>
      <c r="S7" s="30">
        <f t="shared" ref="S7:S15" si="6">R7*((((N7*Q7)-(O7*P7))^2))</f>
        <v>7533974032</v>
      </c>
      <c r="T7" s="30">
        <f t="shared" ref="T7:T15" si="7">(N7+O7)*(P7+Q7)*(N7+P7)*(O7+Q7)</f>
        <v>16134370980</v>
      </c>
      <c r="U7" s="31">
        <f t="shared" ref="U7:U15" si="8">IF((S7&gt;0),S7/T7,"- -")</f>
        <v>0.46695182857385864</v>
      </c>
    </row>
    <row r="8" spans="2:21" ht="18" customHeight="1">
      <c r="B8" s="32" t="str">
        <f>'Data Entry'!A8</f>
        <v>3. Refer to Juvenile Court</v>
      </c>
      <c r="C8" s="33">
        <f>'Data Entry'!C8</f>
        <v>16</v>
      </c>
      <c r="D8" s="34">
        <f>IF((AND(C67&gt;0,C8&gt;0)),(C8/C67),0)</f>
        <v>27.586206896551726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41.999999999999993</v>
      </c>
      <c r="R8" s="42">
        <f t="shared" si="5"/>
        <v>58.05</v>
      </c>
      <c r="S8" s="30">
        <f t="shared" si="6"/>
        <v>37.152000000000008</v>
      </c>
      <c r="T8" s="30">
        <f t="shared" si="7"/>
        <v>1951.1199999999994</v>
      </c>
      <c r="U8" s="31">
        <f t="shared" si="8"/>
        <v>1.9041371109926614E-2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v>
      </c>
      <c r="Q11" s="42">
        <f>(C$68*L68)-C11</f>
        <v>9</v>
      </c>
      <c r="R11" s="42">
        <f t="shared" si="5"/>
        <v>16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99.999999999999986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0</v>
      </c>
      <c r="R12" s="42">
        <f t="shared" si="5"/>
        <v>7</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71.428571428571416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2.5999999999999999E-2</v>
      </c>
      <c r="E42" s="56">
        <f>MAX(C42:D42)</f>
        <v>3.2869999999999999</v>
      </c>
      <c r="G42" s="1" t="str">
        <f>B42</f>
        <v>per 1000 youth</v>
      </c>
      <c r="L42" s="57">
        <v>1000</v>
      </c>
      <c r="M42" s="57"/>
      <c r="R42" s="49"/>
    </row>
    <row r="43" spans="2:18" ht="15" hidden="1" customHeight="1">
      <c r="B43" s="49" t="s">
        <v>87</v>
      </c>
      <c r="C43" s="56">
        <f>C7/100</f>
        <v>0.57999999999999996</v>
      </c>
      <c r="D43" s="56">
        <f>E7/100</f>
        <v>0</v>
      </c>
      <c r="E43" s="56">
        <f>MAX(C43:D43,0)</f>
        <v>0.57999999999999996</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7.0000000000000007E-2</v>
      </c>
      <c r="D45" s="49">
        <f>E11/100</f>
        <v>0</v>
      </c>
      <c r="E45" s="56">
        <f>MAX(C45:D45,0)</f>
        <v>7.0000000000000007E-2</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2.5999999999999999E-2</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2.5999999999999999E-2</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2.5999999999999999E-2</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2.5999999999999999E-2</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Entry'!E6</f>
        <v>153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153</v>
      </c>
      <c r="P7" s="42">
        <f t="shared" ref="P7:P15" si="4">C7</f>
        <v>58</v>
      </c>
      <c r="Q7" s="42">
        <f>C6-C7</f>
        <v>3229</v>
      </c>
      <c r="R7" s="42">
        <f t="shared" ref="R7:R15" si="5">SUM(N7:Q7)</f>
        <v>3440</v>
      </c>
      <c r="S7" s="30">
        <f t="shared" ref="S7:S15" si="6">R7*((((N7*Q7)-(O7*P7))^2))</f>
        <v>270892693440</v>
      </c>
      <c r="T7" s="30">
        <f t="shared" ref="T7:T15" si="7">(N7+O7)*(P7+Q7)*(N7+P7)*(O7+Q7)</f>
        <v>98649010116</v>
      </c>
      <c r="U7" s="31">
        <f t="shared" ref="U7:U15" si="8">IF((S7&gt;0),S7/T7,"- -")</f>
        <v>2.746025460584562</v>
      </c>
    </row>
    <row r="8" spans="2:21" ht="18" customHeight="1">
      <c r="B8" s="32" t="str">
        <f>'Data Entry'!A8</f>
        <v>3. Refer to Juvenile Court</v>
      </c>
      <c r="C8" s="33">
        <f>'Data Entry'!C8</f>
        <v>16</v>
      </c>
      <c r="D8" s="34">
        <f>IF((AND(C67&gt;0,C8&gt;0)),(C8/C67),0)</f>
        <v>27.586206896551726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41.999999999999993</v>
      </c>
      <c r="R8" s="42">
        <f t="shared" si="5"/>
        <v>58.05</v>
      </c>
      <c r="S8" s="30">
        <f t="shared" si="6"/>
        <v>37.152000000000008</v>
      </c>
      <c r="T8" s="30">
        <f t="shared" si="7"/>
        <v>1951.1199999999994</v>
      </c>
      <c r="U8" s="31">
        <f t="shared" si="8"/>
        <v>1.9041371109926614E-2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v>
      </c>
      <c r="Q11" s="42">
        <f>(C$68*L68)-C11</f>
        <v>9</v>
      </c>
      <c r="R11" s="42">
        <f t="shared" si="5"/>
        <v>16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99.999999999999986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0</v>
      </c>
      <c r="R12" s="42">
        <f t="shared" si="5"/>
        <v>7</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71.428571428571416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0.153</v>
      </c>
      <c r="E42" s="56">
        <f>MAX(C42:D42)</f>
        <v>3.2869999999999999</v>
      </c>
      <c r="G42" s="1" t="str">
        <f>B42</f>
        <v>per 1000 youth</v>
      </c>
      <c r="L42" s="57">
        <v>1000</v>
      </c>
      <c r="M42" s="57"/>
      <c r="R42" s="49"/>
    </row>
    <row r="43" spans="2:18" ht="15" hidden="1" customHeight="1">
      <c r="B43" s="49" t="s">
        <v>87</v>
      </c>
      <c r="C43" s="56">
        <f>C7/100</f>
        <v>0.57999999999999996</v>
      </c>
      <c r="D43" s="56">
        <f>E7/100</f>
        <v>0</v>
      </c>
      <c r="E43" s="56">
        <f>MAX(C43:D43,0)</f>
        <v>0.57999999999999996</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7.0000000000000007E-2</v>
      </c>
      <c r="D45" s="49">
        <f>E11/100</f>
        <v>0</v>
      </c>
      <c r="E45" s="56">
        <f>MAX(C45:D45,0)</f>
        <v>7.0000000000000007E-2</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0.153</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0.153</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0.153</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0.153</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58</v>
      </c>
      <c r="Q7" s="42">
        <f>C6-C7</f>
        <v>3229</v>
      </c>
      <c r="R7" s="42">
        <f t="shared" ref="R7:R15" si="5">SUM(N7:Q7)</f>
        <v>3287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27.586206896551726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41.999999999999993</v>
      </c>
      <c r="R8" s="42">
        <f t="shared" si="5"/>
        <v>58.05</v>
      </c>
      <c r="S8" s="30">
        <f t="shared" si="6"/>
        <v>37.152000000000008</v>
      </c>
      <c r="T8" s="30">
        <f t="shared" si="7"/>
        <v>1951.1199999999994</v>
      </c>
      <c r="U8" s="31">
        <f t="shared" si="8"/>
        <v>1.9041371109926614E-2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v>
      </c>
      <c r="Q11" s="42">
        <f>(C$68*L68)-C11</f>
        <v>9</v>
      </c>
      <c r="R11" s="42">
        <f t="shared" si="5"/>
        <v>16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99.999999999999986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0</v>
      </c>
      <c r="R12" s="42">
        <f t="shared" si="5"/>
        <v>7</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71.428571428571416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v>
      </c>
      <c r="E42" s="56">
        <f>MAX(C42:D42)</f>
        <v>3.2869999999999999</v>
      </c>
      <c r="G42" s="1" t="str">
        <f>B42</f>
        <v>per 1000 youth</v>
      </c>
      <c r="L42" s="57">
        <v>1000</v>
      </c>
      <c r="M42" s="57"/>
      <c r="R42" s="49"/>
    </row>
    <row r="43" spans="2:18" ht="15" hidden="1" customHeight="1">
      <c r="B43" s="49" t="s">
        <v>87</v>
      </c>
      <c r="C43" s="56">
        <f>C7/100</f>
        <v>0.57999999999999996</v>
      </c>
      <c r="D43" s="56">
        <f>E7/100</f>
        <v>0</v>
      </c>
      <c r="E43" s="56">
        <f>MAX(C43:D43,0)</f>
        <v>0.57999999999999996</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7.0000000000000007E-2</v>
      </c>
      <c r="D45" s="49">
        <f>E11/100</f>
        <v>0</v>
      </c>
      <c r="E45" s="56">
        <f>MAX(C45:D45,0)</f>
        <v>7.0000000000000007E-2</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3287</v>
      </c>
      <c r="D6" s="34"/>
      <c r="E6" s="33">
        <f>'Data Entry'!H6</f>
        <v>30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58</v>
      </c>
      <c r="D7" s="34">
        <f>IF((AND(C66&gt;0,C7&gt;0)),(C7/C66),0)</f>
        <v>17.645269242470338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58</v>
      </c>
      <c r="Q7" s="42">
        <f>C6-C7</f>
        <v>3229</v>
      </c>
      <c r="R7" s="42">
        <f t="shared" ref="R7:R15" si="5">SUM(N7:Q7)</f>
        <v>3317</v>
      </c>
      <c r="S7" s="30">
        <f t="shared" ref="S7:S15" si="6">R7*((((N7*Q7)-(O7*P7))^2))</f>
        <v>10042549200</v>
      </c>
      <c r="T7" s="30">
        <f t="shared" ref="T7:T15" si="7">(N7+O7)*(P7+Q7)*(N7+P7)*(O7+Q7)</f>
        <v>18639459420</v>
      </c>
      <c r="U7" s="31">
        <f t="shared" ref="U7:U15" si="8">IF((S7&gt;0),S7/T7,"- -")</f>
        <v>0.5387789942676352</v>
      </c>
    </row>
    <row r="8" spans="2:21" ht="18" customHeight="1">
      <c r="B8" s="32" t="str">
        <f>'Data Entry'!A8</f>
        <v>3. Refer to Juvenile Court</v>
      </c>
      <c r="C8" s="33">
        <f>'Data Entry'!C8</f>
        <v>16</v>
      </c>
      <c r="D8" s="34">
        <f>IF((AND(C67&gt;0,C8&gt;0)),(C8/C67),0)</f>
        <v>27.586206896551726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41.999999999999993</v>
      </c>
      <c r="R8" s="42">
        <f t="shared" si="5"/>
        <v>58.05</v>
      </c>
      <c r="S8" s="30">
        <f t="shared" si="6"/>
        <v>37.152000000000008</v>
      </c>
      <c r="T8" s="30">
        <f t="shared" si="7"/>
        <v>1951.1199999999994</v>
      </c>
      <c r="U8" s="31">
        <f t="shared" si="8"/>
        <v>1.9041371109926614E-2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7</v>
      </c>
      <c r="D11" s="34">
        <f>IF(((AND(C68&gt;0,C11&gt;0))),(C11/(C68)),0)</f>
        <v>43.75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v>
      </c>
      <c r="Q11" s="42">
        <f>(C$68*L68)-C11</f>
        <v>9</v>
      </c>
      <c r="R11" s="42">
        <f t="shared" si="5"/>
        <v>16</v>
      </c>
      <c r="S11" s="30">
        <f t="shared" si="6"/>
        <v>0</v>
      </c>
      <c r="T11" s="30">
        <f t="shared" si="7"/>
        <v>0</v>
      </c>
      <c r="U11" s="31" t="str">
        <f t="shared" si="8"/>
        <v>- -</v>
      </c>
    </row>
    <row r="12" spans="2:21" ht="18" customHeight="1">
      <c r="B12" s="32" t="str">
        <f>'Data Entry'!A12</f>
        <v>7. Cases Resulting in Delinquent Findings</v>
      </c>
      <c r="C12" s="33">
        <f>'Data Entry'!C12</f>
        <v>7</v>
      </c>
      <c r="D12" s="34">
        <f>IF(((AND(C69&gt;0,C12&gt;0))),(C12/(C69)),0)</f>
        <v>99.999999999999986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7</v>
      </c>
      <c r="Q12" s="42">
        <f>(C69*L69)-C12</f>
        <v>0</v>
      </c>
      <c r="R12" s="42">
        <f t="shared" si="5"/>
        <v>7</v>
      </c>
      <c r="S12" s="30">
        <f t="shared" si="6"/>
        <v>0</v>
      </c>
      <c r="T12" s="30">
        <f t="shared" si="7"/>
        <v>0</v>
      </c>
      <c r="U12" s="31" t="str">
        <f t="shared" si="8"/>
        <v>- -</v>
      </c>
    </row>
    <row r="13" spans="2:21" ht="18" customHeight="1">
      <c r="B13" s="32" t="str">
        <f>'Data Entry'!A13</f>
        <v>8. Cases Resulting in Probation Placement</v>
      </c>
      <c r="C13" s="33">
        <f>'Data Entry'!C13</f>
        <v>5</v>
      </c>
      <c r="D13" s="34">
        <f>IF(((AND(C70&gt;0,C13&gt;0))),(C13/(C70)),0)</f>
        <v>71.428571428571416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v>
      </c>
      <c r="Q13" s="42">
        <f>(C70*L70)-C13</f>
        <v>2.0000000000000009</v>
      </c>
      <c r="R13" s="42">
        <f t="shared" si="5"/>
        <v>7.0000000000000009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7.0000000000000009</v>
      </c>
      <c r="R14" s="42">
        <f t="shared" si="5"/>
        <v>7.0000000000000009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7.0000000000000009</v>
      </c>
      <c r="R15" s="42">
        <f t="shared" si="5"/>
        <v>7.0000000000000009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3.2869999999999999</v>
      </c>
      <c r="D42" s="56">
        <f>E6/1000</f>
        <v>0.03</v>
      </c>
      <c r="E42" s="56">
        <f>MAX(C42:D42)</f>
        <v>3.2869999999999999</v>
      </c>
      <c r="G42" s="1" t="str">
        <f>B42</f>
        <v>per 1000 youth</v>
      </c>
      <c r="L42" s="57">
        <v>1000</v>
      </c>
      <c r="M42" s="57"/>
      <c r="R42" s="49"/>
    </row>
    <row r="43" spans="2:18" ht="15" hidden="1" customHeight="1">
      <c r="B43" s="49" t="s">
        <v>87</v>
      </c>
      <c r="C43" s="56">
        <f>C7/100</f>
        <v>0.57999999999999996</v>
      </c>
      <c r="D43" s="56">
        <f>E7/100</f>
        <v>0</v>
      </c>
      <c r="E43" s="56">
        <f>MAX(C43:D43,0)</f>
        <v>0.57999999999999996</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7.0000000000000007E-2</v>
      </c>
      <c r="D45" s="49">
        <f>E11/100</f>
        <v>0</v>
      </c>
      <c r="E45" s="56">
        <f>MAX(C45:D45,0)</f>
        <v>7.0000000000000007E-2</v>
      </c>
      <c r="G45" s="1" t="str">
        <f>B45</f>
        <v>per 100 youth petitioned</v>
      </c>
      <c r="L45" s="57">
        <v>100</v>
      </c>
      <c r="M45" s="57"/>
      <c r="R45" s="49"/>
    </row>
    <row r="46" spans="2:18" ht="15" hidden="1" customHeight="1">
      <c r="B46" s="49" t="s">
        <v>90</v>
      </c>
      <c r="C46" s="49">
        <f>C12/100</f>
        <v>7.0000000000000007E-2</v>
      </c>
      <c r="D46" s="49">
        <f>E12/100</f>
        <v>0</v>
      </c>
      <c r="E46" s="56">
        <f>MAX(C46:D46)</f>
        <v>7.0000000000000007E-2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3.2869999999999999</v>
      </c>
      <c r="D48" s="56">
        <f>D42</f>
        <v>0.03</v>
      </c>
      <c r="E48" s="56">
        <f>MAX(C48:D48)</f>
        <v>3.2869999999999999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0.57999999999999996</v>
      </c>
      <c r="D49" s="49">
        <f t="shared" si="9"/>
        <v>0</v>
      </c>
      <c r="E49" s="49">
        <f>MAX(C49:D49)</f>
        <v>0.57999999999999996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7.0000000000000007E-2</v>
      </c>
      <c r="D51" s="49">
        <f>IF(($E45&gt;0),D45,D44)</f>
        <v>0</v>
      </c>
      <c r="E51" s="49">
        <f>MAX(C51:D51)</f>
        <v>7.0000000000000007E-2</v>
      </c>
      <c r="G51" s="1" t="str">
        <f>G45</f>
        <v>per 100 youth petitioned</v>
      </c>
      <c r="L51" s="58">
        <f>IF(($E45&gt;0),L45,L44)</f>
        <v>100</v>
      </c>
      <c r="M51" s="58"/>
    </row>
    <row r="52" spans="2:18" ht="15" hidden="1" customHeight="1">
      <c r="B52" s="49" t="str">
        <f>IF(($E46&gt;0),B46,B45)</f>
        <v>per 100 youth found delinquent</v>
      </c>
      <c r="C52" s="49">
        <f>IF(($E46&gt;0),C46,C45)</f>
        <v>7.0000000000000007E-2</v>
      </c>
      <c r="D52" s="49">
        <f>IF(($E46&gt;0),D46,D45)</f>
        <v>0</v>
      </c>
      <c r="E52" s="56">
        <f>MAX(C52:D52)</f>
        <v>7.0000000000000007E-2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3.2869999999999999</v>
      </c>
      <c r="D54" s="56">
        <f>D48</f>
        <v>0.03</v>
      </c>
      <c r="E54" s="56">
        <f>MAX(C54:D54)</f>
        <v>3.2869999999999999</v>
      </c>
      <c r="G54" s="1" t="str">
        <f>G48</f>
        <v>per 1000 youth</v>
      </c>
      <c r="L54" s="58">
        <f>L48</f>
        <v>1000</v>
      </c>
      <c r="M54" s="58"/>
    </row>
    <row r="55" spans="2:18" ht="15" hidden="1" customHeight="1">
      <c r="B55" s="49" t="str">
        <f t="shared" ref="B55:D56" si="10">IF(($E49&gt;0),B49,B48)</f>
        <v>per 100 arrests</v>
      </c>
      <c r="C55" s="49">
        <f t="shared" si="10"/>
        <v>0.57999999999999996</v>
      </c>
      <c r="D55" s="49">
        <f t="shared" si="10"/>
        <v>0</v>
      </c>
      <c r="E55" s="49">
        <f>MAX(C55:D55)</f>
        <v>0.57999999999999996</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7.0000000000000007E-2</v>
      </c>
      <c r="D57" s="49">
        <f>IF(($E51&gt;0),D51,D50)</f>
        <v>0</v>
      </c>
      <c r="E57" s="49">
        <f>MAX(C57:D57)</f>
        <v>7.0000000000000007E-2</v>
      </c>
      <c r="G57" s="1" t="str">
        <f>G51</f>
        <v>per 100 youth petitioned</v>
      </c>
      <c r="L57" s="58">
        <f>IF(($E51&gt;0),L51,L50)</f>
        <v>100</v>
      </c>
      <c r="M57" s="58"/>
    </row>
    <row r="58" spans="2:18" ht="15" hidden="1" customHeight="1">
      <c r="B58" s="49" t="str">
        <f>IF(($E52&gt;0),B52,B51)</f>
        <v>per 100 youth found delinquent</v>
      </c>
      <c r="C58" s="49">
        <f>IF(($E52&gt;0),C52,C51)</f>
        <v>7.0000000000000007E-2</v>
      </c>
      <c r="D58" s="49">
        <f>IF(($E52&gt;0),D52,D51)</f>
        <v>0</v>
      </c>
      <c r="E58" s="56">
        <f>MAX(C58:D58)</f>
        <v>7.0000000000000007E-2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3.2869999999999999</v>
      </c>
      <c r="D60" s="56">
        <f>D54</f>
        <v>0.03</v>
      </c>
      <c r="E60" s="56">
        <f>MAX(C60:D60)</f>
        <v>3.2869999999999999</v>
      </c>
      <c r="G60" s="1" t="str">
        <f>G54</f>
        <v>per 1000 youth</v>
      </c>
      <c r="L60" s="58">
        <f>L54</f>
        <v>1000</v>
      </c>
      <c r="M60" s="58"/>
    </row>
    <row r="61" spans="2:18" ht="15" hidden="1" customHeight="1">
      <c r="B61" s="49" t="str">
        <f t="shared" ref="B61:D62" si="11">IF(($E55&gt;0),B55,B54)</f>
        <v>per 100 arrests</v>
      </c>
      <c r="C61" s="49">
        <f t="shared" si="11"/>
        <v>0.57999999999999996</v>
      </c>
      <c r="D61" s="49">
        <f t="shared" si="11"/>
        <v>0</v>
      </c>
      <c r="E61" s="49">
        <f>MAX(C61:D61)</f>
        <v>0.57999999999999996</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7.0000000000000007E-2</v>
      </c>
      <c r="D63" s="49">
        <f>IF(($E57&gt;0),D57,D56)</f>
        <v>0</v>
      </c>
      <c r="E63" s="49">
        <f>MAX(C63:D63)</f>
        <v>7.0000000000000007E-2</v>
      </c>
      <c r="G63" s="1" t="str">
        <f>G57</f>
        <v>per 100 youth petitioned</v>
      </c>
      <c r="L63" s="58">
        <f>IF(($E57&gt;0),L57,L56)</f>
        <v>100</v>
      </c>
      <c r="M63" s="58"/>
    </row>
    <row r="64" spans="2:18" ht="15" hidden="1" customHeight="1">
      <c r="B64" s="49" t="str">
        <f>IF(($E58&gt;0),B58,B57)</f>
        <v>per 100 youth found delinquent</v>
      </c>
      <c r="C64" s="49">
        <f>IF(($E58&gt;0),C58,C57)</f>
        <v>7.0000000000000007E-2</v>
      </c>
      <c r="D64" s="49">
        <f>IF(($E58&gt;0),D58,D57)</f>
        <v>0</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3.2869999999999999</v>
      </c>
      <c r="D66" s="56">
        <f>D60</f>
        <v>0.03</v>
      </c>
      <c r="E66" s="56">
        <f>MAX(C66:D66)</f>
        <v>3.2869999999999999</v>
      </c>
      <c r="G66" s="1" t="str">
        <f>G60</f>
        <v>per 1000 youth</v>
      </c>
      <c r="L66" s="58">
        <f>L60</f>
        <v>1000</v>
      </c>
      <c r="M66" s="58">
        <f>IF((B66=G66),1,2)</f>
        <v>1</v>
      </c>
    </row>
    <row r="67" spans="2:13" ht="15" hidden="1" customHeight="1">
      <c r="B67" s="49" t="str">
        <f t="shared" ref="B67:D68" si="12">IF(($E61&gt;0),B61,B60)</f>
        <v>per 100 arrests</v>
      </c>
      <c r="C67" s="49">
        <f t="shared" si="12"/>
        <v>0.57999999999999996</v>
      </c>
      <c r="D67" s="49">
        <f t="shared" si="12"/>
        <v>0</v>
      </c>
      <c r="E67" s="49">
        <f>MAX(C67:D67)</f>
        <v>0.57999999999999996</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7.0000000000000007E-2</v>
      </c>
      <c r="D69" s="49">
        <f>IF(($E63&gt;0),D63,D62)</f>
        <v>0</v>
      </c>
      <c r="E69" s="49">
        <f>MAX(C69:D69)</f>
        <v>7.0000000000000007E-2</v>
      </c>
      <c r="G69" s="1" t="str">
        <f>G63</f>
        <v>per 100 youth petitioned</v>
      </c>
      <c r="L69" s="58">
        <f>IF(($E63&gt;0),L63,L62)</f>
        <v>100</v>
      </c>
      <c r="M69" s="58">
        <f>IF((B69=G69),1,2)</f>
        <v>1</v>
      </c>
    </row>
    <row r="70" spans="2:13" ht="15" hidden="1" customHeight="1">
      <c r="B70" s="49" t="str">
        <f>IF(($E64&gt;0),B64,B63)</f>
        <v>per 100 youth found delinquent</v>
      </c>
      <c r="C70" s="49">
        <f>IF(($E64&gt;0),C64,C63)</f>
        <v>7.0000000000000007E-2</v>
      </c>
      <c r="D70" s="49">
        <f>IF(($E64&gt;0),D64,D63)</f>
        <v>0</v>
      </c>
      <c r="E70" s="56">
        <f>MAX(C70:D70)</f>
        <v>7.0000000000000007E-2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U47JMPN4QEAR-1806752177-35372</_dlc_DocId>
    <_dlc_DocIdUrl xmlns="ac3811b5-0f3e-49e2-ba69-f2ffa0c782af">
      <Url>https://michiganphi.sharepoint.com/sites/CMDMC/_layouts/15/DocIdRedir.aspx?ID=U47JMPN4QEAR-1806752177-35372</Url>
      <Description>U47JMPN4QEAR-1806752177-35372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E58D50-C50F-42EB-A399-E2430A7899D4}"/>
</file>

<file path=customXml/itemProps2.xml><?xml version="1.0" encoding="utf-8"?>
<ds:datastoreItem xmlns:ds="http://schemas.openxmlformats.org/officeDocument/2006/customXml" ds:itemID="{D0FD451C-9BD8-4C8E-9D81-70FBADE9BD77}">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E486AC39-AD92-47D9-B0FA-3867BD1E0009}">
  <ds:schemaRefs>
    <ds:schemaRef ds:uri="http://schemas.microsoft.com/sharepoint/v3/contenttype/forms"/>
  </ds:schemaRefs>
</ds:datastoreItem>
</file>

<file path=customXml/itemProps4.xml><?xml version="1.0" encoding="utf-8"?>
<ds:datastoreItem xmlns:ds="http://schemas.openxmlformats.org/officeDocument/2006/customXml" ds:itemID="{079218EB-DA64-4AA2-967D-8F44CFCB25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706da075-93e3-4b25-9e8b-9f4d50807556</vt:lpwstr>
  </property>
</Properties>
</file>