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DCDAE673-AEC1-4E2D-A730-22ABB24C6032}"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F27" i="2"/>
  <c r="M66" i="2"/>
  <c r="F27" i="6"/>
  <c r="M66" i="6"/>
  <c r="M66" i="7"/>
  <c r="F27" i="7"/>
  <c r="F27" i="4"/>
  <c r="M66" i="4"/>
  <c r="F27" i="5"/>
  <c r="M66" i="5"/>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B52" i="3" s="1"/>
  <c r="E44" i="6"/>
  <c r="D50" i="6" s="1"/>
  <c r="E43" i="7"/>
  <c r="E46" i="7"/>
  <c r="D52"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D52" i="3"/>
  <c r="L52" i="7"/>
  <c r="C45" i="6"/>
  <c r="E45" i="6" s="1"/>
  <c r="P11" i="6"/>
  <c r="P11" i="8"/>
  <c r="C45" i="8"/>
  <c r="L52" i="5"/>
  <c r="B52" i="5"/>
  <c r="D52" i="5"/>
  <c r="C48" i="6"/>
  <c r="E42" i="6"/>
  <c r="R7" i="6"/>
  <c r="S7" i="6" s="1"/>
  <c r="D21" i="10"/>
  <c r="C4" i="10"/>
  <c r="C7" i="10"/>
  <c r="C5" i="10"/>
  <c r="C10" i="10"/>
  <c r="C11" i="10"/>
  <c r="C6" i="10"/>
  <c r="C9" i="10"/>
  <c r="C12" i="10"/>
  <c r="C8" i="10"/>
  <c r="C50" i="6"/>
  <c r="L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50" i="6" l="1"/>
  <c r="B52"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L64" i="3" l="1"/>
  <c r="B56" i="8"/>
  <c r="L56" i="8"/>
  <c r="D64" i="5"/>
  <c r="E64" i="5" s="1"/>
  <c r="C57" i="8"/>
  <c r="C64" i="8" s="1"/>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Q8" i="13" l="1"/>
  <c r="I7" i="9"/>
  <c r="E57" i="8"/>
  <c r="L63" i="8" s="1"/>
  <c r="C63" i="3"/>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8"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63" i="8" l="1"/>
  <c r="B70" i="3"/>
  <c r="M70" i="3" s="1"/>
  <c r="L69" i="7"/>
  <c r="C70" i="3"/>
  <c r="D14" i="3" s="1"/>
  <c r="L70" i="6"/>
  <c r="C70" i="6"/>
  <c r="D14" i="6" s="1"/>
  <c r="B63" i="8"/>
  <c r="B70" i="8" s="1"/>
  <c r="M70" i="8" s="1"/>
  <c r="C69" i="7"/>
  <c r="D12" i="7" s="1"/>
  <c r="C63" i="8"/>
  <c r="D70" i="6"/>
  <c r="F13" i="6" s="1"/>
  <c r="E63" i="3"/>
  <c r="C69" i="3" s="1"/>
  <c r="D15"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C70" i="8"/>
  <c r="Q13"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B69" i="6" l="1"/>
  <c r="M69" i="6" s="1"/>
  <c r="O14" i="6"/>
  <c r="E63" i="8"/>
  <c r="D69" i="8" s="1"/>
  <c r="F15" i="8" s="1"/>
  <c r="B69" i="3"/>
  <c r="M69" i="3" s="1"/>
  <c r="L69" i="3"/>
  <c r="Q12" i="3" s="1"/>
  <c r="D12" i="3"/>
  <c r="D13" i="3"/>
  <c r="Q13" i="3"/>
  <c r="Q14" i="3"/>
  <c r="Q15" i="7"/>
  <c r="E69" i="7"/>
  <c r="D15" i="7"/>
  <c r="F34" i="3"/>
  <c r="D69" i="3"/>
  <c r="E69" i="3" s="1"/>
  <c r="Q13" i="6"/>
  <c r="Q14" i="6"/>
  <c r="K14" i="6" s="1"/>
  <c r="O13" i="6"/>
  <c r="F14" i="6"/>
  <c r="E70" i="6"/>
  <c r="D13" i="6"/>
  <c r="E70" i="3"/>
  <c r="O13" i="3"/>
  <c r="F14" i="3"/>
  <c r="Q12" i="7"/>
  <c r="C69" i="6"/>
  <c r="D12" i="6" s="1"/>
  <c r="F12" i="7"/>
  <c r="O12" i="7"/>
  <c r="O15" i="7"/>
  <c r="T15" i="7" s="1"/>
  <c r="O14" i="3"/>
  <c r="D69" i="6"/>
  <c r="F12" i="6" s="1"/>
  <c r="T10" i="3"/>
  <c r="K10" i="4"/>
  <c r="F8" i="7"/>
  <c r="T9" i="4"/>
  <c r="F35" i="6"/>
  <c r="F32" i="6"/>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3" i="8" s="1"/>
  <c r="S13" i="8" s="1"/>
  <c r="R10" i="3"/>
  <c r="S10" i="3" s="1"/>
  <c r="U10" i="3" s="1"/>
  <c r="J10" i="3" s="1"/>
  <c r="M10" i="3" s="1"/>
  <c r="G10" i="3" s="1"/>
  <c r="I11" i="16" s="1"/>
  <c r="F8" i="2"/>
  <c r="O14" i="8"/>
  <c r="F14" i="8"/>
  <c r="T14" i="4"/>
  <c r="B70" i="2"/>
  <c r="F33" i="2" s="1"/>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5" i="3" l="1"/>
  <c r="B69" i="8"/>
  <c r="M69" i="8" s="1"/>
  <c r="F12" i="8"/>
  <c r="C69" i="8"/>
  <c r="D12" i="8" s="1"/>
  <c r="R13" i="3"/>
  <c r="S13" i="3" s="1"/>
  <c r="U13" i="3" s="1"/>
  <c r="J13" i="3" s="1"/>
  <c r="M13" i="3" s="1"/>
  <c r="G13" i="3" s="1"/>
  <c r="R14" i="3"/>
  <c r="S14" i="3" s="1"/>
  <c r="U14" i="3" s="1"/>
  <c r="J14" i="3" s="1"/>
  <c r="M14" i="3" s="1"/>
  <c r="G14" i="3" s="1"/>
  <c r="I15" i="16" s="1"/>
  <c r="O15" i="3"/>
  <c r="D15" i="6"/>
  <c r="F15" i="3"/>
  <c r="F12" i="3"/>
  <c r="O12" i="3"/>
  <c r="R12" i="3" s="1"/>
  <c r="S12" i="3" s="1"/>
  <c r="R13" i="6"/>
  <c r="S13" i="6" s="1"/>
  <c r="U13" i="6" s="1"/>
  <c r="J13" i="6" s="1"/>
  <c r="M13" i="6" s="1"/>
  <c r="G13" i="6" s="1"/>
  <c r="G13" i="9" s="1"/>
  <c r="T13" i="3"/>
  <c r="T13" i="6"/>
  <c r="K13" i="6"/>
  <c r="K15" i="7"/>
  <c r="R15" i="7"/>
  <c r="S15" i="7" s="1"/>
  <c r="U15" i="7" s="1"/>
  <c r="J15" i="7" s="1"/>
  <c r="M15" i="7" s="1"/>
  <c r="T13" i="8"/>
  <c r="U13" i="8" s="1"/>
  <c r="J13" i="8" s="1"/>
  <c r="M13" i="8" s="1"/>
  <c r="T14" i="6"/>
  <c r="R14" i="6"/>
  <c r="S14" i="6" s="1"/>
  <c r="U14" i="6" s="1"/>
  <c r="J14" i="6" s="1"/>
  <c r="M14" i="6" s="1"/>
  <c r="G14" i="6" s="1"/>
  <c r="M15" i="13" s="1"/>
  <c r="T12" i="7"/>
  <c r="R12" i="7"/>
  <c r="S12" i="7" s="1"/>
  <c r="K13" i="3"/>
  <c r="K12" i="7"/>
  <c r="O12" i="6"/>
  <c r="R14" i="8"/>
  <c r="S14" i="8" s="1"/>
  <c r="E69" i="6"/>
  <c r="K14" i="3"/>
  <c r="L14" i="3" s="1"/>
  <c r="P15" i="16" s="1"/>
  <c r="T14" i="3"/>
  <c r="O15" i="6"/>
  <c r="Q12" i="6"/>
  <c r="Q15" i="6"/>
  <c r="F15" i="6"/>
  <c r="L13" i="4"/>
  <c r="O14" i="16" s="1"/>
  <c r="L11" i="4"/>
  <c r="O12" i="16" s="1"/>
  <c r="K8" i="7"/>
  <c r="O13" i="2"/>
  <c r="O12" i="8"/>
  <c r="T8" i="7"/>
  <c r="U8" i="7" s="1"/>
  <c r="J8" i="7" s="1"/>
  <c r="M8" i="7" s="1"/>
  <c r="T13" i="7"/>
  <c r="Q10" i="7"/>
  <c r="F13" i="2"/>
  <c r="Q11" i="7"/>
  <c r="R8" i="6"/>
  <c r="S8" i="6" s="1"/>
  <c r="F14" i="2"/>
  <c r="F10" i="7"/>
  <c r="L10" i="3"/>
  <c r="P11" i="16" s="1"/>
  <c r="F30" i="7"/>
  <c r="M68" i="7"/>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Q13" i="2"/>
  <c r="U9" i="3"/>
  <c r="J9" i="3" s="1"/>
  <c r="L9" i="3" s="1"/>
  <c r="K15" i="3"/>
  <c r="T15" i="3"/>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L13" i="3" l="1"/>
  <c r="P14" i="16" s="1"/>
  <c r="I15" i="13"/>
  <c r="Q15" i="8"/>
  <c r="R15" i="8" s="1"/>
  <c r="S15" i="8" s="1"/>
  <c r="E69" i="8"/>
  <c r="F32" i="8"/>
  <c r="Q12" i="8"/>
  <c r="R12" i="8" s="1"/>
  <c r="S12" i="8" s="1"/>
  <c r="E14" i="9"/>
  <c r="N30" i="3"/>
  <c r="F35" i="8"/>
  <c r="T12" i="3"/>
  <c r="M14" i="13"/>
  <c r="L13" i="6"/>
  <c r="R14" i="16" s="1"/>
  <c r="L15" i="7"/>
  <c r="S16" i="16" s="1"/>
  <c r="U13" i="7"/>
  <c r="J13" i="7" s="1"/>
  <c r="M13" i="7" s="1"/>
  <c r="U12" i="7"/>
  <c r="J12" i="7" s="1"/>
  <c r="M12" i="7" s="1"/>
  <c r="U14" i="8"/>
  <c r="J14" i="8" s="1"/>
  <c r="N30" i="8" s="1"/>
  <c r="G13" i="8"/>
  <c r="I13" i="9" s="1"/>
  <c r="T12" i="6"/>
  <c r="T15" i="6"/>
  <c r="L13" i="8"/>
  <c r="T14" i="16" s="1"/>
  <c r="K12" i="6"/>
  <c r="K15" i="6"/>
  <c r="R12" i="6"/>
  <c r="S12" i="6" s="1"/>
  <c r="U12" i="6" s="1"/>
  <c r="J12" i="6" s="1"/>
  <c r="M12" i="6" s="1"/>
  <c r="G12" i="6" s="1"/>
  <c r="R15" i="6"/>
  <c r="S15" i="6" s="1"/>
  <c r="U15" i="6" s="1"/>
  <c r="J15" i="6" s="1"/>
  <c r="M15" i="6" s="1"/>
  <c r="G15" i="6" s="1"/>
  <c r="M13" i="9"/>
  <c r="U14" i="13"/>
  <c r="U12" i="13"/>
  <c r="M11" i="9"/>
  <c r="T13" i="2"/>
  <c r="U8" i="6"/>
  <c r="J8" i="6" s="1"/>
  <c r="M8" i="6" s="1"/>
  <c r="G8" i="6" s="1"/>
  <c r="M9" i="13" s="1"/>
  <c r="R13" i="2"/>
  <c r="S13" i="2" s="1"/>
  <c r="T15" i="8"/>
  <c r="V11" i="13"/>
  <c r="G14" i="9"/>
  <c r="R10" i="7"/>
  <c r="S10" i="7" s="1"/>
  <c r="T11" i="7"/>
  <c r="T10" i="7"/>
  <c r="L8" i="2"/>
  <c r="N9" i="16" s="1"/>
  <c r="K13" i="2"/>
  <c r="R15" i="5"/>
  <c r="S15" i="5" s="1"/>
  <c r="U15" i="5" s="1"/>
  <c r="J15" i="5" s="1"/>
  <c r="M15" i="5" s="1"/>
  <c r="K11" i="7"/>
  <c r="K15" i="8"/>
  <c r="T9" i="7"/>
  <c r="N10" i="9"/>
  <c r="N30" i="6"/>
  <c r="R11" i="7"/>
  <c r="S11" i="7" s="1"/>
  <c r="L14" i="6"/>
  <c r="R15" i="16" s="1"/>
  <c r="K12" i="5"/>
  <c r="L12" i="5" s="1"/>
  <c r="Q13" i="16" s="1"/>
  <c r="T12" i="5"/>
  <c r="K10" i="7"/>
  <c r="R14" i="2"/>
  <c r="S14" i="2" s="1"/>
  <c r="D13" i="9"/>
  <c r="G14" i="13"/>
  <c r="P13" i="9"/>
  <c r="K9" i="7"/>
  <c r="T14" i="2"/>
  <c r="V12" i="13"/>
  <c r="U10" i="13"/>
  <c r="N11" i="9"/>
  <c r="T15" i="5"/>
  <c r="W14" i="13"/>
  <c r="N13" i="9"/>
  <c r="L15" i="3"/>
  <c r="P16" i="16" s="1"/>
  <c r="N14" i="9"/>
  <c r="M9" i="3"/>
  <c r="G9" i="3" s="1"/>
  <c r="I10" i="13" s="1"/>
  <c r="I14" i="13"/>
  <c r="I14" i="16"/>
  <c r="G12" i="13"/>
  <c r="G12" i="16"/>
  <c r="N9" i="9"/>
  <c r="P10" i="16"/>
  <c r="M14" i="7"/>
  <c r="N30" i="7"/>
  <c r="L14" i="7"/>
  <c r="S15" i="16" s="1"/>
  <c r="L8" i="7"/>
  <c r="S9" i="16" s="1"/>
  <c r="O13" i="9"/>
  <c r="V14" i="13"/>
  <c r="M9" i="9"/>
  <c r="M10" i="9"/>
  <c r="O14" i="9"/>
  <c r="V10" i="13"/>
  <c r="V15"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X14" i="13" l="1"/>
  <c r="T12" i="8"/>
  <c r="U12" i="8" s="1"/>
  <c r="J12" i="8" s="1"/>
  <c r="M12" i="8" s="1"/>
  <c r="K12" i="8"/>
  <c r="Y16" i="13"/>
  <c r="L12" i="7"/>
  <c r="Y13" i="13" s="1"/>
  <c r="Q15" i="9"/>
  <c r="L13" i="7"/>
  <c r="S14" i="16" s="1"/>
  <c r="L14" i="8"/>
  <c r="T15" i="16" s="1"/>
  <c r="M14" i="8"/>
  <c r="G14" i="8" s="1"/>
  <c r="K15" i="16" s="1"/>
  <c r="U11" i="7"/>
  <c r="J11" i="7" s="1"/>
  <c r="L11" i="7" s="1"/>
  <c r="S12" i="16" s="1"/>
  <c r="U10" i="7"/>
  <c r="J10" i="7" s="1"/>
  <c r="M10" i="7" s="1"/>
  <c r="K14" i="16"/>
  <c r="Q14" i="13"/>
  <c r="U14" i="2"/>
  <c r="J14" i="2" s="1"/>
  <c r="M14" i="2" s="1"/>
  <c r="G14" i="2" s="1"/>
  <c r="E15" i="16" s="1"/>
  <c r="U13" i="2"/>
  <c r="J13" i="2" s="1"/>
  <c r="M13" i="2" s="1"/>
  <c r="G13" i="2" s="1"/>
  <c r="E14" i="16" s="1"/>
  <c r="L15" i="6"/>
  <c r="R16" i="16" s="1"/>
  <c r="R13" i="9"/>
  <c r="Z14" i="13"/>
  <c r="L12" i="6"/>
  <c r="R13" i="16" s="1"/>
  <c r="L8" i="6"/>
  <c r="R9" i="16" s="1"/>
  <c r="L15" i="5"/>
  <c r="Q16" i="16" s="1"/>
  <c r="T9" i="13"/>
  <c r="L8" i="9"/>
  <c r="X15" i="13"/>
  <c r="P14" i="9"/>
  <c r="G8" i="9"/>
  <c r="Q14" i="9"/>
  <c r="Y15" i="13"/>
  <c r="E9" i="13"/>
  <c r="L10" i="2"/>
  <c r="N11" i="16" s="1"/>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G12" i="8" l="1"/>
  <c r="K13" i="16" s="1"/>
  <c r="L14" i="2"/>
  <c r="N15" i="16" s="1"/>
  <c r="M11" i="7"/>
  <c r="L13" i="2"/>
  <c r="N14" i="16" s="1"/>
  <c r="X16" i="13"/>
  <c r="E14" i="13"/>
  <c r="R14" i="9"/>
  <c r="Z15" i="13"/>
  <c r="N30" i="2"/>
  <c r="L10" i="7"/>
  <c r="S11" i="16" s="1"/>
  <c r="Q13" i="9"/>
  <c r="Y14" i="13"/>
  <c r="S13" i="16"/>
  <c r="Q12" i="9"/>
  <c r="L12" i="8"/>
  <c r="T13" i="16" s="1"/>
  <c r="I14" i="9"/>
  <c r="Q15" i="13"/>
  <c r="C14" i="9"/>
  <c r="E15" i="13"/>
  <c r="C13" i="9"/>
  <c r="P15" i="9"/>
  <c r="X13" i="13"/>
  <c r="P12" i="9"/>
  <c r="P8" i="9"/>
  <c r="X9" i="13"/>
  <c r="O15" i="9"/>
  <c r="W16" i="13"/>
  <c r="L10" i="9"/>
  <c r="X12" i="13"/>
  <c r="T11" i="13"/>
  <c r="L15" i="9"/>
  <c r="P11" i="9"/>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T14" i="13" l="1"/>
  <c r="L13" i="9"/>
  <c r="Z13" i="13"/>
  <c r="Q10" i="9"/>
  <c r="R12" i="9"/>
  <c r="Y11"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<sst xmlns="http://schemas.openxmlformats.org/spreadsheetml/2006/main" count="654" uniqueCount="141">
  <si>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</si>
  <si>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</si>
  <si>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</si>
  <si>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</si>
  <si>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</si>
  <si>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</si>
  <si>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</si>
  <si>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</si>
  <si>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</si>
  <si>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</si>
  <si>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</si>
  <si>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</si>
  <si>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</si>
  <si>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</si>
  <si>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</si>
  <si>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</si>
  <si>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</si>
  <si>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</si>
  <si>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</si>
  <si>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</si>
  <si>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</si>
  <si>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</si>
  <si>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</si>
  <si>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</si>
  <si>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</si>
  <si>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</si>
  <si>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</si>
  <si>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</si>
  <si>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</si>
  <si>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</si>
  <si>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</si>
  <si>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</si>
  <si>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</si>
  <si>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</si>
  <si>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</si>
  <si>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</si>
  <si>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</si>
  <si>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</si>
  <si>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</si>
  <si>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</si>
  <si>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</si>
  <si>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</si>
  <si>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</si>
  <si>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</si>
  <si>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</si>
  <si>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</si>
  <si>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</si>
  <si>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</si>
  <si>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</si>
  <si>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</si>
  <si>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</si>
  <si>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</si>
  <si>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</si>
  <si>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</si>
  <si>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</si>
  <si>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</si>
  <si>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</si>
  <si>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</si>
  <si>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</si>
  <si>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</si>
  <si>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</si>
  <si>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</si>
  <si>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</si>
  <si>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</si>
  <si>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</si>
  <si>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</si>
  <si>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</si>
  <si>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</si>
  <si>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</si>
  <si>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</si>
  <si>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</si>
  <si>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</si>
  <si>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</si>
  <si>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</si>
  <si>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</si>
  <si>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</si>
  <si>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</si>
  <si>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</si>
  <si>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</si>
  <si>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</si>
  <si>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</si>
  <si>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</si>
  <si>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</si>
  <si>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</si>
  <si>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</si>
  <si>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</si>
  <si>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</si>
  <si>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</si>
  <si>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</si>
  <si>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</si>
  <si>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</si>
  <si>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</si>
  <si>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</si>
  <si>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</si>
  <si>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</si>
  <si>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</si>
  <si>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</si>
  <si>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</si>
  <si>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</si>
  <si>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</si>
  <si>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</si>
  <si>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</si>
  <si>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</si>
  <si>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</si>
  <si>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</si>
  <si>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</si>
  <si>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</si>
  <si>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</si>
  <si>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</si>
  <si>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</si>
  <si>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</si>
  <si>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</si>
  <si>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</si>
  <si>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</si>
  <si>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</si>
  <si>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</si>
  <si>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</si>
  <si>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</si>
  <si>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</si>
  <si>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</si>
  <si>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</si>
  <si>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</si>
  <si>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</si>
  <si>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</si>
  <si>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</si>
  <si>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</si>
  <si>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</si>
  <si>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</si>
  <si>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</si>
  <si>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</si>
  <si>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</si>
  <si>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</si>
  <si>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</si>
  <si>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</si>
  <si>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</si>
  <si>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</si>
  <si>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</si>
  <si>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Mecosta</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</si>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</sst>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Mecosta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N=9</c:v>
                </c:pt>
                <c:pt idx="2">
                  <c:v>Delinquent Findings, total N=23</c:v>
                </c:pt>
                <c:pt idx="3">
                  <c:v>Petitions, total N=12</c:v>
                </c:pt>
                <c:pt idx="4">
                  <c:v>Detentions, total N=0</c:v>
                </c:pt>
                <c:pt idx="5">
                  <c:v>Referrals, total N=57</c:v>
                </c:pt>
                <c:pt idx="6">
                  <c:v>Arrests, total N=3</c:v>
                </c:pt>
                <c:pt idx="7">
                  <c:v>Population, total N=3255</c:v>
                </c:pt>
              </c:strCache>
            </c:strRef>
          </c:cat>
          <c:val>
            <c:numRef>
              <c:f>'Stacked 100%'!$B$7:$B$14</c:f>
              <c:numCache>
                <c:formatCode>0%</c:formatCode>
                <c:ptCount val="8"/>
                <c:pt idx="0">
                  <c:v>0</c:v>
                </c:pt>
                <c:pt idx="1">
                  <c:v>0</c:v>
                </c:pt>
                <c:pt idx="2">
                  <c:v>4.3478260869565216E-2</c:v>
                </c:pt>
                <c:pt idx="3">
                  <c:v>8.3333333333333329E-2</c:v>
                </c:pt>
                <c:pt idx="4">
                  <c:v>0</c:v>
                </c:pt>
                <c:pt idx="5">
                  <c:v>3.5087719298245612E-2</c:v>
                </c:pt>
                <c:pt idx="6">
                  <c:v>0</c:v>
                </c:pt>
                <c:pt idx="7">
                  <c:v>3.5944700460829496E-2</c:v>
                </c:pt>
              </c:numCache>
            </c:numRef>
          </c:val>
          <c:extLst>
            <c:ext xmlns:c16="http://schemas.microsoft.com/office/drawing/2014/chart" uri="{C3380CC4-5D6E-409C-BE32-E72D297353CC}">
              <c16:uniqueId val="{00000000-CA3D-4A42-B9C4-4672415EF9CA}"/>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N=9</c:v>
                </c:pt>
                <c:pt idx="2">
                  <c:v>Delinquent Findings, total N=23</c:v>
                </c:pt>
                <c:pt idx="3">
                  <c:v>Petitions, total N=12</c:v>
                </c:pt>
                <c:pt idx="4">
                  <c:v>Detentions, total N=0</c:v>
                </c:pt>
                <c:pt idx="5">
                  <c:v>Referrals, total N=57</c:v>
                </c:pt>
                <c:pt idx="6">
                  <c:v>Arrests, total N=3</c:v>
                </c:pt>
                <c:pt idx="7">
                  <c:v>Population, total N=3255</c:v>
                </c:pt>
              </c:strCache>
            </c:strRef>
          </c:cat>
          <c:val>
            <c:numRef>
              <c:f>'Stacked 100%'!$C$7:$C$14</c:f>
              <c:numCache>
                <c:formatCode>0%</c:formatCode>
                <c:ptCount val="8"/>
                <c:pt idx="0">
                  <c:v>0</c:v>
                </c:pt>
                <c:pt idx="1">
                  <c:v>0</c:v>
                </c:pt>
                <c:pt idx="2">
                  <c:v>0</c:v>
                </c:pt>
                <c:pt idx="3">
                  <c:v>0</c:v>
                </c:pt>
                <c:pt idx="4">
                  <c:v>0</c:v>
                </c:pt>
                <c:pt idx="5">
                  <c:v>0</c:v>
                </c:pt>
                <c:pt idx="6">
                  <c:v>0</c:v>
                </c:pt>
                <c:pt idx="7">
                  <c:v>3.5944700460829496E-2</c:v>
                </c:pt>
              </c:numCache>
            </c:numRef>
          </c:val>
          <c:extLst>
            <c:ext xmlns:c16="http://schemas.microsoft.com/office/drawing/2014/chart" uri="{C3380CC4-5D6E-409C-BE32-E72D297353CC}">
              <c16:uniqueId val="{00000001-CA3D-4A42-B9C4-4672415EF9CA}"/>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N=9</c:v>
                </c:pt>
                <c:pt idx="2">
                  <c:v>Delinquent Findings, total N=23</c:v>
                </c:pt>
                <c:pt idx="3">
                  <c:v>Petitions, total N=12</c:v>
                </c:pt>
                <c:pt idx="4">
                  <c:v>Detentions, total N=0</c:v>
                </c:pt>
                <c:pt idx="5">
                  <c:v>Referrals, total N=57</c:v>
                </c:pt>
                <c:pt idx="6">
                  <c:v>Arrests, total N=3</c:v>
                </c:pt>
                <c:pt idx="7">
                  <c:v>Population, total N=3255</c:v>
                </c:pt>
              </c:strCache>
            </c:strRef>
          </c:cat>
          <c:val>
            <c:numRef>
              <c:f>'Stacked 100%'!$H$7:$H$14</c:f>
              <c:numCache>
                <c:formatCode>0%</c:formatCode>
                <c:ptCount val="8"/>
                <c:pt idx="0">
                  <c:v>0</c:v>
                </c:pt>
                <c:pt idx="1">
                  <c:v>0</c:v>
                </c:pt>
                <c:pt idx="2">
                  <c:v>1.890359168241966E-3</c:v>
                </c:pt>
                <c:pt idx="3">
                  <c:v>6.9444444444444441E-3</c:v>
                </c:pt>
                <c:pt idx="4">
                  <c:v>0</c:v>
                </c:pt>
                <c:pt idx="5">
                  <c:v>3.0778701138811941E-4</c:v>
                </c:pt>
                <c:pt idx="6">
                  <c:v>0</c:v>
                </c:pt>
                <c:pt idx="7">
                  <c:v>5.191115641539308E-6</c:v>
                </c:pt>
              </c:numCache>
            </c:numRef>
          </c:val>
          <c:extLst>
            <c:ext xmlns:c16="http://schemas.microsoft.com/office/drawing/2014/chart" uri="{C3380CC4-5D6E-409C-BE32-E72D297353CC}">
              <c16:uniqueId val="{00000002-CA3D-4A42-B9C4-4672415EF9CA}"/>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N=9</c:v>
                </c:pt>
                <c:pt idx="2">
                  <c:v>Delinquent Findings, total N=23</c:v>
                </c:pt>
                <c:pt idx="3">
                  <c:v>Petitions, total N=12</c:v>
                </c:pt>
                <c:pt idx="4">
                  <c:v>Detentions, total N=0</c:v>
                </c:pt>
                <c:pt idx="5">
                  <c:v>Referrals, total N=57</c:v>
                </c:pt>
                <c:pt idx="6">
                  <c:v>Arrests, total N=3</c:v>
                </c:pt>
                <c:pt idx="7">
                  <c:v>Population, total N=3255</c:v>
                </c:pt>
              </c:strCache>
            </c:strRef>
          </c:cat>
          <c:val>
            <c:numRef>
              <c:f>'Stacked 100%'!$I$7:$I$14</c:f>
              <c:numCache>
                <c:formatCode>0%</c:formatCode>
                <c:ptCount val="8"/>
                <c:pt idx="0">
                  <c:v>0</c:v>
                </c:pt>
                <c:pt idx="1">
                  <c:v>0.66666666666666663</c:v>
                </c:pt>
                <c:pt idx="2">
                  <c:v>0.47826086956521741</c:v>
                </c:pt>
                <c:pt idx="3">
                  <c:v>0.33333333333333331</c:v>
                </c:pt>
                <c:pt idx="4">
                  <c:v>0</c:v>
                </c:pt>
                <c:pt idx="5">
                  <c:v>0.43859649122807015</c:v>
                </c:pt>
                <c:pt idx="6">
                  <c:v>1</c:v>
                </c:pt>
                <c:pt idx="7">
                  <c:v>0.91121351766513059</c:v>
                </c:pt>
              </c:numCache>
            </c:numRef>
          </c:val>
          <c:extLst>
            <c:ext xmlns:c16="http://schemas.microsoft.com/office/drawing/2014/chart" uri="{C3380CC4-5D6E-409C-BE32-E72D297353CC}">
              <c16:uniqueId val="{00000003-CA3D-4A42-B9C4-4672415EF9CA}"/>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N=9</c:v>
                </c:pt>
                <c:pt idx="2">
                  <c:v>Delinquent Findings, total N=23</c:v>
                </c:pt>
                <c:pt idx="3">
                  <c:v>Petitions, total N=12</c:v>
                </c:pt>
                <c:pt idx="4">
                  <c:v>Detentions, total N=0</c:v>
                </c:pt>
                <c:pt idx="5">
                  <c:v>Referrals, total N=57</c:v>
                </c:pt>
                <c:pt idx="6">
                  <c:v>Arrests, total N=3</c:v>
                </c:pt>
                <c:pt idx="7">
                  <c:v>Population, total N=3255</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A3D-4A42-B9C4-4672415EF9CA}"/>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3255</v>
      </c>
      <c r="C6" s="11">
        <v>2966</v>
      </c>
      <c r="D6" s="11">
        <v>117</v>
      </c>
      <c r="E6" s="11">
        <v>117</v>
      </c>
      <c r="F6" s="11">
        <v>20</v>
      </c>
      <c r="G6" s="11"/>
      <c r="H6" s="11">
        <v>35</v>
      </c>
      <c r="I6" s="11"/>
      <c r="J6" s="91">
        <f>SUM(D6:I6)</f>
        <v>289</v>
      </c>
      <c r="K6" s="92"/>
    </row>
    <row r="7" spans="1:11" ht="15.75" customHeight="1" thickBot="1" x14ac:dyDescent="0.25">
      <c r="A7" s="10" t="s">
        <v>8</v>
      </c>
      <c r="B7" s="11">
        <f t="shared" ref="B7:B15" si="0">SUM(C7:I7)+K7</f>
        <v>3</v>
      </c>
      <c r="C7" s="11">
        <v>3</v>
      </c>
      <c r="D7" s="11"/>
      <c r="E7" s="11"/>
      <c r="F7" s="11"/>
      <c r="G7" s="11"/>
      <c r="H7" s="11"/>
      <c r="I7" s="11"/>
      <c r="J7" s="91">
        <f t="shared" ref="J7:J15" si="1">SUM(D7:I7)</f>
        <v>0</v>
      </c>
      <c r="K7" s="92"/>
    </row>
    <row r="8" spans="1:11" ht="15.75" customHeight="1" thickBot="1" x14ac:dyDescent="0.25">
      <c r="A8" s="10" t="s">
        <v>9</v>
      </c>
      <c r="B8" s="11">
        <f t="shared" si="0"/>
        <v>57</v>
      </c>
      <c r="C8" s="11">
        <v>25</v>
      </c>
      <c r="D8" s="11">
        <v>2</v>
      </c>
      <c r="E8" s="11"/>
      <c r="F8" s="11"/>
      <c r="G8" s="11"/>
      <c r="H8" s="11"/>
      <c r="I8" s="11">
        <v>1</v>
      </c>
      <c r="J8" s="91">
        <f t="shared" si="1"/>
        <v>3</v>
      </c>
      <c r="K8" s="92">
        <v>29</v>
      </c>
    </row>
    <row r="9" spans="1:11" ht="15.75" customHeight="1" thickBot="1" x14ac:dyDescent="0.25">
      <c r="A9" s="10" t="s">
        <v>10</v>
      </c>
      <c r="B9" s="11">
        <f t="shared" si="0"/>
        <v>9</v>
      </c>
      <c r="C9" s="11">
        <v>6</v>
      </c>
      <c r="D9" s="11"/>
      <c r="E9" s="11"/>
      <c r="F9" s="11"/>
      <c r="G9" s="11"/>
      <c r="H9" s="11"/>
      <c r="I9" s="11"/>
      <c r="J9" s="91">
        <f t="shared" si="1"/>
        <v>0</v>
      </c>
      <c r="K9" s="92">
        <v>3</v>
      </c>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12</v>
      </c>
      <c r="C11" s="11">
        <v>4</v>
      </c>
      <c r="D11" s="11">
        <v>1</v>
      </c>
      <c r="E11" s="11"/>
      <c r="F11" s="11"/>
      <c r="G11" s="11"/>
      <c r="H11" s="11"/>
      <c r="I11" s="11">
        <v>1</v>
      </c>
      <c r="J11" s="91">
        <f t="shared" si="1"/>
        <v>2</v>
      </c>
      <c r="K11" s="92">
        <v>6</v>
      </c>
    </row>
    <row r="12" spans="1:11" ht="15.75" customHeight="1" thickBot="1" x14ac:dyDescent="0.25">
      <c r="A12" s="10" t="s">
        <v>13</v>
      </c>
      <c r="B12" s="11">
        <f t="shared" si="0"/>
        <v>23</v>
      </c>
      <c r="C12" s="11">
        <v>11</v>
      </c>
      <c r="D12" s="11">
        <v>1</v>
      </c>
      <c r="E12" s="11"/>
      <c r="F12" s="11"/>
      <c r="G12" s="11"/>
      <c r="H12" s="11"/>
      <c r="I12" s="11">
        <v>1</v>
      </c>
      <c r="J12" s="91">
        <f t="shared" si="1"/>
        <v>2</v>
      </c>
      <c r="K12" s="92">
        <v>10</v>
      </c>
    </row>
    <row r="13" spans="1:11" ht="15.75" customHeight="1" thickBot="1" x14ac:dyDescent="0.25">
      <c r="A13" s="10" t="s">
        <v>133</v>
      </c>
      <c r="B13" s="11">
        <f t="shared" si="0"/>
        <v>43</v>
      </c>
      <c r="C13" s="11">
        <v>23</v>
      </c>
      <c r="D13" s="11"/>
      <c r="E13" s="11"/>
      <c r="F13" s="11"/>
      <c r="G13" s="11"/>
      <c r="H13" s="11"/>
      <c r="I13" s="11">
        <v>1</v>
      </c>
      <c r="J13" s="91">
        <f t="shared" si="1"/>
        <v>1</v>
      </c>
      <c r="K13" s="92">
        <v>19</v>
      </c>
    </row>
    <row r="14" spans="1:11" ht="26.25" customHeight="1" thickBot="1" x14ac:dyDescent="0.25">
      <c r="A14" s="10" t="s">
        <v>123</v>
      </c>
      <c r="B14" s="11">
        <f t="shared" si="0"/>
        <v>9</v>
      </c>
      <c r="C14" s="11">
        <v>6</v>
      </c>
      <c r="D14" s="11"/>
      <c r="E14" s="11"/>
      <c r="F14" s="11"/>
      <c r="G14" s="11"/>
      <c r="H14" s="11"/>
      <c r="I14" s="11"/>
      <c r="J14" s="91">
        <f t="shared" si="1"/>
        <v>0</v>
      </c>
      <c r="K14" s="92">
        <v>3</v>
      </c>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Mecosta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2966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v>
      </c>
      <c r="D7" s="34">
        <f>IF((AND(C66&gt;0,C7&gt;0)),(C7/C66),0)</f>
        <v>1.0114632501685772</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v>
      </c>
      <c r="Q7" s="42">
        <f>C6-C7</f>
        <v>2963</v>
      </c>
      <c r="R7" s="42">
        <f t="shared" ref="R7:R15" si="5">SUM(N7:Q7)</f>
        <v>2966</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25</v>
      </c>
      <c r="D8" s="34">
        <f>IF((AND(C67&gt;0,C8&gt;0)),(C8/C67),0)</f>
        <v>833.33333333333337</v>
      </c>
      <c r="E8" s="33">
        <f>'Data Entry'!I8</f>
        <v>1</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1</v>
      </c>
      <c r="O8" s="42">
        <f>((D67*L67)-E8)+0.05</f>
        <v>-0.95</v>
      </c>
      <c r="P8" s="42">
        <f t="shared" si="4"/>
        <v>25</v>
      </c>
      <c r="Q8" s="42">
        <f>(C$67*L67)-C8</f>
        <v>-22</v>
      </c>
      <c r="R8" s="42">
        <f t="shared" si="5"/>
        <v>3.0500000000000007</v>
      </c>
      <c r="S8" s="30">
        <f t="shared" si="6"/>
        <v>9.3406250000000028</v>
      </c>
      <c r="T8" s="30">
        <f t="shared" si="7"/>
        <v>-89.505000000000081</v>
      </c>
      <c r="U8" s="31">
        <f t="shared" si="8"/>
        <v>-0.10435869504496949</v>
      </c>
    </row>
    <row r="9" spans="2:21" ht="18" customHeight="1" x14ac:dyDescent="0.25">
      <c r="B9" s="32" t="str">
        <f>'Data Entry'!A9</f>
        <v xml:space="preserve">4. Cases Diverted </v>
      </c>
      <c r="C9" s="33">
        <f>'Data Entry'!C9</f>
        <v>6</v>
      </c>
      <c r="D9" s="34">
        <f>IF((AND(C68&gt;0,C9&gt;0)),((C9/C68)),0)</f>
        <v>24</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1</v>
      </c>
      <c r="P9" s="42">
        <f t="shared" si="4"/>
        <v>6</v>
      </c>
      <c r="Q9" s="42">
        <f>(C$68*L68)-C9</f>
        <v>19</v>
      </c>
      <c r="R9" s="42">
        <f t="shared" si="5"/>
        <v>26</v>
      </c>
      <c r="S9" s="30">
        <f t="shared" si="6"/>
        <v>936</v>
      </c>
      <c r="T9" s="30">
        <f t="shared" si="7"/>
        <v>3000</v>
      </c>
      <c r="U9" s="31">
        <f t="shared" si="8"/>
        <v>0.312</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25</v>
      </c>
      <c r="R10" s="42">
        <f t="shared" si="5"/>
        <v>26</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16</v>
      </c>
      <c r="E11" s="33">
        <f>'Data Entry'!I11</f>
        <v>1</v>
      </c>
      <c r="F11" s="34">
        <f>IF(((AND($E$11&gt;0,$D$68&gt;0))),($E$11/($D$68)),0)</f>
        <v>100</v>
      </c>
      <c r="G11" s="39" t="str">
        <f t="shared" si="0"/>
        <v>*</v>
      </c>
      <c r="H11" s="40"/>
      <c r="I11" s="41"/>
      <c r="J11" s="40">
        <f>IF((ABS($U11)&gt;Defaults!D$7),1,2)</f>
        <v>1</v>
      </c>
      <c r="K11" s="39">
        <f>IF((AND(N11&gt;Defaults!B$12,(N11+O11)&gt;Defaults!B$13, P11 &gt; Defaults!B$12, (P11+Q11) &gt; Defaults!B$13)),1,20)</f>
        <v>20</v>
      </c>
      <c r="L11" s="1">
        <f t="shared" si="1"/>
        <v>119</v>
      </c>
      <c r="M11" s="1" t="b">
        <f t="shared" si="2"/>
        <v>1</v>
      </c>
      <c r="N11" s="42">
        <f t="shared" si="3"/>
        <v>1</v>
      </c>
      <c r="O11" s="42">
        <f>(D$68*L68)-E11</f>
        <v>0</v>
      </c>
      <c r="P11" s="42">
        <f t="shared" si="4"/>
        <v>4</v>
      </c>
      <c r="Q11" s="42">
        <f>(C$68*L68)-C11</f>
        <v>21</v>
      </c>
      <c r="R11" s="42">
        <f t="shared" si="5"/>
        <v>26</v>
      </c>
      <c r="S11" s="30">
        <f t="shared" si="6"/>
        <v>11466</v>
      </c>
      <c r="T11" s="30">
        <f t="shared" si="7"/>
        <v>2625</v>
      </c>
      <c r="U11" s="31">
        <f t="shared" si="8"/>
        <v>4.3680000000000003</v>
      </c>
    </row>
    <row r="12" spans="2:21" ht="18" customHeight="1" x14ac:dyDescent="0.25">
      <c r="B12" s="32" t="str">
        <f>'Data Entry'!A12</f>
        <v>7. Cases Resulting in Delinquent Findings</v>
      </c>
      <c r="C12" s="33">
        <f>'Data Entry'!C12</f>
        <v>11</v>
      </c>
      <c r="D12" s="34">
        <f>IF(((AND(C69&gt;0,C12&gt;0))),(C12/(C69)),0)</f>
        <v>275</v>
      </c>
      <c r="E12" s="33">
        <f>'Data Entry'!I12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0</v>
      </c>
      <c r="P12" s="42">
        <f t="shared" si="4"/>
        <v>11</v>
      </c>
      <c r="Q12" s="42">
        <f>(C69*L69)-C12</f>
        <v>-7</v>
      </c>
      <c r="R12" s="42">
        <f t="shared" si="5"/>
        <v>5</v>
      </c>
      <c r="S12" s="30">
        <f t="shared" si="6"/>
        <v>245</v>
      </c>
      <c r="T12" s="30">
        <f t="shared" si="7"/>
        <v>-336</v>
      </c>
      <c r="U12" s="31">
        <f t="shared" si="8"/>
        <v>-0.72916666666666663</v>
      </c>
    </row>
    <row r="13" spans="2:21" ht="18" customHeight="1" x14ac:dyDescent="0.25">
      <c r="B13" s="32" t="str">
        <f>'Data Entry'!A13</f>
        <v>8. Cases Resulting in Probation Placement</v>
      </c>
      <c r="C13" s="33">
        <f>'Data Entry'!C13</f>
        <v>23</v>
      </c>
      <c r="D13" s="34">
        <f>IF(((AND(C70&gt;0,C13&gt;0))),(C13/(C70)),0)</f>
        <v>209.09090909090909</v>
      </c>
      <c r="E13" s="33">
        <f>'Data Entry'!I13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1</v>
      </c>
      <c r="O13" s="42">
        <f>(D70*L70)-E13</f>
        <v>0</v>
      </c>
      <c r="P13" s="42">
        <f t="shared" si="4"/>
        <v>23</v>
      </c>
      <c r="Q13" s="42">
        <f>(C70*L70)-C13</f>
        <v>-12</v>
      </c>
      <c r="R13" s="42">
        <f t="shared" si="5"/>
        <v>12</v>
      </c>
      <c r="S13" s="30">
        <f t="shared" si="6"/>
        <v>1728</v>
      </c>
      <c r="T13" s="30">
        <f t="shared" si="7"/>
        <v>-3168</v>
      </c>
      <c r="U13" s="31">
        <f t="shared" si="8"/>
        <v>-0.54545454545454541</v>
      </c>
    </row>
    <row r="14" spans="2:21" ht="30.75" customHeight="1" x14ac:dyDescent="0.25">
      <c r="B14" s="32" t="str">
        <f>'Data Entry'!A14</f>
        <v xml:space="preserve">9. Cases Resulting in Confinement in Secure Juvenile Correctional Facilities </v>
      </c>
      <c r="C14" s="33">
        <f>'Data Entry'!C14</f>
        <v>6</v>
      </c>
      <c r="D14" s="34">
        <f>IF(((AND(C70&gt;0,C14&gt;0))), ((C14/(C70))),0)</f>
        <v>54.545454545454547</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1</v>
      </c>
      <c r="P14" s="42">
        <f t="shared" si="4"/>
        <v>6</v>
      </c>
      <c r="Q14" s="42">
        <f>(C70*L70)-C14</f>
        <v>5</v>
      </c>
      <c r="R14" s="42">
        <f t="shared" si="5"/>
        <v>12</v>
      </c>
      <c r="S14" s="30">
        <f t="shared" si="6"/>
        <v>432</v>
      </c>
      <c r="T14" s="30">
        <f t="shared" si="7"/>
        <v>396</v>
      </c>
      <c r="U14" s="31">
        <f t="shared" si="8"/>
        <v>1.0909090909090908</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4</v>
      </c>
      <c r="R15" s="42">
        <f t="shared" si="5"/>
        <v>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2.9660000000000002</v>
      </c>
      <c r="D42" s="56">
        <f>E6/1000</f>
        <v>0</v>
      </c>
      <c r="E42" s="56">
        <f>MAX(C42:D42)</f>
        <v>2.9660000000000002</v>
      </c>
      <c r="G42" s="1" t="str">
        <f>B42</f>
        <v>per 1000 youth</v>
      </c>
      <c r="L42" s="57">
        <v>1000</v>
      </c>
      <c r="M42" s="57"/>
      <c r="R42" s="49"/>
    </row>
    <row r="43" spans="2:18" ht="15" hidden="1" customHeight="1" x14ac:dyDescent="0.25">
      <c r="B43" s="49" t="s">
        <v>87</v>
      </c>
      <c r="C43" s="56">
        <f>C7/100</f>
        <v>0.03</v>
      </c>
      <c r="D43" s="56">
        <f>E7/100</f>
        <v>0</v>
      </c>
      <c r="E43" s="56">
        <f>MAX(C43:D43,0)</f>
        <v>0.03</v>
      </c>
      <c r="G43" s="1" t="str">
        <f>B43</f>
        <v>per 100 arrests</v>
      </c>
      <c r="L43" s="57">
        <v>100</v>
      </c>
      <c r="M43" s="57"/>
      <c r="R43" s="49"/>
    </row>
    <row r="44" spans="2:18" ht="15" hidden="1" customHeight="1" x14ac:dyDescent="0.25">
      <c r="B44" s="49" t="s">
        <v>88</v>
      </c>
      <c r="C44" s="56">
        <f>C8/100</f>
        <v>0.25</v>
      </c>
      <c r="D44" s="56">
        <f>E8/100</f>
        <v>0.01</v>
      </c>
      <c r="E44" s="56">
        <f>MAX(C44:D44,0)</f>
        <v>0.25</v>
      </c>
      <c r="G44" s="1" t="str">
        <f>B44</f>
        <v>per 100 referrals</v>
      </c>
      <c r="L44" s="57">
        <v>100</v>
      </c>
      <c r="M44" s="57"/>
      <c r="R44" s="49"/>
    </row>
    <row r="45" spans="2:18" ht="15" hidden="1" customHeight="1" x14ac:dyDescent="0.25">
      <c r="B45" s="49" t="s">
        <v>89</v>
      </c>
      <c r="C45" s="49">
        <f>C11/100</f>
        <v>0.04</v>
      </c>
      <c r="D45" s="49">
        <f>E11/100</f>
        <v>0.01</v>
      </c>
      <c r="E45" s="56">
        <f>MAX(C45:D45,0)</f>
        <v>0.04</v>
      </c>
      <c r="G45" s="1" t="str">
        <f>B45</f>
        <v>per 100 youth petitioned</v>
      </c>
      <c r="L45" s="57">
        <v>100</v>
      </c>
      <c r="M45" s="57"/>
      <c r="R45" s="49"/>
    </row>
    <row r="46" spans="2:18" ht="15" hidden="1" customHeight="1" x14ac:dyDescent="0.25">
      <c r="B46" s="49" t="s">
        <v>90</v>
      </c>
      <c r="C46" s="49">
        <f>C12/100</f>
        <v>0.11</v>
      </c>
      <c r="D46" s="49">
        <f>E12/100</f>
        <v>0.01</v>
      </c>
      <c r="E46" s="56">
        <f>MAX(C46:D46)</f>
        <v>0.11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2.9660000000000002</v>
      </c>
      <c r="D48" s="56">
        <f>D42</f>
        <v>0</v>
      </c>
      <c r="E48" s="56">
        <f>MAX(C48:D48)</f>
        <v>2.9660000000000002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0.25</v>
      </c>
      <c r="D50" s="49">
        <f t="shared" si="9"/>
        <v>0.01</v>
      </c>
      <c r="E50" s="49">
        <f>MAX(C50:D50)</f>
        <v>0.25</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0.01</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0.11</v>
      </c>
      <c r="D52" s="49">
        <f>IF(($E46&gt;0),D46,D45)</f>
        <v>0.01</v>
      </c>
      <c r="E52" s="56">
        <f>MAX(C52:D52)</f>
        <v>0.11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2.9660000000000002</v>
      </c>
      <c r="D54" s="56">
        <f>D48</f>
        <v>0</v>
      </c>
      <c r="E54" s="56">
        <f>MAX(C54:D54)</f>
        <v>2.9660000000000002</v>
      </c>
      <c r="G54" s="1" t="str">
        <f>G48</f>
        <v>per 1000 youth</v>
      </c>
      <c r="L54" s="58">
        <f>L48</f>
        <v>1000</v>
      </c>
      <c r="M54" s="58"/>
    </row>
    <row r="55" spans="2:18" ht="15" hidden="1" customHeight="1" x14ac:dyDescent="0.25">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x14ac:dyDescent="0.25">
      <c r="B56" s="49" t="str">
        <f t="shared" si="10"/>
        <v>per 100 referrals</v>
      </c>
      <c r="C56" s="49">
        <f t="shared" si="10"/>
        <v>0.25</v>
      </c>
      <c r="D56" s="49">
        <f t="shared" si="10"/>
        <v>0.01</v>
      </c>
      <c r="E56" s="49">
        <f>MAX(C56:D56)</f>
        <v>0.25</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0.01</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0.11</v>
      </c>
      <c r="D58" s="49">
        <f>IF(($E52&gt;0),D52,D51)</f>
        <v>0.01</v>
      </c>
      <c r="E58" s="56">
        <f>MAX(C58:D58)</f>
        <v>0.11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2.9660000000000002</v>
      </c>
      <c r="D60" s="56">
        <f>D54</f>
        <v>0</v>
      </c>
      <c r="E60" s="56">
        <f>MAX(C60:D60)</f>
        <v>2.9660000000000002</v>
      </c>
      <c r="G60" s="1" t="str">
        <f>G54</f>
        <v>per 1000 youth</v>
      </c>
      <c r="L60" s="58">
        <f>L54</f>
        <v>1000</v>
      </c>
      <c r="M60" s="58"/>
    </row>
    <row r="61" spans="2:18" ht="15" hidden="1" customHeight="1" x14ac:dyDescent="0.25">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x14ac:dyDescent="0.25">
      <c r="B62" s="49" t="str">
        <f t="shared" si="11"/>
        <v>per 100 referrals</v>
      </c>
      <c r="C62" s="49">
        <f t="shared" si="11"/>
        <v>0.25</v>
      </c>
      <c r="D62" s="49">
        <f t="shared" si="11"/>
        <v>0.01</v>
      </c>
      <c r="E62" s="49">
        <f>MAX(C62:D62)</f>
        <v>0.25</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0.01</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0.11</v>
      </c>
      <c r="D64" s="49">
        <f>IF(($E58&gt;0),D58,D57)</f>
        <v>0.01</v>
      </c>
      <c r="E64" s="56">
        <f>MAX(C64:D64)</f>
        <v>0.11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2.9660000000000002</v>
      </c>
      <c r="D66" s="56">
        <f>D60</f>
        <v>0</v>
      </c>
      <c r="E66" s="56">
        <f>MAX(C66:D66)</f>
        <v>2.9660000000000002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x14ac:dyDescent="0.25">
      <c r="B68" s="49" t="str">
        <f t="shared" si="12"/>
        <v>per 100 referrals</v>
      </c>
      <c r="C68" s="49">
        <f t="shared" si="12"/>
        <v>0.25</v>
      </c>
      <c r="D68" s="49">
        <f t="shared" si="12"/>
        <v>0.01</v>
      </c>
      <c r="E68" s="49">
        <f>MAX(C68:D68)</f>
        <v>0.25</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0.01</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0.11</v>
      </c>
      <c r="D70" s="49">
        <f>IF(($E64&gt;0),D64,D63)</f>
        <v>0.01</v>
      </c>
      <c r="E70" s="56">
        <f>MAX(C70:D70)</f>
        <v>0.11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Mecosta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2966</v>
      </c>
      <c r="D6" s="34"/>
      <c r="E6" s="33">
        <f>'Data Entry'!J6</f>
        <v>289</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v>
      </c>
      <c r="D7" s="34">
        <f>IF((AND(C66&gt;0,C7&gt;0)),(C7/C66),0)</f>
        <v>1.0114632501685772</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289</v>
      </c>
      <c r="P7" s="42">
        <f t="shared" ref="P7:P15" si="4">C7</f>
        <v>3</v>
      </c>
      <c r="Q7" s="42">
        <f>C6-C7</f>
        <v>2963</v>
      </c>
      <c r="R7" s="42">
        <f t="shared" ref="R7:R15" si="5">SUM(N7:Q7)</f>
        <v>3255</v>
      </c>
      <c r="S7" s="30">
        <f t="shared" ref="S7:S15" si="6">R7*((((N7*Q7)-(O7*P7))^2))</f>
        <v>2446747695</v>
      </c>
      <c r="T7" s="30">
        <f t="shared" ref="T7:T15" si="7">(N7+O7)*(P7+Q7)*(N7+P7)*(O7+Q7)</f>
        <v>8362589544</v>
      </c>
      <c r="U7" s="31">
        <f t="shared" ref="U7:U15" si="8">IF((S7&gt;0),S7/T7,"- -")</f>
        <v>0.29258254062648514</v>
      </c>
    </row>
    <row r="8" spans="2:21" ht="18" customHeight="1" x14ac:dyDescent="0.25">
      <c r="B8" s="32" t="str">
        <f>'Data Entry'!A8</f>
        <v>3. Refer to Juvenile Court</v>
      </c>
      <c r="C8" s="33">
        <f>'Data Entry'!C8</f>
        <v>25</v>
      </c>
      <c r="D8" s="34">
        <f>IF((AND(C67&gt;0,C8&gt;0)),(C8/C67),0)</f>
        <v>833.33333333333337</v>
      </c>
      <c r="E8" s="33">
        <f>'Data Entry'!J8</f>
        <v>3</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3</v>
      </c>
      <c r="O8" s="42">
        <f>((D67*L67)-E8)+0.05</f>
        <v>-2.95</v>
      </c>
      <c r="P8" s="42">
        <f t="shared" si="4"/>
        <v>25</v>
      </c>
      <c r="Q8" s="42">
        <f>(C$67*L67)-C8</f>
        <v>-22</v>
      </c>
      <c r="R8" s="42">
        <f t="shared" si="5"/>
        <v>3.0500000000000007</v>
      </c>
      <c r="S8" s="30">
        <f t="shared" si="6"/>
        <v>183.19062500000004</v>
      </c>
      <c r="T8" s="30">
        <f t="shared" si="7"/>
        <v>-104.78999999999962</v>
      </c>
      <c r="U8" s="31">
        <f t="shared" si="8"/>
        <v>-1.7481689569615488</v>
      </c>
    </row>
    <row r="9" spans="2:21" ht="18" customHeight="1" x14ac:dyDescent="0.25">
      <c r="B9" s="32" t="str">
        <f>'Data Entry'!A9</f>
        <v xml:space="preserve">4. Cases Diverted </v>
      </c>
      <c r="C9" s="33">
        <f>'Data Entry'!C9</f>
        <v>6</v>
      </c>
      <c r="D9" s="34">
        <f>IF((AND(C68&gt;0,C9&gt;0)),((C9/C68)),0)</f>
        <v>24</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3</v>
      </c>
      <c r="P9" s="42">
        <f t="shared" si="4"/>
        <v>6</v>
      </c>
      <c r="Q9" s="42">
        <f>(C$68*L68)-C9</f>
        <v>19</v>
      </c>
      <c r="R9" s="42">
        <f t="shared" si="5"/>
        <v>28</v>
      </c>
      <c r="S9" s="30">
        <f t="shared" si="6"/>
        <v>9072</v>
      </c>
      <c r="T9" s="30">
        <f t="shared" si="7"/>
        <v>9900</v>
      </c>
      <c r="U9" s="31">
        <f t="shared" si="8"/>
        <v>0.91636363636363638</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v>
      </c>
      <c r="P10" s="42">
        <f t="shared" si="4"/>
        <v>0</v>
      </c>
      <c r="Q10" s="42">
        <f>(C$68*L68)-C10</f>
        <v>25</v>
      </c>
      <c r="R10" s="42">
        <f t="shared" si="5"/>
        <v>28</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16</v>
      </c>
      <c r="E11" s="33">
        <f>'Data Entry'!J11</f>
        <v>2</v>
      </c>
      <c r="F11" s="34">
        <f>IF(((AND($E$11&gt;0,$D$68&gt;0))),($E$11/($D$68)),0)</f>
        <v>66.666666666666671</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2</v>
      </c>
      <c r="O11" s="42">
        <f>(D$68*L68)-E11</f>
        <v>1</v>
      </c>
      <c r="P11" s="42">
        <f t="shared" si="4"/>
        <v>4</v>
      </c>
      <c r="Q11" s="42">
        <f>(C$68*L68)-C11</f>
        <v>21</v>
      </c>
      <c r="R11" s="42">
        <f t="shared" si="5"/>
        <v>28</v>
      </c>
      <c r="S11" s="30">
        <f t="shared" si="6"/>
        <v>40432</v>
      </c>
      <c r="T11" s="30">
        <f t="shared" si="7"/>
        <v>9900</v>
      </c>
      <c r="U11" s="31">
        <f t="shared" si="8"/>
        <v>4.0840404040404037</v>
      </c>
    </row>
    <row r="12" spans="2:21" ht="18" customHeight="1" x14ac:dyDescent="0.25">
      <c r="B12" s="32" t="str">
        <f>'Data Entry'!A12</f>
        <v>7. Cases Resulting in Delinquent Findings</v>
      </c>
      <c r="C12" s="33">
        <f>'Data Entry'!C12</f>
        <v>11</v>
      </c>
      <c r="D12" s="34">
        <f>IF(((AND(C69&gt;0,C12&gt;0))),(C12/(C69)),0)</f>
        <v>275</v>
      </c>
      <c r="E12" s="33">
        <f>'Data Entry'!J12</f>
        <v>2</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0</v>
      </c>
      <c r="P12" s="42">
        <f t="shared" si="4"/>
        <v>11</v>
      </c>
      <c r="Q12" s="42">
        <f>(C69*L69)-C12</f>
        <v>-7</v>
      </c>
      <c r="R12" s="42">
        <f t="shared" si="5"/>
        <v>6</v>
      </c>
      <c r="S12" s="30">
        <f t="shared" si="6"/>
        <v>1176</v>
      </c>
      <c r="T12" s="30">
        <f t="shared" si="7"/>
        <v>-728</v>
      </c>
      <c r="U12" s="31">
        <f t="shared" si="8"/>
        <v>-1.6153846153846154</v>
      </c>
    </row>
    <row r="13" spans="2:21" ht="18" customHeight="1" x14ac:dyDescent="0.25">
      <c r="B13" s="32" t="str">
        <f>'Data Entry'!A13</f>
        <v>8. Cases Resulting in Probation Placement</v>
      </c>
      <c r="C13" s="33">
        <f>'Data Entry'!C13</f>
        <v>23</v>
      </c>
      <c r="D13" s="34">
        <f>IF(((AND(C70&gt;0,C13&gt;0))),(C13/(C70)),0)</f>
        <v>209.09090909090909</v>
      </c>
      <c r="E13" s="33">
        <f>'Data Entry'!J13</f>
        <v>1</v>
      </c>
      <c r="F13" s="34">
        <f>IF(((AND($D$70&gt;0,$E$13&gt;0))),($E$13/($D$70)),0)</f>
        <v>50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v>
      </c>
      <c r="O13" s="42">
        <f>(D70*L70)-E13</f>
        <v>1</v>
      </c>
      <c r="P13" s="42">
        <f t="shared" si="4"/>
        <v>23</v>
      </c>
      <c r="Q13" s="42">
        <f>(C70*L70)-C13</f>
        <v>-12</v>
      </c>
      <c r="R13" s="42">
        <f t="shared" si="5"/>
        <v>13</v>
      </c>
      <c r="S13" s="30">
        <f t="shared" si="6"/>
        <v>15925</v>
      </c>
      <c r="T13" s="30">
        <f t="shared" si="7"/>
        <v>-5808</v>
      </c>
      <c r="U13" s="31">
        <f t="shared" si="8"/>
        <v>-2.7419077134986227</v>
      </c>
    </row>
    <row r="14" spans="2:21" ht="30.75" customHeight="1" x14ac:dyDescent="0.25">
      <c r="B14" s="32" t="str">
        <f>'Data Entry'!A14</f>
        <v xml:space="preserve">9. Cases Resulting in Confinement in Secure Juvenile Correctional Facilities </v>
      </c>
      <c r="C14" s="33">
        <f>'Data Entry'!C14</f>
        <v>6</v>
      </c>
      <c r="D14" s="34">
        <f>IF(((AND(C70&gt;0,C14&gt;0))), ((C14/(C70))),0)</f>
        <v>54.545454545454547</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2</v>
      </c>
      <c r="P14" s="42">
        <f t="shared" si="4"/>
        <v>6</v>
      </c>
      <c r="Q14" s="42">
        <f>(C70*L70)-C14</f>
        <v>5</v>
      </c>
      <c r="R14" s="42">
        <f t="shared" si="5"/>
        <v>13</v>
      </c>
      <c r="S14" s="30">
        <f t="shared" si="6"/>
        <v>1872</v>
      </c>
      <c r="T14" s="30">
        <f t="shared" si="7"/>
        <v>924</v>
      </c>
      <c r="U14" s="31">
        <f t="shared" si="8"/>
        <v>2.0259740259740258</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4</v>
      </c>
      <c r="R15" s="42">
        <f t="shared" si="5"/>
        <v>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2.9660000000000002</v>
      </c>
      <c r="D42" s="56">
        <f>E6/1000</f>
        <v>0.28899999999999998</v>
      </c>
      <c r="E42" s="56">
        <f>MAX(C42:D42)</f>
        <v>2.9660000000000002</v>
      </c>
      <c r="G42" s="1" t="str">
        <f>B42</f>
        <v>per 1000 youth</v>
      </c>
      <c r="L42" s="57">
        <v>1000</v>
      </c>
      <c r="M42" s="57"/>
      <c r="R42" s="49"/>
    </row>
    <row r="43" spans="2:18" ht="15" hidden="1" customHeight="1" x14ac:dyDescent="0.25">
      <c r="B43" s="49" t="s">
        <v>87</v>
      </c>
      <c r="C43" s="56">
        <f>C7/100</f>
        <v>0.03</v>
      </c>
      <c r="D43" s="56">
        <f>E7/100</f>
        <v>0</v>
      </c>
      <c r="E43" s="56">
        <f>MAX(C43:D43,0)</f>
        <v>0.03</v>
      </c>
      <c r="G43" s="1" t="str">
        <f>B43</f>
        <v>per 100 arrests</v>
      </c>
      <c r="L43" s="57">
        <v>100</v>
      </c>
      <c r="M43" s="57"/>
      <c r="R43" s="49"/>
    </row>
    <row r="44" spans="2:18" ht="15" hidden="1" customHeight="1" x14ac:dyDescent="0.25">
      <c r="B44" s="49" t="s">
        <v>88</v>
      </c>
      <c r="C44" s="56">
        <f>C8/100</f>
        <v>0.25</v>
      </c>
      <c r="D44" s="56">
        <f>E8/100</f>
        <v>0.03</v>
      </c>
      <c r="E44" s="56">
        <f>MAX(C44:D44,0)</f>
        <v>0.25</v>
      </c>
      <c r="G44" s="1" t="str">
        <f>B44</f>
        <v>per 100 referrals</v>
      </c>
      <c r="L44" s="57">
        <v>100</v>
      </c>
      <c r="M44" s="57"/>
      <c r="R44" s="49"/>
    </row>
    <row r="45" spans="2:18" ht="15" hidden="1" customHeight="1" x14ac:dyDescent="0.25">
      <c r="B45" s="49" t="s">
        <v>89</v>
      </c>
      <c r="C45" s="49">
        <f>C11/100</f>
        <v>0.04</v>
      </c>
      <c r="D45" s="49">
        <f>E11/100</f>
        <v>0.02</v>
      </c>
      <c r="E45" s="56">
        <f>MAX(C45:D45,0)</f>
        <v>0.04</v>
      </c>
      <c r="G45" s="1" t="str">
        <f>B45</f>
        <v>per 100 youth petitioned</v>
      </c>
      <c r="L45" s="57">
        <v>100</v>
      </c>
      <c r="M45" s="57"/>
      <c r="R45" s="49"/>
    </row>
    <row r="46" spans="2:18" ht="15" hidden="1" customHeight="1" x14ac:dyDescent="0.25">
      <c r="B46" s="49" t="s">
        <v>90</v>
      </c>
      <c r="C46" s="49">
        <f>C12/100</f>
        <v>0.11</v>
      </c>
      <c r="D46" s="49">
        <f>E12/100</f>
        <v>0.02</v>
      </c>
      <c r="E46" s="56">
        <f>MAX(C46:D46)</f>
        <v>0.11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2.9660000000000002</v>
      </c>
      <c r="D48" s="56">
        <f>D42</f>
        <v>0.28899999999999998</v>
      </c>
      <c r="E48" s="56">
        <f>MAX(C48:D48)</f>
        <v>2.9660000000000002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0.25</v>
      </c>
      <c r="D50" s="49">
        <f t="shared" si="9"/>
        <v>0.03</v>
      </c>
      <c r="E50" s="49">
        <f>MAX(C50:D50)</f>
        <v>0.25</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0.02</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0.11</v>
      </c>
      <c r="D52" s="49">
        <f>IF(($E46&gt;0),D46,D45)</f>
        <v>0.02</v>
      </c>
      <c r="E52" s="56">
        <f>MAX(C52:D52)</f>
        <v>0.11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2.9660000000000002</v>
      </c>
      <c r="D54" s="56">
        <f>D48</f>
        <v>0.28899999999999998</v>
      </c>
      <c r="E54" s="56">
        <f>MAX(C54:D54)</f>
        <v>2.9660000000000002</v>
      </c>
      <c r="G54" s="1" t="str">
        <f>G48</f>
        <v>per 1000 youth</v>
      </c>
      <c r="L54" s="58">
        <f>L48</f>
        <v>1000</v>
      </c>
      <c r="M54" s="58"/>
    </row>
    <row r="55" spans="2:18" ht="15" hidden="1" customHeight="1" x14ac:dyDescent="0.25">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x14ac:dyDescent="0.25">
      <c r="B56" s="49" t="str">
        <f t="shared" si="10"/>
        <v>per 100 referrals</v>
      </c>
      <c r="C56" s="49">
        <f t="shared" si="10"/>
        <v>0.25</v>
      </c>
      <c r="D56" s="49">
        <f t="shared" si="10"/>
        <v>0.03</v>
      </c>
      <c r="E56" s="49">
        <f>MAX(C56:D56)</f>
        <v>0.25</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0.02</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0.11</v>
      </c>
      <c r="D58" s="49">
        <f>IF(($E52&gt;0),D52,D51)</f>
        <v>0.02</v>
      </c>
      <c r="E58" s="56">
        <f>MAX(C58:D58)</f>
        <v>0.11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2.9660000000000002</v>
      </c>
      <c r="D60" s="56">
        <f>D54</f>
        <v>0.28899999999999998</v>
      </c>
      <c r="E60" s="56">
        <f>MAX(C60:D60)</f>
        <v>2.9660000000000002</v>
      </c>
      <c r="G60" s="1" t="str">
        <f>G54</f>
        <v>per 1000 youth</v>
      </c>
      <c r="L60" s="58">
        <f>L54</f>
        <v>1000</v>
      </c>
      <c r="M60" s="58"/>
    </row>
    <row r="61" spans="2:18" ht="15" hidden="1" customHeight="1" x14ac:dyDescent="0.25">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x14ac:dyDescent="0.25">
      <c r="B62" s="49" t="str">
        <f t="shared" si="11"/>
        <v>per 100 referrals</v>
      </c>
      <c r="C62" s="49">
        <f t="shared" si="11"/>
        <v>0.25</v>
      </c>
      <c r="D62" s="49">
        <f t="shared" si="11"/>
        <v>0.03</v>
      </c>
      <c r="E62" s="49">
        <f>MAX(C62:D62)</f>
        <v>0.25</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0.02</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0.11</v>
      </c>
      <c r="D64" s="49">
        <f>IF(($E58&gt;0),D58,D57)</f>
        <v>0.02</v>
      </c>
      <c r="E64" s="56">
        <f>MAX(C64:D64)</f>
        <v>0.11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2.9660000000000002</v>
      </c>
      <c r="D66" s="56">
        <f>D60</f>
        <v>0.28899999999999998</v>
      </c>
      <c r="E66" s="56">
        <f>MAX(C66:D66)</f>
        <v>2.9660000000000002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x14ac:dyDescent="0.25">
      <c r="B68" s="49" t="str">
        <f t="shared" si="12"/>
        <v>per 100 referrals</v>
      </c>
      <c r="C68" s="49">
        <f t="shared" si="12"/>
        <v>0.25</v>
      </c>
      <c r="D68" s="49">
        <f t="shared" si="12"/>
        <v>0.03</v>
      </c>
      <c r="E68" s="49">
        <f>MAX(C68:D68)</f>
        <v>0.25</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0.02</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0.11</v>
      </c>
      <c r="D70" s="49">
        <f>IF(($E64&gt;0),D64,D63)</f>
        <v>0.02</v>
      </c>
      <c r="E70" s="56">
        <f>MAX(C70:D70)</f>
        <v>0.11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Mecosta</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40</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t="e">
        <f>Hispanic!L9</f>
        <v>#VALUE!</v>
      </c>
      <c r="N9" s="1" t="e">
        <f>Asian!L9</f>
        <v>#VALUE!</v>
      </c>
      <c r="O9" s="1" t="e">
        <f>Hawaiian!L9</f>
        <v>#VALUE!</v>
      </c>
      <c r="P9" s="1" t="e">
        <f>'Am Indian'!L9</f>
        <v>#VALUE!</v>
      </c>
      <c r="Q9" s="1">
        <f>'Other - Mixed'!L9</f>
        <v>139</v>
      </c>
      <c r="R9" s="1">
        <f>'All Minorities'!L9</f>
        <v>40</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f>'Other - Mixed'!L11</f>
        <v>119</v>
      </c>
      <c r="R11" s="1">
        <f>'All Minorities'!L11</f>
        <v>20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f>'Other - Mixed'!L12</f>
        <v>139</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#VALUE!</v>
      </c>
      <c r="N13" s="1" t="e">
        <f>Asian!L13</f>
        <v>#VALUE!</v>
      </c>
      <c r="O13" s="1" t="e">
        <f>Hawaiian!L13</f>
        <v>#VALUE!</v>
      </c>
      <c r="P13" s="1" t="e">
        <f>'Am Indian'!L13</f>
        <v>#VALUE!</v>
      </c>
      <c r="Q13" s="1">
        <f>'Other - Mixed'!L13</f>
        <v>139</v>
      </c>
      <c r="R13" s="1">
        <f>'All Minorities'!L13</f>
        <v>40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t="e">
        <f>'Am Indian'!L14</f>
        <v>#VALUE!</v>
      </c>
      <c r="Q14" s="1">
        <f>'Other - Mixed'!L14</f>
        <v>139</v>
      </c>
      <c r="R14" s="1">
        <f>'All Minorities'!L14</f>
        <v>40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3255</v>
      </c>
      <c r="D3" s="57">
        <f>'Data Entry'!C6</f>
        <v>2966</v>
      </c>
      <c r="E3" s="57">
        <f>'Data Entry'!D6</f>
        <v>117</v>
      </c>
      <c r="F3" s="57">
        <f>'Data Entry'!E6</f>
        <v>117</v>
      </c>
      <c r="G3" s="57">
        <f>'Data Entry'!F6</f>
        <v>20</v>
      </c>
      <c r="H3" s="57">
        <f>'Data Entry'!G6</f>
        <v>0</v>
      </c>
      <c r="I3" s="57">
        <f>'Data Entry'!H6</f>
        <v>35</v>
      </c>
      <c r="J3" s="57">
        <f>'Data Entry'!I6</f>
        <v>0</v>
      </c>
      <c r="K3" s="57">
        <f>'Data Entry'!J6</f>
        <v>289</v>
      </c>
    </row>
    <row r="4" spans="2:11" ht="15" customHeight="1" x14ac:dyDescent="0.25">
      <c r="B4" s="16" t="s">
        <v>8</v>
      </c>
      <c r="C4" s="1">
        <f>IF((C$3&gt;0),(1000*('Data Entry'!B7/'Data Entry'!B$6)), 0)</f>
        <v>0.92165898617511521</v>
      </c>
      <c r="D4" s="1">
        <f>IF((D$3&gt;0),(1000*('Data Entry'!C7/'Data Entry'!C$6)), 0)</f>
        <v>1.0114632501685772</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17.511520737327189</v>
      </c>
      <c r="D5" s="1">
        <f>IF((D$3&gt;0),(1000*('Data Entry'!C8/'Data Entry'!C$6)), 0)</f>
        <v>8.4288604180714763</v>
      </c>
      <c r="E5" s="1">
        <f>IF((E$3&gt;0),(1000*('Data Entry'!D8/'Data Entry'!D$6)), 0)</f>
        <v>17.094017094017097</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10.380622837370241</v>
      </c>
    </row>
    <row r="6" spans="2:11" ht="15" customHeight="1" x14ac:dyDescent="0.25">
      <c r="B6" s="16" t="s">
        <v>10</v>
      </c>
      <c r="C6" s="1">
        <f>IF((C$3&gt;0),(1000*('Data Entry'!B9/'Data Entry'!B$6)), 0)</f>
        <v>2.7649769585253456</v>
      </c>
      <c r="D6" s="1">
        <f>IF((D$3&gt;0),(1000*('Data Entry'!C9/'Data Entry'!C$6)), 0)</f>
        <v>2.0229265003371544</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3.6866359447004609</v>
      </c>
      <c r="D8" s="1">
        <f>IF((D$3&gt;0),(1000*('Data Entry'!C11/'Data Entry'!C$6)), 0)</f>
        <v>1.3486176668914363</v>
      </c>
      <c r="E8" s="1">
        <f>IF((E$3&gt;0),(1000*('Data Entry'!D11/'Data Entry'!D$6)), 0)</f>
        <v>8.5470085470085486</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6.9204152249134951</v>
      </c>
    </row>
    <row r="9" spans="2:11" ht="15" customHeight="1" x14ac:dyDescent="0.25">
      <c r="B9" s="16" t="s">
        <v>13</v>
      </c>
      <c r="C9" s="1">
        <f>IF((C$3&gt;0),(1000*('Data Entry'!B12/'Data Entry'!B$6)), 0)</f>
        <v>7.0660522273425501</v>
      </c>
      <c r="D9" s="1">
        <f>IF((D$3&gt;0),(1000*('Data Entry'!C12/'Data Entry'!C$6)), 0)</f>
        <v>3.7086985839514495</v>
      </c>
      <c r="E9" s="1">
        <f>IF((E$3&gt;0),(1000*('Data Entry'!D12/'Data Entry'!D$6)), 0)</f>
        <v>8.5470085470085486</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6.9204152249134951</v>
      </c>
    </row>
    <row r="10" spans="2:11" ht="15" customHeight="1" x14ac:dyDescent="0.25">
      <c r="B10" s="16" t="s">
        <v>14</v>
      </c>
      <c r="C10" s="1">
        <f>IF((C$3&gt;0),(1000*('Data Entry'!B13/'Data Entry'!B$6)), 0)</f>
        <v>13.210445468509986</v>
      </c>
      <c r="D10" s="1">
        <f>IF((D$3&gt;0),(1000*('Data Entry'!C13/'Data Entry'!C$6)), 0)</f>
        <v>7.7545515846257587</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3.4602076124567476</v>
      </c>
    </row>
    <row r="11" spans="2:11" ht="25.5" customHeight="1" x14ac:dyDescent="0.25">
      <c r="B11" s="16" t="s">
        <v>15</v>
      </c>
      <c r="C11" s="1">
        <f>IF((C$3&gt;0),(1000*('Data Entry'!B14/'Data Entry'!B$6)), 0)</f>
        <v>2.7649769585253456</v>
      </c>
      <c r="D11" s="1">
        <f>IF((D$3&gt;0),(1000*('Data Entry'!C14/'Data Entry'!C$6)), 0)</f>
        <v>2.0229265003371544</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Mecosta</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f t="shared" si="2"/>
        <v>2.0280341880341886</v>
      </c>
      <c r="E20" s="72" t="str">
        <f t="shared" si="2"/>
        <v>--</v>
      </c>
      <c r="F20" s="72" t="str">
        <f t="shared" si="2"/>
        <v>--</v>
      </c>
      <c r="G20" s="72" t="str">
        <f t="shared" si="2"/>
        <v>--</v>
      </c>
      <c r="H20" s="72" t="str">
        <f t="shared" si="2"/>
        <v>--</v>
      </c>
      <c r="I20" s="72" t="str">
        <f t="shared" si="2"/>
        <v>--</v>
      </c>
      <c r="J20" s="73">
        <f t="shared" si="2"/>
        <v>1.2315570934256055</v>
      </c>
    </row>
    <row r="21" spans="2:10" ht="15" customHeight="1" x14ac:dyDescent="0.25">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f t="shared" si="2"/>
        <v>6.3376068376068391</v>
      </c>
      <c r="E23" s="72" t="str">
        <f t="shared" si="2"/>
        <v>--</v>
      </c>
      <c r="F23" s="72" t="str">
        <f t="shared" si="2"/>
        <v>--</v>
      </c>
      <c r="G23" s="72" t="str">
        <f t="shared" si="2"/>
        <v>--</v>
      </c>
      <c r="H23" s="72" t="str">
        <f t="shared" si="2"/>
        <v>--</v>
      </c>
      <c r="I23" s="72" t="str">
        <f t="shared" si="2"/>
        <v>--</v>
      </c>
      <c r="J23" s="73">
        <f t="shared" si="2"/>
        <v>5.1314878892733571</v>
      </c>
    </row>
    <row r="24" spans="2:10" ht="15" customHeight="1" x14ac:dyDescent="0.25">
      <c r="B24" s="71" t="s">
        <v>13</v>
      </c>
      <c r="C24" s="72">
        <f t="shared" si="2"/>
        <v>1</v>
      </c>
      <c r="D24" s="72">
        <f t="shared" si="2"/>
        <v>2.3045843045843051</v>
      </c>
      <c r="E24" s="72" t="str">
        <f t="shared" si="2"/>
        <v>--</v>
      </c>
      <c r="F24" s="72" t="str">
        <f t="shared" si="2"/>
        <v>--</v>
      </c>
      <c r="G24" s="72" t="str">
        <f t="shared" si="2"/>
        <v>--</v>
      </c>
      <c r="H24" s="72" t="str">
        <f t="shared" si="2"/>
        <v>--</v>
      </c>
      <c r="I24" s="72" t="str">
        <f t="shared" si="2"/>
        <v>--</v>
      </c>
      <c r="J24" s="73">
        <f t="shared" si="2"/>
        <v>1.8659955960994026</v>
      </c>
    </row>
    <row r="25" spans="2:10" ht="15" customHeight="1" x14ac:dyDescent="0.25">
      <c r="B25" s="71" t="s">
        <v>14</v>
      </c>
      <c r="C25" s="72">
        <f t="shared" si="2"/>
        <v>1</v>
      </c>
      <c r="D25" s="72" t="str">
        <f t="shared" si="2"/>
        <v>--</v>
      </c>
      <c r="E25" s="72" t="str">
        <f t="shared" si="2"/>
        <v>--</v>
      </c>
      <c r="F25" s="72" t="str">
        <f t="shared" si="2"/>
        <v>--</v>
      </c>
      <c r="G25" s="72" t="str">
        <f t="shared" si="2"/>
        <v>--</v>
      </c>
      <c r="H25" s="72" t="str">
        <f t="shared" si="2"/>
        <v>--</v>
      </c>
      <c r="I25" s="72" t="str">
        <f t="shared" si="2"/>
        <v>--</v>
      </c>
      <c r="J25" s="73">
        <f t="shared" si="2"/>
        <v>0.44621633819768319</v>
      </c>
    </row>
    <row r="26" spans="2:10" ht="25.5" customHeight="1" x14ac:dyDescent="0.25">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Mecosta</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2966</v>
      </c>
      <c r="D7" s="105">
        <f>'Data Entry'!D6</f>
        <v>117</v>
      </c>
      <c r="E7" s="106"/>
      <c r="F7" s="107">
        <f>'Data Entry'!E6</f>
        <v>117</v>
      </c>
      <c r="G7" s="106"/>
      <c r="H7" s="107">
        <f>'Data Entry'!F6</f>
        <v>20</v>
      </c>
      <c r="I7" s="106"/>
      <c r="J7" s="107">
        <f>'Data Entry'!G6</f>
        <v>0</v>
      </c>
      <c r="K7" s="106"/>
      <c r="L7" s="107">
        <f>'Data Entry'!H6</f>
        <v>35</v>
      </c>
      <c r="M7" s="106"/>
      <c r="N7" s="107">
        <f>'Data Entry'!I6</f>
        <v>0</v>
      </c>
      <c r="O7" s="106"/>
      <c r="P7" s="107">
        <f>'Data Entry'!J6</f>
        <v>289</v>
      </c>
      <c r="Q7" s="108"/>
    </row>
    <row r="8" spans="2:26" s="1" customFormat="1" ht="15" customHeight="1" x14ac:dyDescent="0.3">
      <c r="B8" s="149" t="s">
        <v>8</v>
      </c>
      <c r="C8" s="104">
        <f>'Data Entry'!C7</f>
        <v>3</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x14ac:dyDescent="0.3">
      <c r="B9" s="149" t="s">
        <v>134</v>
      </c>
      <c r="C9" s="104">
        <f>'Data Entry'!C8</f>
        <v>25</v>
      </c>
      <c r="D9" s="109">
        <f>'Data Entry'!D8</f>
        <v>2</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1</v>
      </c>
      <c r="O9" s="110" t="str">
        <f>'Other - Mixed'!G8</f>
        <v>*</v>
      </c>
      <c r="P9" s="111">
        <f>'Data Entry'!J8</f>
        <v>3</v>
      </c>
      <c r="Q9" s="112" t="str">
        <f>'All Minorities'!G8</f>
        <v>**</v>
      </c>
      <c r="R9"/>
      <c r="T9" s="1">
        <f>'Black or African-American'!L8</f>
        <v>40</v>
      </c>
      <c r="U9" s="1">
        <f>Hispanic!L8</f>
        <v>40</v>
      </c>
      <c r="V9" s="1">
        <f>Asian!L8</f>
        <v>139</v>
      </c>
      <c r="W9" s="1">
        <f>Hawaiian!L8</f>
        <v>139</v>
      </c>
      <c r="X9" s="1">
        <f>'Am Indian'!L8</f>
        <v>40</v>
      </c>
      <c r="Y9" s="1">
        <f>'Other - Mixed'!L8</f>
        <v>139</v>
      </c>
      <c r="Z9" s="1">
        <f>'All Minorities'!L8</f>
        <v>40</v>
      </c>
    </row>
    <row r="10" spans="2:26" s="1" customFormat="1" ht="15" customHeight="1" x14ac:dyDescent="0.3">
      <c r="B10" s="149" t="s">
        <v>10</v>
      </c>
      <c r="C10" s="104">
        <f>'Data Entry'!C9</f>
        <v>6</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f>'Black or African-American'!L9</f>
        <v>40</v>
      </c>
      <c r="U10" s="1" t="e">
        <f>Hispanic!L9</f>
        <v>#VALUE!</v>
      </c>
      <c r="V10" s="1" t="e">
        <f>Asian!L9</f>
        <v>#VALUE!</v>
      </c>
      <c r="W10" s="1" t="e">
        <f>Hawaiian!L9</f>
        <v>#VALUE!</v>
      </c>
      <c r="X10" s="1" t="e">
        <f>'Am Indian'!L9</f>
        <v>#VALUE!</v>
      </c>
      <c r="Y10" s="1">
        <f>'Other - Mixed'!L9</f>
        <v>139</v>
      </c>
      <c r="Z10" s="1">
        <f>'All Minorities'!L9</f>
        <v>40</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4</v>
      </c>
      <c r="D12" s="113">
        <f>'Data Entry'!D11</f>
        <v>1</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1</v>
      </c>
      <c r="O12" s="114" t="str">
        <f>'Other - Mixed'!G11</f>
        <v>*</v>
      </c>
      <c r="P12" s="115">
        <f>'Data Entry'!J11</f>
        <v>2</v>
      </c>
      <c r="Q12" s="116" t="str">
        <f>'All Minorities'!G11</f>
        <v>**</v>
      </c>
      <c r="R12"/>
      <c r="T12" s="1">
        <f>'Black or African-American'!L11</f>
        <v>40</v>
      </c>
      <c r="U12" s="1" t="e">
        <f>Hispanic!L11</f>
        <v>#VALUE!</v>
      </c>
      <c r="V12" s="1" t="e">
        <f>Asian!L11</f>
        <v>#VALUE!</v>
      </c>
      <c r="W12" s="1" t="e">
        <f>Hawaiian!L11</f>
        <v>#VALUE!</v>
      </c>
      <c r="X12" s="1" t="e">
        <f>'Am Indian'!L11</f>
        <v>#VALUE!</v>
      </c>
      <c r="Y12" s="1">
        <f>'Other - Mixed'!L11</f>
        <v>119</v>
      </c>
      <c r="Z12" s="1">
        <f>'All Minorities'!L11</f>
        <v>20</v>
      </c>
    </row>
    <row r="13" spans="2:26" s="1" customFormat="1" ht="15" customHeight="1" x14ac:dyDescent="0.3">
      <c r="B13" s="149" t="s">
        <v>13</v>
      </c>
      <c r="C13" s="104">
        <f>'Data Entry'!C12</f>
        <v>11</v>
      </c>
      <c r="D13" s="109">
        <f>'Data Entry'!D12</f>
        <v>1</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1</v>
      </c>
      <c r="O13" s="110" t="str">
        <f>'Other - Mixed'!G12</f>
        <v>*</v>
      </c>
      <c r="P13" s="111">
        <f>'Data Entry'!J12</f>
        <v>2</v>
      </c>
      <c r="Q13" s="112" t="str">
        <f>'All Minorities'!G12</f>
        <v>**</v>
      </c>
      <c r="R13"/>
      <c r="T13" s="1">
        <f>'Black or African-American'!L12</f>
        <v>40</v>
      </c>
      <c r="U13" s="1" t="e">
        <f>Hispanic!L12</f>
        <v>#VALUE!</v>
      </c>
      <c r="V13" s="1" t="e">
        <f>Asian!L12</f>
        <v>#VALUE!</v>
      </c>
      <c r="W13" s="1" t="e">
        <f>Hawaiian!L12</f>
        <v>#VALUE!</v>
      </c>
      <c r="X13" s="1" t="e">
        <f>'Am Indian'!L12</f>
        <v>#VALUE!</v>
      </c>
      <c r="Y13" s="1">
        <f>'Other - Mixed'!L12</f>
        <v>139</v>
      </c>
      <c r="Z13" s="1">
        <f>'All Minorities'!L12</f>
        <v>40</v>
      </c>
    </row>
    <row r="14" spans="2:26" s="1" customFormat="1" ht="15" customHeight="1" x14ac:dyDescent="0.3">
      <c r="B14" s="149" t="s">
        <v>133</v>
      </c>
      <c r="C14" s="104">
        <f>'Data Entry'!C13</f>
        <v>23</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1</v>
      </c>
      <c r="O14" s="114" t="str">
        <f>'Other - Mixed'!G13</f>
        <v>*</v>
      </c>
      <c r="P14" s="115">
        <f>'Data Entry'!J13</f>
        <v>1</v>
      </c>
      <c r="Q14" s="116" t="str">
        <f>'All Minorities'!G13</f>
        <v>**</v>
      </c>
      <c r="R14"/>
      <c r="T14" s="1">
        <f>'Black or African-American'!L13</f>
        <v>40</v>
      </c>
      <c r="U14" s="1" t="e">
        <f>Hispanic!L13</f>
        <v>#VALUE!</v>
      </c>
      <c r="V14" s="1" t="e">
        <f>Asian!L13</f>
        <v>#VALUE!</v>
      </c>
      <c r="W14" s="1" t="e">
        <f>Hawaiian!L13</f>
        <v>#VALUE!</v>
      </c>
      <c r="X14" s="1" t="e">
        <f>'Am Indian'!L13</f>
        <v>#VALUE!</v>
      </c>
      <c r="Y14" s="1">
        <f>'Other - Mixed'!L13</f>
        <v>139</v>
      </c>
      <c r="Z14" s="1">
        <f>'All Minorities'!L13</f>
        <v>40</v>
      </c>
    </row>
    <row r="15" spans="2:26" s="1" customFormat="1" ht="33" x14ac:dyDescent="0.3">
      <c r="B15" s="151" t="s">
        <v>123</v>
      </c>
      <c r="C15" s="104">
        <f>'Data Entry'!C14</f>
        <v>6</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f>'Black or African-American'!L14</f>
        <v>40</v>
      </c>
      <c r="U15" s="1" t="e">
        <f>Hispanic!L14</f>
        <v>#VALUE!</v>
      </c>
      <c r="V15" s="1" t="e">
        <f>Asian!L14</f>
        <v>#VALUE!</v>
      </c>
      <c r="W15" s="1" t="e">
        <f>Hawaiian!L14</f>
        <v>#VALUE!</v>
      </c>
      <c r="X15" s="1" t="e">
        <f>'Am Indian'!L14</f>
        <v>#VALUE!</v>
      </c>
      <c r="Y15" s="1">
        <f>'Other - Mixed'!L14</f>
        <v>139</v>
      </c>
      <c r="Z15" s="1">
        <f>'All Minorities'!L14</f>
        <v>40</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Mecosta</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Mecosta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10.262975778546712</v>
      </c>
    </row>
    <row r="8" spans="1:12" ht="25.5" customHeight="1" x14ac:dyDescent="0.2">
      <c r="A8" s="158" t="str">
        <f>CONCATENATE("Confinement, total N=", 'Data Entry'!B14)</f>
        <v>Confinement, total N=9</v>
      </c>
      <c r="B8" s="157">
        <f>'Data Entry'!D14/'Data Entry'!B14</f>
        <v>0</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0.66666666666666663</v>
      </c>
      <c r="K8" s="97" t="str">
        <f>A8</f>
        <v>Confinement, total N=9</v>
      </c>
      <c r="L8">
        <f>I14/(SUM(B14:G14))</f>
        <v>10.262975778546712</v>
      </c>
    </row>
    <row r="9" spans="1:12" x14ac:dyDescent="0.2">
      <c r="A9" s="132" t="str">
        <f>CONCATENATE("Delinquent Findings, total N=", 'Data Entry'!B12)</f>
        <v>Delinquent Findings, total N=23</v>
      </c>
      <c r="B9" s="157">
        <f>'Data Entry'!D12/'Data Entry'!B12</f>
        <v>4.3478260869565216E-2</v>
      </c>
      <c r="C9" s="157">
        <f>'Data Entry'!E12/'Data Entry'!B12</f>
        <v>0</v>
      </c>
      <c r="D9" s="157">
        <f>'Data Entry'!F12/'Data Entry'!B12</f>
        <v>0</v>
      </c>
      <c r="E9" s="157">
        <f>'Data Entry'!G12/'Data Entry'!B12</f>
        <v>0</v>
      </c>
      <c r="F9" s="157">
        <f>'Data Entry'!H12/'Data Entry'!B12</f>
        <v>0</v>
      </c>
      <c r="G9" s="157">
        <f>'Data Entry'!I12/'Data Entry'!B12</f>
        <v>4.3478260869565216E-2</v>
      </c>
      <c r="H9" s="157">
        <f>SUM(D9:G9)/'Data Entry'!B12</f>
        <v>1.890359168241966E-3</v>
      </c>
      <c r="I9" s="157">
        <f>'Data Entry'!C12/'Data Entry'!B12</f>
        <v>0.47826086956521741</v>
      </c>
      <c r="K9" s="97" t="str">
        <f t="shared" si="0"/>
        <v>Delinquent Findings, total N=23</v>
      </c>
      <c r="L9">
        <f>I14/(SUM(B14:G14))</f>
        <v>10.262975778546712</v>
      </c>
    </row>
    <row r="10" spans="1:12" x14ac:dyDescent="0.2">
      <c r="A10" s="132" t="str">
        <f>CONCATENATE("Petitions, total N=", 'Data Entry'!B11)</f>
        <v>Petitions, total N=12</v>
      </c>
      <c r="B10" s="157">
        <f>'Data Entry'!D11/'Data Entry'!B11</f>
        <v>8.3333333333333329E-2</v>
      </c>
      <c r="C10" s="157">
        <f>'Data Entry'!E11/'Data Entry'!B11</f>
        <v>0</v>
      </c>
      <c r="D10" s="157">
        <f>'Data Entry'!F11/'Data Entry'!B11</f>
        <v>0</v>
      </c>
      <c r="E10" s="157">
        <f>'Data Entry'!G11/'Data Entry'!B11</f>
        <v>0</v>
      </c>
      <c r="F10" s="157">
        <f>'Data Entry'!H11/'Data Entry'!B11</f>
        <v>0</v>
      </c>
      <c r="G10" s="157">
        <f>'Data Entry'!I11/'Data Entry'!B11</f>
        <v>8.3333333333333329E-2</v>
      </c>
      <c r="H10" s="157">
        <f>SUM(D10:G10)/'Data Entry'!B11</f>
        <v>6.9444444444444441E-3</v>
      </c>
      <c r="I10" s="157">
        <f>'Data Entry'!C11/'Data Entry'!B11</f>
        <v>0.33333333333333331</v>
      </c>
      <c r="K10" s="97" t="str">
        <f t="shared" si="0"/>
        <v>Petitions, total N=12</v>
      </c>
      <c r="L10">
        <f>I14/(SUM(B14:G14))</f>
        <v>10.262975778546712</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10.262975778546712</v>
      </c>
    </row>
    <row r="12" spans="1:12" x14ac:dyDescent="0.2">
      <c r="A12" s="132" t="str">
        <f>CONCATENATE("Referrals, total N=", 'Data Entry'!B8)</f>
        <v>Referrals, total N=57</v>
      </c>
      <c r="B12" s="157">
        <f>'Data Entry'!D8/'Data Entry'!B8</f>
        <v>3.5087719298245612E-2</v>
      </c>
      <c r="C12" s="157">
        <f>'Data Entry'!E8/'Data Entry'!B8</f>
        <v>0</v>
      </c>
      <c r="D12" s="157">
        <f>'Data Entry'!F8/'Data Entry'!B8</f>
        <v>0</v>
      </c>
      <c r="E12" s="157">
        <f>'Data Entry'!G8/'Data Entry'!B8</f>
        <v>0</v>
      </c>
      <c r="F12" s="157">
        <f>'Data Entry'!H8/'Data Entry'!B8</f>
        <v>0</v>
      </c>
      <c r="G12" s="157">
        <f>'Data Entry'!I8/'Data Entry'!B8</f>
        <v>1.7543859649122806E-2</v>
      </c>
      <c r="H12" s="157">
        <f>SUM(D12:G12)/'Data Entry'!B8</f>
        <v>3.0778701138811941E-4</v>
      </c>
      <c r="I12" s="157">
        <f>'Data Entry'!C8/'Data Entry'!B8</f>
        <v>0.43859649122807015</v>
      </c>
      <c r="K12" s="97" t="str">
        <f t="shared" si="0"/>
        <v>Referrals, total N=57</v>
      </c>
      <c r="L12">
        <f>I14/(SUM(B14:G14))</f>
        <v>10.262975778546712</v>
      </c>
    </row>
    <row r="13" spans="1:12" x14ac:dyDescent="0.2">
      <c r="A13" s="132" t="str">
        <f>CONCATENATE("Arrests, total N=", 'Data Entry'!B7)</f>
        <v>Arrests, total N=3</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1</v>
      </c>
      <c r="K13" s="97" t="str">
        <f t="shared" si="0"/>
        <v>Arrests, total N=3</v>
      </c>
      <c r="L13">
        <f>I14/(SUM(B14:G14))</f>
        <v>10.262975778546712</v>
      </c>
    </row>
    <row r="14" spans="1:12" x14ac:dyDescent="0.2">
      <c r="A14" s="132" t="str">
        <f>CONCATENATE("Population, total N=", 'Data Entry'!B6)</f>
        <v>Population, total N=3255</v>
      </c>
      <c r="B14" s="157">
        <f>'Data Entry'!D6/'Data Entry'!B6</f>
        <v>3.5944700460829496E-2</v>
      </c>
      <c r="C14" s="157">
        <f>'Data Entry'!E6/'Data Entry'!B6</f>
        <v>3.5944700460829496E-2</v>
      </c>
      <c r="D14" s="157">
        <f>'Data Entry'!F6/'Data Entry'!B6</f>
        <v>6.1443932411674347E-3</v>
      </c>
      <c r="E14" s="157">
        <f>'Data Entry'!G6/'Data Entry'!B6</f>
        <v>0</v>
      </c>
      <c r="F14" s="157">
        <f>'Data Entry'!H6/'Data Entry'!B6</f>
        <v>1.0752688172043012E-2</v>
      </c>
      <c r="G14" s="157">
        <f>'Data Entry'!I6/'Data Entry'!B6</f>
        <v>0</v>
      </c>
      <c r="H14" s="157">
        <f>SUM(D14:G14)/'Data Entry'!B6</f>
        <v>5.191115641539308E-6</v>
      </c>
      <c r="I14" s="157">
        <f>'Data Entry'!C6/'Data Entry'!B6</f>
        <v>0.91121351766513059</v>
      </c>
      <c r="K14" s="97" t="str">
        <f t="shared" si="0"/>
        <v>Population, total N=3255</v>
      </c>
      <c r="L14">
        <f>I14/(SUM(B14:G14))</f>
        <v>10.262975778546712</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Mecosta</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2966</v>
      </c>
      <c r="D7" s="105">
        <f>'Data Entry'!D6</f>
        <v>117</v>
      </c>
      <c r="E7" s="106"/>
      <c r="F7" s="107">
        <f>'Data Entry'!E6</f>
        <v>117</v>
      </c>
      <c r="G7" s="106"/>
      <c r="H7" s="107">
        <f>'Data Entry'!F6</f>
        <v>20</v>
      </c>
      <c r="I7" s="106"/>
      <c r="J7" s="107">
        <f>'Data Entry'!J6</f>
        <v>289</v>
      </c>
      <c r="K7" s="108"/>
    </row>
    <row r="8" spans="2:30" s="1" customFormat="1" ht="15" customHeight="1" x14ac:dyDescent="0.3">
      <c r="B8" s="125" t="s">
        <v>8</v>
      </c>
      <c r="C8" s="104">
        <f>'Data Entry'!C7</f>
        <v>3</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x14ac:dyDescent="0.3">
      <c r="B9" s="125" t="s">
        <v>134</v>
      </c>
      <c r="C9" s="104">
        <f>'Data Entry'!C8</f>
        <v>25</v>
      </c>
      <c r="D9" s="109">
        <f>'Data Entry'!D8</f>
        <v>2</v>
      </c>
      <c r="E9" s="110" t="str">
        <f>'Black or African-American'!$G8</f>
        <v>**</v>
      </c>
      <c r="F9" s="111">
        <f>'Data Entry'!E8</f>
        <v>0</v>
      </c>
      <c r="G9" s="110" t="str">
        <f>Hispanic!G8</f>
        <v>**</v>
      </c>
      <c r="H9" s="111">
        <f>'Data Entry'!F8</f>
        <v>0</v>
      </c>
      <c r="I9" s="110" t="str">
        <f>Asian!G8</f>
        <v>*</v>
      </c>
      <c r="J9" s="111">
        <f>'Data Entry'!J8</f>
        <v>3</v>
      </c>
      <c r="K9" s="112" t="str">
        <f>'All Minorities'!G8</f>
        <v>**</v>
      </c>
      <c r="L9"/>
      <c r="N9" s="1">
        <f>'Black or African-American'!L8</f>
        <v>40</v>
      </c>
      <c r="O9" s="1">
        <f>Hispanic!L8</f>
        <v>40</v>
      </c>
      <c r="P9" s="1">
        <f>Asian!L8</f>
        <v>139</v>
      </c>
      <c r="Q9" s="1">
        <f>Hawaiian!L8</f>
        <v>139</v>
      </c>
      <c r="R9" s="1">
        <f>'Am Indian'!L8</f>
        <v>40</v>
      </c>
      <c r="S9" s="1">
        <f>'Other - Mixed'!L8</f>
        <v>139</v>
      </c>
      <c r="T9" s="1">
        <f>'All Minorities'!L8</f>
        <v>40</v>
      </c>
    </row>
    <row r="10" spans="2:30" s="1" customFormat="1" ht="15" customHeight="1" x14ac:dyDescent="0.3">
      <c r="B10" s="125" t="s">
        <v>10</v>
      </c>
      <c r="C10" s="104">
        <f>'Data Entry'!C9</f>
        <v>6</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f>'Black or African-American'!L9</f>
        <v>40</v>
      </c>
      <c r="O10" s="1" t="e">
        <f>Hispanic!L9</f>
        <v>#VALUE!</v>
      </c>
      <c r="P10" s="1" t="e">
        <f>Asian!L9</f>
        <v>#VALUE!</v>
      </c>
      <c r="Q10" s="1" t="e">
        <f>Hawaiian!L9</f>
        <v>#VALUE!</v>
      </c>
      <c r="R10" s="1" t="e">
        <f>'Am Indian'!L9</f>
        <v>#VALUE!</v>
      </c>
      <c r="S10" s="1">
        <f>'Other - Mixed'!L9</f>
        <v>139</v>
      </c>
      <c r="T10" s="1">
        <f>'All Minorities'!L9</f>
        <v>40</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4</v>
      </c>
      <c r="D12" s="113">
        <f>'Data Entry'!D11</f>
        <v>1</v>
      </c>
      <c r="E12" s="114" t="str">
        <f>'Black or African-American'!$G11</f>
        <v>**</v>
      </c>
      <c r="F12" s="115">
        <f>'Data Entry'!E11</f>
        <v>0</v>
      </c>
      <c r="G12" s="114" t="str">
        <f>Hispanic!G11</f>
        <v>--</v>
      </c>
      <c r="H12" s="115">
        <f>'Data Entry'!F11</f>
        <v>0</v>
      </c>
      <c r="I12" s="114" t="str">
        <f>Asian!G11</f>
        <v>*</v>
      </c>
      <c r="J12" s="115">
        <f>'Data Entry'!J11</f>
        <v>2</v>
      </c>
      <c r="K12" s="116" t="str">
        <f>'All Minorities'!G11</f>
        <v>**</v>
      </c>
      <c r="L12"/>
      <c r="N12" s="1">
        <f>'Black or African-American'!L11</f>
        <v>40</v>
      </c>
      <c r="O12" s="1" t="e">
        <f>Hispanic!L11</f>
        <v>#VALUE!</v>
      </c>
      <c r="P12" s="1" t="e">
        <f>Asian!L11</f>
        <v>#VALUE!</v>
      </c>
      <c r="Q12" s="1" t="e">
        <f>Hawaiian!L11</f>
        <v>#VALUE!</v>
      </c>
      <c r="R12" s="1" t="e">
        <f>'Am Indian'!L11</f>
        <v>#VALUE!</v>
      </c>
      <c r="S12" s="1">
        <f>'Other - Mixed'!L11</f>
        <v>119</v>
      </c>
      <c r="T12" s="1">
        <f>'All Minorities'!L11</f>
        <v>20</v>
      </c>
    </row>
    <row r="13" spans="2:30" s="1" customFormat="1" ht="15" customHeight="1" x14ac:dyDescent="0.3">
      <c r="B13" s="125" t="s">
        <v>13</v>
      </c>
      <c r="C13" s="104">
        <f>'Data Entry'!C12</f>
        <v>11</v>
      </c>
      <c r="D13" s="109">
        <f>'Data Entry'!D12</f>
        <v>1</v>
      </c>
      <c r="E13" s="110" t="str">
        <f>'Black or African-American'!$G12</f>
        <v>**</v>
      </c>
      <c r="F13" s="111">
        <f>'Data Entry'!E12</f>
        <v>0</v>
      </c>
      <c r="G13" s="110" t="str">
        <f>Hispanic!G12</f>
        <v>--</v>
      </c>
      <c r="H13" s="111">
        <f>'Data Entry'!F12</f>
        <v>0</v>
      </c>
      <c r="I13" s="110" t="str">
        <f>Asian!G12</f>
        <v>*</v>
      </c>
      <c r="J13" s="111">
        <f>'Data Entry'!J12</f>
        <v>2</v>
      </c>
      <c r="K13" s="112" t="str">
        <f>'All Minorities'!G12</f>
        <v>**</v>
      </c>
      <c r="L13"/>
      <c r="N13" s="1">
        <f>'Black or African-American'!L12</f>
        <v>40</v>
      </c>
      <c r="O13" s="1" t="e">
        <f>Hispanic!L12</f>
        <v>#VALUE!</v>
      </c>
      <c r="P13" s="1" t="e">
        <f>Asian!L12</f>
        <v>#VALUE!</v>
      </c>
      <c r="Q13" s="1" t="e">
        <f>Hawaiian!L12</f>
        <v>#VALUE!</v>
      </c>
      <c r="R13" s="1" t="e">
        <f>'Am Indian'!L12</f>
        <v>#VALUE!</v>
      </c>
      <c r="S13" s="1">
        <f>'Other - Mixed'!L12</f>
        <v>139</v>
      </c>
      <c r="T13" s="1">
        <f>'All Minorities'!L12</f>
        <v>40</v>
      </c>
      <c r="W13" s="135"/>
      <c r="X13" s="135"/>
      <c r="Y13" s="135"/>
      <c r="Z13" s="135"/>
      <c r="AA13" s="135"/>
      <c r="AB13" s="135"/>
      <c r="AC13" s="135"/>
      <c r="AD13" s="135"/>
    </row>
    <row r="14" spans="2:30" s="1" customFormat="1" ht="15" customHeight="1" x14ac:dyDescent="0.3">
      <c r="B14" s="125" t="s">
        <v>14</v>
      </c>
      <c r="C14" s="104">
        <f>'Data Entry'!C13</f>
        <v>23</v>
      </c>
      <c r="D14" s="113">
        <f>'Data Entry'!D13</f>
        <v>0</v>
      </c>
      <c r="E14" s="114" t="str">
        <f>'Black or African-American'!$G13</f>
        <v>**</v>
      </c>
      <c r="F14" s="115">
        <f>'Data Entry'!E13</f>
        <v>0</v>
      </c>
      <c r="G14" s="114" t="str">
        <f>Hispanic!G13</f>
        <v>--</v>
      </c>
      <c r="H14" s="115">
        <f>'Data Entry'!F13</f>
        <v>0</v>
      </c>
      <c r="I14" s="114" t="str">
        <f>Asian!G13</f>
        <v>*</v>
      </c>
      <c r="J14" s="115">
        <f>'Data Entry'!J13</f>
        <v>1</v>
      </c>
      <c r="K14" s="116" t="str">
        <f>'All Minorities'!G13</f>
        <v>**</v>
      </c>
      <c r="L14"/>
      <c r="N14" s="1">
        <f>'Black or African-American'!L13</f>
        <v>40</v>
      </c>
      <c r="O14" s="1" t="e">
        <f>Hispanic!L13</f>
        <v>#VALUE!</v>
      </c>
      <c r="P14" s="1" t="e">
        <f>Asian!L13</f>
        <v>#VALUE!</v>
      </c>
      <c r="Q14" s="1" t="e">
        <f>Hawaiian!L13</f>
        <v>#VALUE!</v>
      </c>
      <c r="R14" s="1" t="e">
        <f>'Am Indian'!L13</f>
        <v>#VALUE!</v>
      </c>
      <c r="S14" s="1">
        <f>'Other - Mixed'!L13</f>
        <v>139</v>
      </c>
      <c r="T14" s="1">
        <f>'All Minorities'!L13</f>
        <v>40</v>
      </c>
      <c r="W14" s="135"/>
      <c r="X14" s="135"/>
      <c r="Y14" s="135"/>
      <c r="Z14" s="135"/>
      <c r="AA14" s="135"/>
      <c r="AB14" s="135"/>
      <c r="AC14" s="135"/>
      <c r="AD14" s="135"/>
    </row>
    <row r="15" spans="2:30" s="1" customFormat="1" ht="33" x14ac:dyDescent="0.3">
      <c r="B15" s="130" t="s">
        <v>123</v>
      </c>
      <c r="C15" s="104">
        <f>'Data Entry'!C14</f>
        <v>6</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f>'Black or African-American'!L14</f>
        <v>40</v>
      </c>
      <c r="O15" s="1" t="e">
        <f>Hispanic!L14</f>
        <v>#VALUE!</v>
      </c>
      <c r="P15" s="1" t="e">
        <f>Asian!L14</f>
        <v>#VALUE!</v>
      </c>
      <c r="Q15" s="1" t="e">
        <f>Hawaiian!L14</f>
        <v>#VALUE!</v>
      </c>
      <c r="R15" s="1" t="e">
        <f>'Am Indian'!L14</f>
        <v>#VALUE!</v>
      </c>
      <c r="S15" s="1">
        <f>'Other - Mixed'!L14</f>
        <v>139</v>
      </c>
      <c r="T15" s="1">
        <f>'All Minorities'!L14</f>
        <v>40</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Mecosta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2966</v>
      </c>
      <c r="D6" s="34"/>
      <c r="E6" s="33">
        <f>'Data Entry'!D6</f>
        <v>117</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v>
      </c>
      <c r="D7" s="34">
        <f>IF((AND(C66&gt;0,C7&gt;0)),(C7/C66),0)</f>
        <v>1.0114632501685772</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117</v>
      </c>
      <c r="P7" s="42">
        <f t="shared" ref="P7:P15" si="2">C7</f>
        <v>3</v>
      </c>
      <c r="Q7" s="42">
        <f>C6-C7</f>
        <v>2963</v>
      </c>
      <c r="R7" s="42">
        <f t="shared" ref="R7:R15" si="3">SUM(N7:Q7)</f>
        <v>3083</v>
      </c>
      <c r="S7" s="30">
        <f t="shared" ref="S7:S15" si="4">R7*((((N7*Q7)-(O7*P7))^2))</f>
        <v>379828683</v>
      </c>
      <c r="T7" s="30">
        <f t="shared" ref="T7:T15" si="5">(N7+O7)*(P7+Q7)*(N7+P7)*(O7+Q7)</f>
        <v>3206483280</v>
      </c>
      <c r="U7" s="31">
        <f t="shared" ref="U7:U15" si="6">IF((S7&gt;0),S7/T7,"- -")</f>
        <v>0.11845646767258365</v>
      </c>
    </row>
    <row r="8" spans="2:21" ht="18" customHeight="1" x14ac:dyDescent="0.25">
      <c r="B8" s="32" t="str">
        <f>'Data Entry'!A8</f>
        <v>3. Refer to Juvenile Court</v>
      </c>
      <c r="C8" s="33">
        <f>'Data Entry'!C8</f>
        <v>25</v>
      </c>
      <c r="D8" s="34">
        <f>IF((AND(C67&gt;0,C8&gt;0)),(C8/C67),0)</f>
        <v>833.33333333333337</v>
      </c>
      <c r="E8" s="33">
        <f>'Data Entry'!D8</f>
        <v>2</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2</v>
      </c>
      <c r="O8" s="42">
        <f>((D67*L67)-E8)+0.05</f>
        <v>-1.95</v>
      </c>
      <c r="P8" s="42">
        <f t="shared" si="2"/>
        <v>25</v>
      </c>
      <c r="Q8" s="42">
        <f>(C$67*L67)-C8</f>
        <v>-22</v>
      </c>
      <c r="R8" s="42">
        <f t="shared" si="3"/>
        <v>3.0500000000000007</v>
      </c>
      <c r="S8" s="30">
        <f t="shared" si="4"/>
        <v>68.815625000000011</v>
      </c>
      <c r="T8" s="30">
        <f t="shared" si="5"/>
        <v>-96.997500000000073</v>
      </c>
      <c r="U8" s="31">
        <f t="shared" si="6"/>
        <v>-0.70945771798242185</v>
      </c>
    </row>
    <row r="9" spans="2:21" ht="18" customHeight="1" x14ac:dyDescent="0.25">
      <c r="B9" s="32" t="str">
        <f>'Data Entry'!A9</f>
        <v xml:space="preserve">4. Cases Diverted </v>
      </c>
      <c r="C9" s="33">
        <f>'Data Entry'!C9</f>
        <v>6</v>
      </c>
      <c r="D9" s="34">
        <f>IF((AND(C68&gt;0,C9&gt;0)),((C9/C68)),0)</f>
        <v>24</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2</v>
      </c>
      <c r="P9" s="42">
        <f t="shared" si="2"/>
        <v>6</v>
      </c>
      <c r="Q9" s="42">
        <f>(C$68*L68)-C9</f>
        <v>19</v>
      </c>
      <c r="R9" s="42">
        <f t="shared" si="3"/>
        <v>27</v>
      </c>
      <c r="S9" s="30">
        <f t="shared" si="4"/>
        <v>3888</v>
      </c>
      <c r="T9" s="30">
        <f t="shared" si="5"/>
        <v>6300</v>
      </c>
      <c r="U9" s="31">
        <f t="shared" si="6"/>
        <v>0.6171428571428571</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2</v>
      </c>
      <c r="P10" s="42">
        <f t="shared" si="2"/>
        <v>0</v>
      </c>
      <c r="Q10" s="42">
        <f>(C$68*L68)-C10</f>
        <v>25</v>
      </c>
      <c r="R10" s="42">
        <f t="shared" si="3"/>
        <v>27</v>
      </c>
      <c r="S10" s="30">
        <f t="shared" si="4"/>
        <v>0</v>
      </c>
      <c r="T10" s="30">
        <f t="shared" si="5"/>
        <v>0</v>
      </c>
      <c r="U10" s="31" t="str">
        <f t="shared" si="6"/>
        <v>- -</v>
      </c>
    </row>
    <row r="11" spans="2:21" ht="18" customHeight="1" x14ac:dyDescent="0.25">
      <c r="B11" s="32" t="str">
        <f>'Data Entry'!A11</f>
        <v>6. Cases Petitioned (Charge Filed)</v>
      </c>
      <c r="C11" s="33">
        <f>'Data Entry'!C11</f>
        <v>4</v>
      </c>
      <c r="D11" s="34">
        <f>IF(((AND(C68&gt;0,C11&gt;0))),(C11/(C68)),0)</f>
        <v>16</v>
      </c>
      <c r="E11" s="33">
        <f>'Data Entry'!D11</f>
        <v>1</v>
      </c>
      <c r="F11" s="34">
        <f>IF(((AND($E$11&gt;0,$D$68&gt;0))),($E$11/($D$68)),0)</f>
        <v>50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1</v>
      </c>
      <c r="P11" s="42">
        <f t="shared" si="2"/>
        <v>4</v>
      </c>
      <c r="Q11" s="42">
        <f>(C$68*L68)-C11</f>
        <v>21</v>
      </c>
      <c r="R11" s="42">
        <f t="shared" si="3"/>
        <v>27</v>
      </c>
      <c r="S11" s="30">
        <f t="shared" si="4"/>
        <v>7803</v>
      </c>
      <c r="T11" s="30">
        <f t="shared" si="5"/>
        <v>5500</v>
      </c>
      <c r="U11" s="31">
        <f t="shared" si="6"/>
        <v>1.4187272727272728</v>
      </c>
    </row>
    <row r="12" spans="2:21" ht="18" customHeight="1" x14ac:dyDescent="0.25">
      <c r="B12" s="32" t="str">
        <f>'Data Entry'!A12</f>
        <v>7. Cases Resulting in Delinquent Findings</v>
      </c>
      <c r="C12" s="33">
        <f>'Data Entry'!C12</f>
        <v>11</v>
      </c>
      <c r="D12" s="34">
        <f>IF(((AND(C69&gt;0,C12&gt;0))),(C12/(C69)),0)</f>
        <v>275</v>
      </c>
      <c r="E12" s="33">
        <f>'Data Entry'!D12</f>
        <v>1</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0</v>
      </c>
      <c r="P12" s="42">
        <f t="shared" si="2"/>
        <v>11</v>
      </c>
      <c r="Q12" s="42">
        <f>(C69*L69)-C12</f>
        <v>-7</v>
      </c>
      <c r="R12" s="42">
        <f t="shared" si="3"/>
        <v>5</v>
      </c>
      <c r="S12" s="30">
        <f t="shared" si="4"/>
        <v>245</v>
      </c>
      <c r="T12" s="30">
        <f t="shared" si="5"/>
        <v>-336</v>
      </c>
      <c r="U12" s="31">
        <f t="shared" si="6"/>
        <v>-0.72916666666666663</v>
      </c>
    </row>
    <row r="13" spans="2:21" ht="18" customHeight="1" x14ac:dyDescent="0.25">
      <c r="B13" s="32" t="str">
        <f>'Data Entry'!A13</f>
        <v>8. Cases Resulting in Probation Placement</v>
      </c>
      <c r="C13" s="33">
        <f>'Data Entry'!C13</f>
        <v>23</v>
      </c>
      <c r="D13" s="34">
        <f>IF(((AND(C70&gt;0,C13&gt;0))),(C13/(C70)),0)</f>
        <v>209.09090909090909</v>
      </c>
      <c r="E13" s="33">
        <f>'Data Entry'!D13</f>
        <v>0</v>
      </c>
      <c r="F13" s="34">
        <f>IF(((AND($D$70&gt;0,$E$13&gt;0))),($E$13/($D$70)),0)</f>
        <v>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0</v>
      </c>
      <c r="O13" s="42">
        <f>(D70*L70)-E13</f>
        <v>1</v>
      </c>
      <c r="P13" s="42">
        <f t="shared" si="2"/>
        <v>23</v>
      </c>
      <c r="Q13" s="42">
        <f>(C70*L70)-C13</f>
        <v>-12</v>
      </c>
      <c r="R13" s="42">
        <f t="shared" si="3"/>
        <v>12</v>
      </c>
      <c r="S13" s="30">
        <f t="shared" si="4"/>
        <v>6348</v>
      </c>
      <c r="T13" s="30">
        <f t="shared" si="5"/>
        <v>-2783</v>
      </c>
      <c r="U13" s="31">
        <f t="shared" si="6"/>
        <v>-2.28099173553719</v>
      </c>
    </row>
    <row r="14" spans="2:21" ht="30.75" customHeight="1" x14ac:dyDescent="0.25">
      <c r="B14" s="32" t="str">
        <f>'Data Entry'!A14</f>
        <v xml:space="preserve">9. Cases Resulting in Confinement in Secure Juvenile Correctional Facilities </v>
      </c>
      <c r="C14" s="33">
        <f>'Data Entry'!C14</f>
        <v>6</v>
      </c>
      <c r="D14" s="34">
        <f>IF(((AND(C70&gt;0,C14&gt;0))), ((C14/(C70))),0)</f>
        <v>54.545454545454547</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1</v>
      </c>
      <c r="P14" s="42">
        <f t="shared" si="2"/>
        <v>6</v>
      </c>
      <c r="Q14" s="42">
        <f>(C70*L70)-C14</f>
        <v>5</v>
      </c>
      <c r="R14" s="42">
        <f t="shared" si="3"/>
        <v>12</v>
      </c>
      <c r="S14" s="30">
        <f t="shared" si="4"/>
        <v>432</v>
      </c>
      <c r="T14" s="30">
        <f t="shared" si="5"/>
        <v>396</v>
      </c>
      <c r="U14" s="31">
        <f t="shared" si="6"/>
        <v>1.0909090909090908</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4</v>
      </c>
      <c r="R15" s="42">
        <f t="shared" si="3"/>
        <v>5</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2.9660000000000002</v>
      </c>
      <c r="D42" s="56">
        <f>E6/1000</f>
        <v>0.11700000000000001</v>
      </c>
      <c r="E42" s="56">
        <f>MAX(C42:D42)</f>
        <v>2.9660000000000002</v>
      </c>
      <c r="G42" s="1" t="str">
        <f>B42</f>
        <v>per 1000 youth</v>
      </c>
      <c r="L42" s="57">
        <v>1000</v>
      </c>
      <c r="M42" s="57"/>
      <c r="R42" s="49"/>
    </row>
    <row r="43" spans="2:18" ht="15" hidden="1" customHeight="1" x14ac:dyDescent="0.25">
      <c r="B43" s="49" t="s">
        <v>87</v>
      </c>
      <c r="C43" s="56">
        <f>C7/100</f>
        <v>0.03</v>
      </c>
      <c r="D43" s="56">
        <f>E7/100</f>
        <v>0</v>
      </c>
      <c r="E43" s="56">
        <f>MAX(C43:D43,0)</f>
        <v>0.03</v>
      </c>
      <c r="G43" s="1" t="str">
        <f>B43</f>
        <v>per 100 arrests</v>
      </c>
      <c r="L43" s="57">
        <v>100</v>
      </c>
      <c r="M43" s="57"/>
      <c r="R43" s="49"/>
    </row>
    <row r="44" spans="2:18" ht="15" hidden="1" customHeight="1" x14ac:dyDescent="0.25">
      <c r="B44" s="49" t="s">
        <v>88</v>
      </c>
      <c r="C44" s="56">
        <f>C8/100</f>
        <v>0.25</v>
      </c>
      <c r="D44" s="56">
        <f>E8/100</f>
        <v>0.02</v>
      </c>
      <c r="E44" s="56">
        <f>MAX(C44:D44,0)</f>
        <v>0.25</v>
      </c>
      <c r="G44" s="1" t="str">
        <f>B44</f>
        <v>per 100 referrals</v>
      </c>
      <c r="L44" s="57">
        <v>100</v>
      </c>
      <c r="M44" s="57"/>
      <c r="R44" s="49"/>
    </row>
    <row r="45" spans="2:18" ht="15" hidden="1" customHeight="1" x14ac:dyDescent="0.25">
      <c r="B45" s="49" t="s">
        <v>89</v>
      </c>
      <c r="C45" s="49">
        <f>C11/100</f>
        <v>0.04</v>
      </c>
      <c r="D45" s="49">
        <f>E11/100</f>
        <v>0.01</v>
      </c>
      <c r="E45" s="56">
        <f>MAX(C45:D45,0)</f>
        <v>0.04</v>
      </c>
      <c r="G45" s="1" t="str">
        <f>B45</f>
        <v>per 100 youth petitioned</v>
      </c>
      <c r="L45" s="57">
        <v>100</v>
      </c>
      <c r="M45" s="57"/>
      <c r="R45" s="49"/>
    </row>
    <row r="46" spans="2:18" ht="15" hidden="1" customHeight="1" x14ac:dyDescent="0.25">
      <c r="B46" s="49" t="s">
        <v>90</v>
      </c>
      <c r="C46" s="49">
        <f>C12/100</f>
        <v>0.11</v>
      </c>
      <c r="D46" s="49">
        <f>E12/100</f>
        <v>0.01</v>
      </c>
      <c r="E46" s="56">
        <f>MAX(C46:D46)</f>
        <v>0.11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2.9660000000000002</v>
      </c>
      <c r="D48" s="56">
        <f>D42</f>
        <v>0.11700000000000001</v>
      </c>
      <c r="E48" s="56">
        <f>MAX(C48:D48)</f>
        <v>2.9660000000000002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0.03</v>
      </c>
      <c r="D49" s="49">
        <f t="shared" si="9"/>
        <v>0</v>
      </c>
      <c r="E49" s="49">
        <f>MAX(C49:D49)</f>
        <v>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0.25</v>
      </c>
      <c r="D50" s="49">
        <f t="shared" si="9"/>
        <v>0.02</v>
      </c>
      <c r="E50" s="49">
        <f>MAX(C50:D50)</f>
        <v>0.25</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0.01</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0.11</v>
      </c>
      <c r="D52" s="49">
        <f>IF(($E46&gt;0),D46,D45)</f>
        <v>0.01</v>
      </c>
      <c r="E52" s="56">
        <f>MAX(C52:D52)</f>
        <v>0.11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2.9660000000000002</v>
      </c>
      <c r="D54" s="56">
        <f>D48</f>
        <v>0.11700000000000001</v>
      </c>
      <c r="E54" s="56">
        <f>MAX(C54:D54)</f>
        <v>2.9660000000000002</v>
      </c>
      <c r="G54" s="1" t="str">
        <f>G48</f>
        <v>per 1000 youth</v>
      </c>
      <c r="L54" s="58">
        <f>L48</f>
        <v>1000</v>
      </c>
      <c r="M54" s="58"/>
    </row>
    <row r="55" spans="2:18" ht="15" hidden="1" customHeight="1" x14ac:dyDescent="0.25">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x14ac:dyDescent="0.25">
      <c r="B56" s="49" t="str">
        <f t="shared" si="10"/>
        <v>per 100 referrals</v>
      </c>
      <c r="C56" s="49">
        <f t="shared" si="10"/>
        <v>0.25</v>
      </c>
      <c r="D56" s="49">
        <f t="shared" si="10"/>
        <v>0.02</v>
      </c>
      <c r="E56" s="49">
        <f>MAX(C56:D56)</f>
        <v>0.25</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0.01</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0.11</v>
      </c>
      <c r="D58" s="49">
        <f>IF(($E52&gt;0),D52,D51)</f>
        <v>0.01</v>
      </c>
      <c r="E58" s="56">
        <f>MAX(C58:D58)</f>
        <v>0.11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2.9660000000000002</v>
      </c>
      <c r="D60" s="56">
        <f>D54</f>
        <v>0.11700000000000001</v>
      </c>
      <c r="E60" s="56">
        <f>MAX(C60:D60)</f>
        <v>2.9660000000000002</v>
      </c>
      <c r="G60" s="1" t="str">
        <f>G54</f>
        <v>per 1000 youth</v>
      </c>
      <c r="L60" s="58">
        <f>L54</f>
        <v>1000</v>
      </c>
      <c r="M60" s="58"/>
    </row>
    <row r="61" spans="2:18" ht="15" hidden="1" customHeight="1" x14ac:dyDescent="0.25">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x14ac:dyDescent="0.25">
      <c r="B62" s="49" t="str">
        <f t="shared" si="11"/>
        <v>per 100 referrals</v>
      </c>
      <c r="C62" s="49">
        <f t="shared" si="11"/>
        <v>0.25</v>
      </c>
      <c r="D62" s="49">
        <f t="shared" si="11"/>
        <v>0.02</v>
      </c>
      <c r="E62" s="49">
        <f>MAX(C62:D62)</f>
        <v>0.25</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0.01</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0.11</v>
      </c>
      <c r="D64" s="49">
        <f>IF(($E58&gt;0),D58,D57)</f>
        <v>0.01</v>
      </c>
      <c r="E64" s="56">
        <f>MAX(C64:D64)</f>
        <v>0.11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2.9660000000000002</v>
      </c>
      <c r="D66" s="56">
        <f>D60</f>
        <v>0.11700000000000001</v>
      </c>
      <c r="E66" s="56">
        <f>MAX(C66:D66)</f>
        <v>2.9660000000000002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x14ac:dyDescent="0.25">
      <c r="B68" s="49" t="str">
        <f t="shared" si="12"/>
        <v>per 100 referrals</v>
      </c>
      <c r="C68" s="49">
        <f t="shared" si="12"/>
        <v>0.25</v>
      </c>
      <c r="D68" s="49">
        <f t="shared" si="12"/>
        <v>0.02</v>
      </c>
      <c r="E68" s="49">
        <f>MAX(C68:D68)</f>
        <v>0.25</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0.01</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0.11</v>
      </c>
      <c r="D70" s="49">
        <f>IF(($E64&gt;0),D64,D63)</f>
        <v>0.01</v>
      </c>
      <c r="E70" s="56">
        <f>MAX(C70:D70)</f>
        <v>0.11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Mecosta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2966</v>
      </c>
      <c r="D6" s="34"/>
      <c r="E6" s="33">
        <f>'Data Entry'!F6</f>
        <v>20</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v>
      </c>
      <c r="D7" s="34">
        <f>IF((AND(C66&gt;0,C7&gt;0)),(C7/C66),0)</f>
        <v>1.0114632501685772</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20</v>
      </c>
      <c r="P7" s="42">
        <f t="shared" ref="P7:P15" si="4">C7</f>
        <v>3</v>
      </c>
      <c r="Q7" s="42">
        <f>C6-C7</f>
        <v>2963</v>
      </c>
      <c r="R7" s="42">
        <f t="shared" ref="R7:R15" si="5">SUM(N7:Q7)</f>
        <v>2986</v>
      </c>
      <c r="S7" s="30">
        <f t="shared" ref="S7:S15" si="6">R7*((((N7*Q7)-(O7*P7))^2))</f>
        <v>10749600</v>
      </c>
      <c r="T7" s="30">
        <f t="shared" ref="T7:T15" si="7">(N7+O7)*(P7+Q7)*(N7+P7)*(O7+Q7)</f>
        <v>530854680</v>
      </c>
      <c r="U7" s="31">
        <f t="shared" ref="U7:U15" si="8">IF((S7&gt;0),S7/T7,"- -")</f>
        <v>2.0249609554162731E-2</v>
      </c>
    </row>
    <row r="8" spans="2:21" ht="18" customHeight="1" x14ac:dyDescent="0.25">
      <c r="B8" s="32" t="str">
        <f>'Data Entry'!A8</f>
        <v>3. Refer to Juvenile Court</v>
      </c>
      <c r="C8" s="33">
        <f>'Data Entry'!C8</f>
        <v>25</v>
      </c>
      <c r="D8" s="34">
        <f>IF((AND(C67&gt;0,C8&gt;0)),(C8/C67),0)</f>
        <v>833.33333333333337</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25</v>
      </c>
      <c r="Q8" s="42">
        <f>(C$67*L67)-C8</f>
        <v>-22</v>
      </c>
      <c r="R8" s="42">
        <f t="shared" si="5"/>
        <v>3.0500000000000007</v>
      </c>
      <c r="S8" s="30">
        <f t="shared" si="6"/>
        <v>4.7656250000000009</v>
      </c>
      <c r="T8" s="30">
        <f t="shared" si="7"/>
        <v>-82.3125</v>
      </c>
      <c r="U8" s="31">
        <f t="shared" si="8"/>
        <v>-5.7896735003796516E-2</v>
      </c>
    </row>
    <row r="9" spans="2:21" ht="18" customHeight="1" x14ac:dyDescent="0.25">
      <c r="B9" s="32" t="str">
        <f>'Data Entry'!A9</f>
        <v xml:space="preserve">4. Cases Diverted </v>
      </c>
      <c r="C9" s="33">
        <f>'Data Entry'!C9</f>
        <v>6</v>
      </c>
      <c r="D9" s="34">
        <f>IF((AND(C68&gt;0,C9&gt;0)),((C9/C68)),0)</f>
        <v>24</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6</v>
      </c>
      <c r="Q9" s="42">
        <f>(C$68*L68)-C9</f>
        <v>19</v>
      </c>
      <c r="R9" s="42">
        <f t="shared" si="5"/>
        <v>25</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25</v>
      </c>
      <c r="R10" s="42">
        <f t="shared" si="5"/>
        <v>25</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16</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21</v>
      </c>
      <c r="R11" s="42">
        <f t="shared" si="5"/>
        <v>25</v>
      </c>
      <c r="S11" s="30">
        <f t="shared" si="6"/>
        <v>0</v>
      </c>
      <c r="T11" s="30">
        <f t="shared" si="7"/>
        <v>0</v>
      </c>
      <c r="U11" s="31" t="str">
        <f t="shared" si="8"/>
        <v>- -</v>
      </c>
    </row>
    <row r="12" spans="2:21" ht="18" customHeight="1" x14ac:dyDescent="0.25">
      <c r="B12" s="32" t="str">
        <f>'Data Entry'!A12</f>
        <v>7. Cases Resulting in Delinquent Findings</v>
      </c>
      <c r="C12" s="33">
        <f>'Data Entry'!C12</f>
        <v>11</v>
      </c>
      <c r="D12" s="34">
        <f>IF(((AND(C69&gt;0,C12&gt;0))),(C12/(C69)),0)</f>
        <v>275</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11</v>
      </c>
      <c r="Q12" s="42">
        <f>(C69*L69)-C12</f>
        <v>-7</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23</v>
      </c>
      <c r="D13" s="34">
        <f>IF(((AND(C70&gt;0,C13&gt;0))),(C13/(C70)),0)</f>
        <v>209.09090909090909</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23</v>
      </c>
      <c r="Q13" s="42">
        <f>(C70*L70)-C13</f>
        <v>-12</v>
      </c>
      <c r="R13" s="42">
        <f t="shared" si="5"/>
        <v>11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6</v>
      </c>
      <c r="D14" s="34">
        <f>IF(((AND(C70&gt;0,C14&gt;0))), ((C14/(C70))),0)</f>
        <v>54.545454545454547</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v>
      </c>
      <c r="Q14" s="42">
        <f>(C70*L70)-C14</f>
        <v>5</v>
      </c>
      <c r="R14" s="42">
        <f t="shared" si="5"/>
        <v>11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2.9660000000000002</v>
      </c>
      <c r="D42" s="56">
        <f>E6/1000</f>
        <v>0.02</v>
      </c>
      <c r="E42" s="56">
        <f>MAX(C42:D42)</f>
        <v>2.9660000000000002</v>
      </c>
      <c r="G42" s="1" t="str">
        <f>B42</f>
        <v>per 1000 youth</v>
      </c>
      <c r="L42" s="57">
        <v>1000</v>
      </c>
      <c r="M42" s="57"/>
      <c r="R42" s="49"/>
    </row>
    <row r="43" spans="2:18" ht="15" hidden="1" customHeight="1" x14ac:dyDescent="0.25">
      <c r="B43" s="49" t="s">
        <v>87</v>
      </c>
      <c r="C43" s="56">
        <f>C7/100</f>
        <v>0.03</v>
      </c>
      <c r="D43" s="56">
        <f>E7/100</f>
        <v>0</v>
      </c>
      <c r="E43" s="56">
        <f>MAX(C43:D43,0)</f>
        <v>0.03</v>
      </c>
      <c r="G43" s="1" t="str">
        <f>B43</f>
        <v>per 100 arrests</v>
      </c>
      <c r="L43" s="57">
        <v>100</v>
      </c>
      <c r="M43" s="57"/>
      <c r="R43" s="49"/>
    </row>
    <row r="44" spans="2:18" ht="15" hidden="1" customHeight="1" x14ac:dyDescent="0.25">
      <c r="B44" s="49" t="s">
        <v>88</v>
      </c>
      <c r="C44" s="56">
        <f>C8/100</f>
        <v>0.25</v>
      </c>
      <c r="D44" s="56">
        <f>E8/100</f>
        <v>0</v>
      </c>
      <c r="E44" s="56">
        <f>MAX(C44:D44,0)</f>
        <v>0.25</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0.11</v>
      </c>
      <c r="D46" s="49">
        <f>E12/100</f>
        <v>0</v>
      </c>
      <c r="E46" s="56">
        <f>MAX(C46:D46)</f>
        <v>0.11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2.9660000000000002</v>
      </c>
      <c r="D48" s="56">
        <f>D42</f>
        <v>0.02</v>
      </c>
      <c r="E48" s="56">
        <f>MAX(C48:D48)</f>
        <v>2.9660000000000002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0.25</v>
      </c>
      <c r="D50" s="49">
        <f t="shared" si="9"/>
        <v>0</v>
      </c>
      <c r="E50" s="49">
        <f>MAX(C50:D50)</f>
        <v>0.25</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0.11</v>
      </c>
      <c r="D52" s="49">
        <f>IF(($E46&gt;0),D46,D45)</f>
        <v>0</v>
      </c>
      <c r="E52" s="56">
        <f>MAX(C52:D52)</f>
        <v>0.11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2.9660000000000002</v>
      </c>
      <c r="D54" s="56">
        <f>D48</f>
        <v>0.02</v>
      </c>
      <c r="E54" s="56">
        <f>MAX(C54:D54)</f>
        <v>2.9660000000000002</v>
      </c>
      <c r="G54" s="1" t="str">
        <f>G48</f>
        <v>per 1000 youth</v>
      </c>
      <c r="L54" s="58">
        <f>L48</f>
        <v>1000</v>
      </c>
      <c r="M54" s="58"/>
    </row>
    <row r="55" spans="2:18" ht="15" hidden="1" customHeight="1" x14ac:dyDescent="0.25">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x14ac:dyDescent="0.25">
      <c r="B56" s="49" t="str">
        <f t="shared" si="10"/>
        <v>per 100 referrals</v>
      </c>
      <c r="C56" s="49">
        <f t="shared" si="10"/>
        <v>0.25</v>
      </c>
      <c r="D56" s="49">
        <f t="shared" si="10"/>
        <v>0</v>
      </c>
      <c r="E56" s="49">
        <f>MAX(C56:D56)</f>
        <v>0.25</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0.11</v>
      </c>
      <c r="D58" s="49">
        <f>IF(($E52&gt;0),D52,D51)</f>
        <v>0</v>
      </c>
      <c r="E58" s="56">
        <f>MAX(C58:D58)</f>
        <v>0.11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2.9660000000000002</v>
      </c>
      <c r="D60" s="56">
        <f>D54</f>
        <v>0.02</v>
      </c>
      <c r="E60" s="56">
        <f>MAX(C60:D60)</f>
        <v>2.9660000000000002</v>
      </c>
      <c r="G60" s="1" t="str">
        <f>G54</f>
        <v>per 1000 youth</v>
      </c>
      <c r="L60" s="58">
        <f>L54</f>
        <v>1000</v>
      </c>
      <c r="M60" s="58"/>
    </row>
    <row r="61" spans="2:18" ht="15" hidden="1" customHeight="1" x14ac:dyDescent="0.25">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x14ac:dyDescent="0.25">
      <c r="B62" s="49" t="str">
        <f t="shared" si="11"/>
        <v>per 100 referrals</v>
      </c>
      <c r="C62" s="49">
        <f t="shared" si="11"/>
        <v>0.25</v>
      </c>
      <c r="D62" s="49">
        <f t="shared" si="11"/>
        <v>0</v>
      </c>
      <c r="E62" s="49">
        <f>MAX(C62:D62)</f>
        <v>0.25</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0.11</v>
      </c>
      <c r="D64" s="49">
        <f>IF(($E58&gt;0),D58,D57)</f>
        <v>0</v>
      </c>
      <c r="E64" s="56">
        <f>MAX(C64:D64)</f>
        <v>0.11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2.9660000000000002</v>
      </c>
      <c r="D66" s="56">
        <f>D60</f>
        <v>0.02</v>
      </c>
      <c r="E66" s="56">
        <f>MAX(C66:D66)</f>
        <v>2.9660000000000002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x14ac:dyDescent="0.25">
      <c r="B68" s="49" t="str">
        <f t="shared" si="12"/>
        <v>per 100 referrals</v>
      </c>
      <c r="C68" s="49">
        <f t="shared" si="12"/>
        <v>0.25</v>
      </c>
      <c r="D68" s="49">
        <f t="shared" si="12"/>
        <v>0</v>
      </c>
      <c r="E68" s="49">
        <f>MAX(C68:D68)</f>
        <v>0.25</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0.11</v>
      </c>
      <c r="D70" s="49">
        <f>IF(($E64&gt;0),D64,D63)</f>
        <v>0</v>
      </c>
      <c r="E70" s="56">
        <f>MAX(C70:D70)</f>
        <v>0.11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Mecosta</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2966</v>
      </c>
      <c r="D6" s="34"/>
      <c r="E6" s="33">
        <f>'Data Entry'!E6</f>
        <v>117</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v>
      </c>
      <c r="D7" s="34">
        <f>IF((AND(C66&gt;0,C7&gt;0)),(C7/C66),0)</f>
        <v>1.0114632501685772</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117</v>
      </c>
      <c r="P7" s="42">
        <f t="shared" ref="P7:P15" si="4">C7</f>
        <v>3</v>
      </c>
      <c r="Q7" s="42">
        <f>C6-C7</f>
        <v>2963</v>
      </c>
      <c r="R7" s="42">
        <f t="shared" ref="R7:R15" si="5">SUM(N7:Q7)</f>
        <v>3083</v>
      </c>
      <c r="S7" s="30">
        <f t="shared" ref="S7:S15" si="6">R7*((((N7*Q7)-(O7*P7))^2))</f>
        <v>379828683</v>
      </c>
      <c r="T7" s="30">
        <f t="shared" ref="T7:T15" si="7">(N7+O7)*(P7+Q7)*(N7+P7)*(O7+Q7)</f>
        <v>3206483280</v>
      </c>
      <c r="U7" s="31">
        <f t="shared" ref="U7:U15" si="8">IF((S7&gt;0),S7/T7,"- -")</f>
        <v>0.11845646767258365</v>
      </c>
    </row>
    <row r="8" spans="2:21" ht="18" customHeight="1" x14ac:dyDescent="0.25">
      <c r="B8" s="32" t="str">
        <f>'Data Entry'!A8</f>
        <v>3. Refer to Juvenile Court</v>
      </c>
      <c r="C8" s="33">
        <f>'Data Entry'!C8</f>
        <v>25</v>
      </c>
      <c r="D8" s="34">
        <f>IF((AND(C67&gt;0,C8&gt;0)),(C8/C67),0)</f>
        <v>833.33333333333337</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25</v>
      </c>
      <c r="Q8" s="42">
        <f>(C$67*L67)-C8</f>
        <v>-22</v>
      </c>
      <c r="R8" s="42">
        <f t="shared" si="5"/>
        <v>3.0500000000000007</v>
      </c>
      <c r="S8" s="30">
        <f t="shared" si="6"/>
        <v>4.7656250000000009</v>
      </c>
      <c r="T8" s="30">
        <f t="shared" si="7"/>
        <v>-82.3125</v>
      </c>
      <c r="U8" s="31">
        <f t="shared" si="8"/>
        <v>-5.7896735003796516E-2</v>
      </c>
    </row>
    <row r="9" spans="2:21" ht="18" customHeight="1" x14ac:dyDescent="0.25">
      <c r="B9" s="32" t="str">
        <f>'Data Entry'!A9</f>
        <v xml:space="preserve">4. Cases Diverted </v>
      </c>
      <c r="C9" s="33">
        <f>'Data Entry'!C9</f>
        <v>6</v>
      </c>
      <c r="D9" s="34">
        <f>IF((AND(C68&gt;0,C9&gt;0)),((C9/C68)),0)</f>
        <v>24</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6</v>
      </c>
      <c r="Q9" s="42">
        <f>(C$68*L68)-C9</f>
        <v>19</v>
      </c>
      <c r="R9" s="42">
        <f t="shared" si="5"/>
        <v>25</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25</v>
      </c>
      <c r="R10" s="42">
        <f t="shared" si="5"/>
        <v>25</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16</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21</v>
      </c>
      <c r="R11" s="42">
        <f t="shared" si="5"/>
        <v>25</v>
      </c>
      <c r="S11" s="30">
        <f t="shared" si="6"/>
        <v>0</v>
      </c>
      <c r="T11" s="30">
        <f t="shared" si="7"/>
        <v>0</v>
      </c>
      <c r="U11" s="31" t="str">
        <f t="shared" si="8"/>
        <v>- -</v>
      </c>
    </row>
    <row r="12" spans="2:21" ht="18" customHeight="1" x14ac:dyDescent="0.25">
      <c r="B12" s="32" t="str">
        <f>'Data Entry'!A12</f>
        <v>7. Cases Resulting in Delinquent Findings</v>
      </c>
      <c r="C12" s="33">
        <f>'Data Entry'!C12</f>
        <v>11</v>
      </c>
      <c r="D12" s="34">
        <f>IF(((AND(C69&gt;0,C12&gt;0))),(C12/(C69)),0)</f>
        <v>275</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11</v>
      </c>
      <c r="Q12" s="42">
        <f>(C69*L69)-C12</f>
        <v>-7</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23</v>
      </c>
      <c r="D13" s="34">
        <f>IF(((AND(C70&gt;0,C13&gt;0))),(C13/(C70)),0)</f>
        <v>209.09090909090909</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23</v>
      </c>
      <c r="Q13" s="42">
        <f>(C70*L70)-C13</f>
        <v>-12</v>
      </c>
      <c r="R13" s="42">
        <f t="shared" si="5"/>
        <v>11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6</v>
      </c>
      <c r="D14" s="34">
        <f>IF(((AND(C70&gt;0,C14&gt;0))), ((C14/(C70))),0)</f>
        <v>54.545454545454547</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v>
      </c>
      <c r="Q14" s="42">
        <f>(C70*L70)-C14</f>
        <v>5</v>
      </c>
      <c r="R14" s="42">
        <f t="shared" si="5"/>
        <v>11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2.9660000000000002</v>
      </c>
      <c r="D42" s="56">
        <f>E6/1000</f>
        <v>0.11700000000000001</v>
      </c>
      <c r="E42" s="56">
        <f>MAX(C42:D42)</f>
        <v>2.9660000000000002</v>
      </c>
      <c r="G42" s="1" t="str">
        <f>B42</f>
        <v>per 1000 youth</v>
      </c>
      <c r="L42" s="57">
        <v>1000</v>
      </c>
      <c r="M42" s="57"/>
      <c r="R42" s="49"/>
    </row>
    <row r="43" spans="2:18" ht="15" hidden="1" customHeight="1" x14ac:dyDescent="0.25">
      <c r="B43" s="49" t="s">
        <v>87</v>
      </c>
      <c r="C43" s="56">
        <f>C7/100</f>
        <v>0.03</v>
      </c>
      <c r="D43" s="56">
        <f>E7/100</f>
        <v>0</v>
      </c>
      <c r="E43" s="56">
        <f>MAX(C43:D43,0)</f>
        <v>0.03</v>
      </c>
      <c r="G43" s="1" t="str">
        <f>B43</f>
        <v>per 100 arrests</v>
      </c>
      <c r="L43" s="57">
        <v>100</v>
      </c>
      <c r="M43" s="57"/>
      <c r="R43" s="49"/>
    </row>
    <row r="44" spans="2:18" ht="15" hidden="1" customHeight="1" x14ac:dyDescent="0.25">
      <c r="B44" s="49" t="s">
        <v>88</v>
      </c>
      <c r="C44" s="56">
        <f>C8/100</f>
        <v>0.25</v>
      </c>
      <c r="D44" s="56">
        <f>E8/100</f>
        <v>0</v>
      </c>
      <c r="E44" s="56">
        <f>MAX(C44:D44,0)</f>
        <v>0.25</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0.11</v>
      </c>
      <c r="D46" s="49">
        <f>E12/100</f>
        <v>0</v>
      </c>
      <c r="E46" s="56">
        <f>MAX(C46:D46)</f>
        <v>0.11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2.9660000000000002</v>
      </c>
      <c r="D48" s="56">
        <f>D42</f>
        <v>0.11700000000000001</v>
      </c>
      <c r="E48" s="56">
        <f>MAX(C48:D48)</f>
        <v>2.9660000000000002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0.25</v>
      </c>
      <c r="D50" s="49">
        <f t="shared" si="9"/>
        <v>0</v>
      </c>
      <c r="E50" s="49">
        <f>MAX(C50:D50)</f>
        <v>0.25</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0.11</v>
      </c>
      <c r="D52" s="49">
        <f>IF(($E46&gt;0),D46,D45)</f>
        <v>0</v>
      </c>
      <c r="E52" s="56">
        <f>MAX(C52:D52)</f>
        <v>0.11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2.9660000000000002</v>
      </c>
      <c r="D54" s="56">
        <f>D48</f>
        <v>0.11700000000000001</v>
      </c>
      <c r="E54" s="56">
        <f>MAX(C54:D54)</f>
        <v>2.9660000000000002</v>
      </c>
      <c r="G54" s="1" t="str">
        <f>G48</f>
        <v>per 1000 youth</v>
      </c>
      <c r="L54" s="58">
        <f>L48</f>
        <v>1000</v>
      </c>
      <c r="M54" s="58"/>
    </row>
    <row r="55" spans="2:18" ht="15" hidden="1" customHeight="1" x14ac:dyDescent="0.25">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x14ac:dyDescent="0.25">
      <c r="B56" s="49" t="str">
        <f t="shared" si="10"/>
        <v>per 100 referrals</v>
      </c>
      <c r="C56" s="49">
        <f t="shared" si="10"/>
        <v>0.25</v>
      </c>
      <c r="D56" s="49">
        <f t="shared" si="10"/>
        <v>0</v>
      </c>
      <c r="E56" s="49">
        <f>MAX(C56:D56)</f>
        <v>0.25</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0.11</v>
      </c>
      <c r="D58" s="49">
        <f>IF(($E52&gt;0),D52,D51)</f>
        <v>0</v>
      </c>
      <c r="E58" s="56">
        <f>MAX(C58:D58)</f>
        <v>0.11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2.9660000000000002</v>
      </c>
      <c r="D60" s="56">
        <f>D54</f>
        <v>0.11700000000000001</v>
      </c>
      <c r="E60" s="56">
        <f>MAX(C60:D60)</f>
        <v>2.9660000000000002</v>
      </c>
      <c r="G60" s="1" t="str">
        <f>G54</f>
        <v>per 1000 youth</v>
      </c>
      <c r="L60" s="58">
        <f>L54</f>
        <v>1000</v>
      </c>
      <c r="M60" s="58"/>
    </row>
    <row r="61" spans="2:18" ht="15" hidden="1" customHeight="1" x14ac:dyDescent="0.25">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x14ac:dyDescent="0.25">
      <c r="B62" s="49" t="str">
        <f t="shared" si="11"/>
        <v>per 100 referrals</v>
      </c>
      <c r="C62" s="49">
        <f t="shared" si="11"/>
        <v>0.25</v>
      </c>
      <c r="D62" s="49">
        <f t="shared" si="11"/>
        <v>0</v>
      </c>
      <c r="E62" s="49">
        <f>MAX(C62:D62)</f>
        <v>0.25</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0.11</v>
      </c>
      <c r="D64" s="49">
        <f>IF(($E58&gt;0),D58,D57)</f>
        <v>0</v>
      </c>
      <c r="E64" s="56">
        <f>MAX(C64:D64)</f>
        <v>0.11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2.9660000000000002</v>
      </c>
      <c r="D66" s="56">
        <f>D60</f>
        <v>0.11700000000000001</v>
      </c>
      <c r="E66" s="56">
        <f>MAX(C66:D66)</f>
        <v>2.9660000000000002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x14ac:dyDescent="0.25">
      <c r="B68" s="49" t="str">
        <f t="shared" si="12"/>
        <v>per 100 referrals</v>
      </c>
      <c r="C68" s="49">
        <f t="shared" si="12"/>
        <v>0.25</v>
      </c>
      <c r="D68" s="49">
        <f t="shared" si="12"/>
        <v>0</v>
      </c>
      <c r="E68" s="49">
        <f>MAX(C68:D68)</f>
        <v>0.25</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0.11</v>
      </c>
      <c r="D70" s="49">
        <f>IF(($E64&gt;0),D64,D63)</f>
        <v>0</v>
      </c>
      <c r="E70" s="56">
        <f>MAX(C70:D70)</f>
        <v>0.11</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Mecosta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2966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v>
      </c>
      <c r="D7" s="34">
        <f>IF((AND(C66&gt;0,C7&gt;0)),(C7/C66),0)</f>
        <v>1.0114632501685772</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v>
      </c>
      <c r="Q7" s="42">
        <f>C6-C7</f>
        <v>2963</v>
      </c>
      <c r="R7" s="42">
        <f t="shared" ref="R7:R15" si="5">SUM(N7:Q7)</f>
        <v>2966</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25</v>
      </c>
      <c r="D8" s="34">
        <f>IF((AND(C67&gt;0,C8&gt;0)),(C8/C67),0)</f>
        <v>833.33333333333337</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25</v>
      </c>
      <c r="Q8" s="42">
        <f>(C$67*L67)-C8</f>
        <v>-22</v>
      </c>
      <c r="R8" s="42">
        <f t="shared" si="5"/>
        <v>3.0500000000000007</v>
      </c>
      <c r="S8" s="30">
        <f t="shared" si="6"/>
        <v>4.7656250000000009</v>
      </c>
      <c r="T8" s="30">
        <f t="shared" si="7"/>
        <v>-82.3125</v>
      </c>
      <c r="U8" s="31">
        <f t="shared" si="8"/>
        <v>-5.7896735003796516E-2</v>
      </c>
    </row>
    <row r="9" spans="2:21" ht="18" customHeight="1" x14ac:dyDescent="0.25">
      <c r="B9" s="32" t="str">
        <f>'Data Entry'!A9</f>
        <v xml:space="preserve">4. Cases Diverted </v>
      </c>
      <c r="C9" s="33">
        <f>'Data Entry'!C9</f>
        <v>6</v>
      </c>
      <c r="D9" s="34">
        <f>IF((AND(C68&gt;0,C9&gt;0)),((C9/C68)),0)</f>
        <v>24</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6</v>
      </c>
      <c r="Q9" s="42">
        <f>(C$68*L68)-C9</f>
        <v>19</v>
      </c>
      <c r="R9" s="42">
        <f t="shared" si="5"/>
        <v>25</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25</v>
      </c>
      <c r="R10" s="42">
        <f t="shared" si="5"/>
        <v>25</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16</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21</v>
      </c>
      <c r="R11" s="42">
        <f t="shared" si="5"/>
        <v>25</v>
      </c>
      <c r="S11" s="30">
        <f t="shared" si="6"/>
        <v>0</v>
      </c>
      <c r="T11" s="30">
        <f t="shared" si="7"/>
        <v>0</v>
      </c>
      <c r="U11" s="31" t="str">
        <f t="shared" si="8"/>
        <v>- -</v>
      </c>
    </row>
    <row r="12" spans="2:21" ht="18" customHeight="1" x14ac:dyDescent="0.25">
      <c r="B12" s="32" t="str">
        <f>'Data Entry'!A12</f>
        <v>7. Cases Resulting in Delinquent Findings</v>
      </c>
      <c r="C12" s="33">
        <f>'Data Entry'!C12</f>
        <v>11</v>
      </c>
      <c r="D12" s="34">
        <f>IF(((AND(C69&gt;0,C12&gt;0))),(C12/(C69)),0)</f>
        <v>275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11</v>
      </c>
      <c r="Q12" s="42">
        <f>(C69*L69)-C12</f>
        <v>-7</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23</v>
      </c>
      <c r="D13" s="34">
        <f>IF(((AND(C70&gt;0,C13&gt;0))),(C13/(C70)),0)</f>
        <v>209.09090909090909</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23</v>
      </c>
      <c r="Q13" s="42">
        <f>(C70*L70)-C13</f>
        <v>-12</v>
      </c>
      <c r="R13" s="42">
        <f t="shared" si="5"/>
        <v>11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6</v>
      </c>
      <c r="D14" s="34">
        <f>IF(((AND(C70&gt;0,C14&gt;0))), ((C14/(C70))),0)</f>
        <v>54.545454545454547</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v>
      </c>
      <c r="Q14" s="42">
        <f>(C70*L70)-C14</f>
        <v>5</v>
      </c>
      <c r="R14" s="42">
        <f t="shared" si="5"/>
        <v>11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2.9660000000000002</v>
      </c>
      <c r="D42" s="56">
        <f>E6/1000</f>
        <v>0</v>
      </c>
      <c r="E42" s="56">
        <f>MAX(C42:D42)</f>
        <v>2.9660000000000002</v>
      </c>
      <c r="G42" s="1" t="str">
        <f>B42</f>
        <v>per 1000 youth</v>
      </c>
      <c r="L42" s="57">
        <v>1000</v>
      </c>
      <c r="M42" s="57"/>
      <c r="R42" s="49"/>
    </row>
    <row r="43" spans="2:18" ht="15" hidden="1" customHeight="1" x14ac:dyDescent="0.25">
      <c r="B43" s="49" t="s">
        <v>87</v>
      </c>
      <c r="C43" s="56">
        <f>C7/100</f>
        <v>0.03</v>
      </c>
      <c r="D43" s="56">
        <f>E7/100</f>
        <v>0</v>
      </c>
      <c r="E43" s="56">
        <f>MAX(C43:D43,0)</f>
        <v>0.03</v>
      </c>
      <c r="G43" s="1" t="str">
        <f>B43</f>
        <v>per 100 arrests</v>
      </c>
      <c r="L43" s="57">
        <v>100</v>
      </c>
      <c r="M43" s="57"/>
      <c r="R43" s="49"/>
    </row>
    <row r="44" spans="2:18" ht="15" hidden="1" customHeight="1" x14ac:dyDescent="0.25">
      <c r="B44" s="49" t="s">
        <v>88</v>
      </c>
      <c r="C44" s="56">
        <f>C8/100</f>
        <v>0.25</v>
      </c>
      <c r="D44" s="56">
        <f>E8/100</f>
        <v>0</v>
      </c>
      <c r="E44" s="56">
        <f>MAX(C44:D44,0)</f>
        <v>0.25</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0.11</v>
      </c>
      <c r="D46" s="49">
        <f>E12/100</f>
        <v>0</v>
      </c>
      <c r="E46" s="56">
        <f>MAX(C46:D46)</f>
        <v>0.11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2.9660000000000002</v>
      </c>
      <c r="D48" s="56">
        <f>D42</f>
        <v>0</v>
      </c>
      <c r="E48" s="56">
        <f>MAX(C48:D48)</f>
        <v>2.9660000000000002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0.25</v>
      </c>
      <c r="D50" s="49">
        <f t="shared" si="9"/>
        <v>0</v>
      </c>
      <c r="E50" s="49">
        <f>MAX(C50:D50)</f>
        <v>0.25</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0.11</v>
      </c>
      <c r="D52" s="49">
        <f>IF(($E46&gt;0),D46,D45)</f>
        <v>0</v>
      </c>
      <c r="E52" s="56">
        <f>MAX(C52:D52)</f>
        <v>0.11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2.9660000000000002</v>
      </c>
      <c r="D54" s="56">
        <f>D48</f>
        <v>0</v>
      </c>
      <c r="E54" s="56">
        <f>MAX(C54:D54)</f>
        <v>2.9660000000000002</v>
      </c>
      <c r="G54" s="1" t="str">
        <f>G48</f>
        <v>per 1000 youth</v>
      </c>
      <c r="L54" s="58">
        <f>L48</f>
        <v>1000</v>
      </c>
      <c r="M54" s="58"/>
    </row>
    <row r="55" spans="2:18" ht="15" hidden="1" customHeight="1" x14ac:dyDescent="0.25">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x14ac:dyDescent="0.25">
      <c r="B56" s="49" t="str">
        <f t="shared" si="10"/>
        <v>per 100 referrals</v>
      </c>
      <c r="C56" s="49">
        <f t="shared" si="10"/>
        <v>0.25</v>
      </c>
      <c r="D56" s="49">
        <f t="shared" si="10"/>
        <v>0</v>
      </c>
      <c r="E56" s="49">
        <f>MAX(C56:D56)</f>
        <v>0.25</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0.11</v>
      </c>
      <c r="D58" s="49">
        <f>IF(($E52&gt;0),D52,D51)</f>
        <v>0</v>
      </c>
      <c r="E58" s="56">
        <f>MAX(C58:D58)</f>
        <v>0.11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2.9660000000000002</v>
      </c>
      <c r="D60" s="56">
        <f>D54</f>
        <v>0</v>
      </c>
      <c r="E60" s="56">
        <f>MAX(C60:D60)</f>
        <v>2.9660000000000002</v>
      </c>
      <c r="G60" s="1" t="str">
        <f>G54</f>
        <v>per 1000 youth</v>
      </c>
      <c r="L60" s="58">
        <f>L54</f>
        <v>1000</v>
      </c>
      <c r="M60" s="58"/>
    </row>
    <row r="61" spans="2:18" ht="15" hidden="1" customHeight="1" x14ac:dyDescent="0.25">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x14ac:dyDescent="0.25">
      <c r="B62" s="49" t="str">
        <f t="shared" si="11"/>
        <v>per 100 referrals</v>
      </c>
      <c r="C62" s="49">
        <f t="shared" si="11"/>
        <v>0.25</v>
      </c>
      <c r="D62" s="49">
        <f t="shared" si="11"/>
        <v>0</v>
      </c>
      <c r="E62" s="49">
        <f>MAX(C62:D62)</f>
        <v>0.25</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0.11</v>
      </c>
      <c r="D64" s="49">
        <f>IF(($E58&gt;0),D58,D57)</f>
        <v>0</v>
      </c>
      <c r="E64" s="56">
        <f>MAX(C64:D64)</f>
        <v>0.11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2.9660000000000002</v>
      </c>
      <c r="D66" s="56">
        <f>D60</f>
        <v>0</v>
      </c>
      <c r="E66" s="56">
        <f>MAX(C66:D66)</f>
        <v>2.9660000000000002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x14ac:dyDescent="0.25">
      <c r="B68" s="49" t="str">
        <f t="shared" si="12"/>
        <v>per 100 referrals</v>
      </c>
      <c r="C68" s="49">
        <f t="shared" si="12"/>
        <v>0.25</v>
      </c>
      <c r="D68" s="49">
        <f t="shared" si="12"/>
        <v>0</v>
      </c>
      <c r="E68" s="49">
        <f>MAX(C68:D68)</f>
        <v>0.25</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0.11</v>
      </c>
      <c r="D70" s="49">
        <f>IF(($E64&gt;0),D64,D63)</f>
        <v>0</v>
      </c>
      <c r="E70" s="56">
        <f>MAX(C70:D70)</f>
        <v>0.11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Mecosta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2966</v>
      </c>
      <c r="D6" s="34"/>
      <c r="E6" s="33">
        <f>'Data Entry'!H6</f>
        <v>35</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v>
      </c>
      <c r="D7" s="34">
        <f>IF((AND(C66&gt;0,C7&gt;0)),(C7/C66),0)</f>
        <v>1.0114632501685772</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35</v>
      </c>
      <c r="P7" s="42">
        <f t="shared" ref="P7:P15" si="4">C7</f>
        <v>3</v>
      </c>
      <c r="Q7" s="42">
        <f>C6-C7</f>
        <v>2963</v>
      </c>
      <c r="R7" s="42">
        <f t="shared" ref="R7:R15" si="5">SUM(N7:Q7)</f>
        <v>3001</v>
      </c>
      <c r="S7" s="30">
        <f t="shared" ref="S7:S15" si="6">R7*((((N7*Q7)-(O7*P7))^2))</f>
        <v>33086025</v>
      </c>
      <c r="T7" s="30">
        <f t="shared" ref="T7:T15" si="7">(N7+O7)*(P7+Q7)*(N7+P7)*(O7+Q7)</f>
        <v>933667140</v>
      </c>
      <c r="U7" s="31">
        <f t="shared" ref="U7:U15" si="8">IF((S7&gt;0),S7/T7,"- -")</f>
        <v>3.5436638586209643E-2</v>
      </c>
    </row>
    <row r="8" spans="2:21" ht="18" customHeight="1" x14ac:dyDescent="0.25">
      <c r="B8" s="32" t="str">
        <f>'Data Entry'!A8</f>
        <v>3. Refer to Juvenile Court</v>
      </c>
      <c r="C8" s="33">
        <f>'Data Entry'!C8</f>
        <v>25</v>
      </c>
      <c r="D8" s="34">
        <f>IF((AND(C67&gt;0,C8&gt;0)),(C8/C67),0)</f>
        <v>833.33333333333337</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25</v>
      </c>
      <c r="Q8" s="42">
        <f>(C$67*L67)-C8</f>
        <v>-22</v>
      </c>
      <c r="R8" s="42">
        <f t="shared" si="5"/>
        <v>3.0500000000000007</v>
      </c>
      <c r="S8" s="30">
        <f t="shared" si="6"/>
        <v>4.7656250000000009</v>
      </c>
      <c r="T8" s="30">
        <f t="shared" si="7"/>
        <v>-82.3125</v>
      </c>
      <c r="U8" s="31">
        <f t="shared" si="8"/>
        <v>-5.7896735003796516E-2</v>
      </c>
    </row>
    <row r="9" spans="2:21" ht="18" customHeight="1" x14ac:dyDescent="0.25">
      <c r="B9" s="32" t="str">
        <f>'Data Entry'!A9</f>
        <v xml:space="preserve">4. Cases Diverted </v>
      </c>
      <c r="C9" s="33">
        <f>'Data Entry'!C9</f>
        <v>6</v>
      </c>
      <c r="D9" s="34">
        <f>IF((AND(C68&gt;0,C9&gt;0)),((C9/C68)),0)</f>
        <v>24</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6</v>
      </c>
      <c r="Q9" s="42">
        <f>(C$68*L68)-C9</f>
        <v>19</v>
      </c>
      <c r="R9" s="42">
        <f t="shared" si="5"/>
        <v>25</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25</v>
      </c>
      <c r="R10" s="42">
        <f t="shared" si="5"/>
        <v>25</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16</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21</v>
      </c>
      <c r="R11" s="42">
        <f t="shared" si="5"/>
        <v>25</v>
      </c>
      <c r="S11" s="30">
        <f t="shared" si="6"/>
        <v>0</v>
      </c>
      <c r="T11" s="30">
        <f t="shared" si="7"/>
        <v>0</v>
      </c>
      <c r="U11" s="31" t="str">
        <f t="shared" si="8"/>
        <v>- -</v>
      </c>
    </row>
    <row r="12" spans="2:21" ht="18" customHeight="1" x14ac:dyDescent="0.25">
      <c r="B12" s="32" t="str">
        <f>'Data Entry'!A12</f>
        <v>7. Cases Resulting in Delinquent Findings</v>
      </c>
      <c r="C12" s="33">
        <f>'Data Entry'!C12</f>
        <v>11</v>
      </c>
      <c r="D12" s="34">
        <f>IF(((AND(C69&gt;0,C12&gt;0))),(C12/(C69)),0)</f>
        <v>275</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11</v>
      </c>
      <c r="Q12" s="42">
        <f>(C69*L69)-C12</f>
        <v>-7</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23</v>
      </c>
      <c r="D13" s="34">
        <f>IF(((AND(C70&gt;0,C13&gt;0))),(C13/(C70)),0)</f>
        <v>209.09090909090909</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23</v>
      </c>
      <c r="Q13" s="42">
        <f>(C70*L70)-C13</f>
        <v>-12</v>
      </c>
      <c r="R13" s="42">
        <f t="shared" si="5"/>
        <v>11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6</v>
      </c>
      <c r="D14" s="34">
        <f>IF(((AND(C70&gt;0,C14&gt;0))), ((C14/(C70))),0)</f>
        <v>54.545454545454547</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v>
      </c>
      <c r="Q14" s="42">
        <f>(C70*L70)-C14</f>
        <v>5</v>
      </c>
      <c r="R14" s="42">
        <f t="shared" si="5"/>
        <v>11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2.9660000000000002</v>
      </c>
      <c r="D42" s="56">
        <f>E6/1000</f>
        <v>3.5000000000000003E-2</v>
      </c>
      <c r="E42" s="56">
        <f>MAX(C42:D42)</f>
        <v>2.9660000000000002</v>
      </c>
      <c r="G42" s="1" t="str">
        <f>B42</f>
        <v>per 1000 youth</v>
      </c>
      <c r="L42" s="57">
        <v>1000</v>
      </c>
      <c r="M42" s="57"/>
      <c r="R42" s="49"/>
    </row>
    <row r="43" spans="2:18" ht="15" hidden="1" customHeight="1" x14ac:dyDescent="0.25">
      <c r="B43" s="49" t="s">
        <v>87</v>
      </c>
      <c r="C43" s="56">
        <f>C7/100</f>
        <v>0.03</v>
      </c>
      <c r="D43" s="56">
        <f>E7/100</f>
        <v>0</v>
      </c>
      <c r="E43" s="56">
        <f>MAX(C43:D43,0)</f>
        <v>0.03</v>
      </c>
      <c r="G43" s="1" t="str">
        <f>B43</f>
        <v>per 100 arrests</v>
      </c>
      <c r="L43" s="57">
        <v>100</v>
      </c>
      <c r="M43" s="57"/>
      <c r="R43" s="49"/>
    </row>
    <row r="44" spans="2:18" ht="15" hidden="1" customHeight="1" x14ac:dyDescent="0.25">
      <c r="B44" s="49" t="s">
        <v>88</v>
      </c>
      <c r="C44" s="56">
        <f>C8/100</f>
        <v>0.25</v>
      </c>
      <c r="D44" s="56">
        <f>E8/100</f>
        <v>0</v>
      </c>
      <c r="E44" s="56">
        <f>MAX(C44:D44,0)</f>
        <v>0.25</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0.11</v>
      </c>
      <c r="D46" s="49">
        <f>E12/100</f>
        <v>0</v>
      </c>
      <c r="E46" s="56">
        <f>MAX(C46:D46)</f>
        <v>0.11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2.9660000000000002</v>
      </c>
      <c r="D48" s="56">
        <f>D42</f>
        <v>3.5000000000000003E-2</v>
      </c>
      <c r="E48" s="56">
        <f>MAX(C48:D48)</f>
        <v>2.9660000000000002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0.25</v>
      </c>
      <c r="D50" s="49">
        <f t="shared" si="9"/>
        <v>0</v>
      </c>
      <c r="E50" s="49">
        <f>MAX(C50:D50)</f>
        <v>0.25</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0.11</v>
      </c>
      <c r="D52" s="49">
        <f>IF(($E46&gt;0),D46,D45)</f>
        <v>0</v>
      </c>
      <c r="E52" s="56">
        <f>MAX(C52:D52)</f>
        <v>0.11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2.9660000000000002</v>
      </c>
      <c r="D54" s="56">
        <f>D48</f>
        <v>3.5000000000000003E-2</v>
      </c>
      <c r="E54" s="56">
        <f>MAX(C54:D54)</f>
        <v>2.9660000000000002</v>
      </c>
      <c r="G54" s="1" t="str">
        <f>G48</f>
        <v>per 1000 youth</v>
      </c>
      <c r="L54" s="58">
        <f>L48</f>
        <v>1000</v>
      </c>
      <c r="M54" s="58"/>
    </row>
    <row r="55" spans="2:18" ht="15" hidden="1" customHeight="1" x14ac:dyDescent="0.25">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x14ac:dyDescent="0.25">
      <c r="B56" s="49" t="str">
        <f t="shared" si="10"/>
        <v>per 100 referrals</v>
      </c>
      <c r="C56" s="49">
        <f t="shared" si="10"/>
        <v>0.25</v>
      </c>
      <c r="D56" s="49">
        <f t="shared" si="10"/>
        <v>0</v>
      </c>
      <c r="E56" s="49">
        <f>MAX(C56:D56)</f>
        <v>0.25</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0.11</v>
      </c>
      <c r="D58" s="49">
        <f>IF(($E52&gt;0),D52,D51)</f>
        <v>0</v>
      </c>
      <c r="E58" s="56">
        <f>MAX(C58:D58)</f>
        <v>0.11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2.9660000000000002</v>
      </c>
      <c r="D60" s="56">
        <f>D54</f>
        <v>3.5000000000000003E-2</v>
      </c>
      <c r="E60" s="56">
        <f>MAX(C60:D60)</f>
        <v>2.9660000000000002</v>
      </c>
      <c r="G60" s="1" t="str">
        <f>G54</f>
        <v>per 1000 youth</v>
      </c>
      <c r="L60" s="58">
        <f>L54</f>
        <v>1000</v>
      </c>
      <c r="M60" s="58"/>
    </row>
    <row r="61" spans="2:18" ht="15" hidden="1" customHeight="1" x14ac:dyDescent="0.25">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x14ac:dyDescent="0.25">
      <c r="B62" s="49" t="str">
        <f t="shared" si="11"/>
        <v>per 100 referrals</v>
      </c>
      <c r="C62" s="49">
        <f t="shared" si="11"/>
        <v>0.25</v>
      </c>
      <c r="D62" s="49">
        <f t="shared" si="11"/>
        <v>0</v>
      </c>
      <c r="E62" s="49">
        <f>MAX(C62:D62)</f>
        <v>0.25</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0.11</v>
      </c>
      <c r="D64" s="49">
        <f>IF(($E58&gt;0),D58,D57)</f>
        <v>0</v>
      </c>
      <c r="E64" s="56">
        <f>MAX(C64:D64)</f>
        <v>0.11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2.9660000000000002</v>
      </c>
      <c r="D66" s="56">
        <f>D60</f>
        <v>3.5000000000000003E-2</v>
      </c>
      <c r="E66" s="56">
        <f>MAX(C66:D66)</f>
        <v>2.9660000000000002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x14ac:dyDescent="0.25">
      <c r="B68" s="49" t="str">
        <f t="shared" si="12"/>
        <v>per 100 referrals</v>
      </c>
      <c r="C68" s="49">
        <f t="shared" si="12"/>
        <v>0.25</v>
      </c>
      <c r="D68" s="49">
        <f t="shared" si="12"/>
        <v>0</v>
      </c>
      <c r="E68" s="49">
        <f>MAX(C68:D68)</f>
        <v>0.25</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0.11</v>
      </c>
      <c r="D70" s="49">
        <f>IF(($E64&gt;0),D64,D63)</f>
        <v>0</v>
      </c>
      <c r="E70" s="56">
        <f>MAX(C70:D70)</f>
        <v>0.11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U47JMPN4QEAR-1806752177-30199</_dlc_DocId>
    <_dlc_DocIdUrl xmlns="ac3811b5-0f3e-49e2-ba69-f2ffa0c782af">
      <Url>https://michiganphi.sharepoint.com/sites/CMDMC/_layouts/15/DocIdRedir.aspx?ID=U47JMPN4QEAR-1806752177-30199</Url>
      <Description>U47JMPN4QEAR-1806752177-30199</Description>
    </_dlc_DocIdUrl>
  </documentManagement>
</p:properties>
</file>

<file path=customXml/itemProps1.xml><?xml version="1.0" encoding="utf-8"?>
<ds:datastoreItem xmlns:ds="http://schemas.openxmlformats.org/officeDocument/2006/customXml" ds:itemID="{575F9BE2-5C3D-4F9C-A7B3-1B6B340484FF}"/>
</file>

<file path=customXml/itemProps2.xml><?xml version="1.0" encoding="utf-8"?>
<ds:datastoreItem xmlns:ds="http://schemas.openxmlformats.org/officeDocument/2006/customXml" ds:itemID="{5A8D71C7-2E49-4A6F-9DD2-C468732A7D80}"/>
</file>

<file path=customXml/itemProps3.xml><?xml version="1.0" encoding="utf-8"?>
<ds:datastoreItem xmlns:ds="http://schemas.openxmlformats.org/officeDocument/2006/customXml" ds:itemID="{436EF07A-6DEC-4734-A78D-3888519CE663}"/>
</file>

<file path=customXml/itemProps4.xml><?xml version="1.0" encoding="utf-8"?>
<ds:datastoreItem xmlns:ds="http://schemas.openxmlformats.org/officeDocument/2006/customXml" ds:itemID="{B92E1385-4E53-4FE8-8AF5-90BB127843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0e9ef383-51b1-43b2-ac23-34bac87f898d</vt:lpwstr>
  </property>
</Properties>
</file>