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6" documentId="8_{A86C323B-1593-412F-99B3-93ACBA264ECD}" xr6:coauthVersionLast="47" xr6:coauthVersionMax="47" xr10:uidLastSave="{D1219C16-BA64-4903-B21C-7D561411724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M66" i="8"/>
  <c r="F27" i="8"/>
  <c r="F27" i="5"/>
  <c r="M66" i="5"/>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E49" i="5"/>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L58" i="8"/>
  <c r="B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B56" i="8"/>
  <c r="L56" i="8"/>
  <c r="L64" i="5"/>
  <c r="C64" i="5"/>
  <c r="D64" i="5"/>
  <c r="C57" i="8"/>
  <c r="C64" i="8" s="1"/>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E64" i="5" l="1"/>
  <c r="G7" i="9"/>
  <c r="M8" i="13"/>
  <c r="C63" i="3"/>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L63" i="5"/>
  <c r="F8" i="5"/>
  <c r="B70" i="5" l="1"/>
  <c r="F33" i="5" s="1"/>
  <c r="L70" i="5"/>
  <c r="Q13" i="5" s="1"/>
  <c r="D70" i="5"/>
  <c r="F14" i="5" s="1"/>
  <c r="E63" i="3"/>
  <c r="C69" i="3" s="1"/>
  <c r="C70" i="3"/>
  <c r="D14" i="3" s="1"/>
  <c r="C69" i="7"/>
  <c r="D12" i="7" s="1"/>
  <c r="D70" i="6"/>
  <c r="F13" i="6" s="1"/>
  <c r="C63" i="8"/>
  <c r="C70" i="8" s="1"/>
  <c r="L63" i="8"/>
  <c r="L70" i="8" s="1"/>
  <c r="B70" i="3"/>
  <c r="M70" i="3" s="1"/>
  <c r="L70" i="6"/>
  <c r="D63" i="8"/>
  <c r="D70" i="8" s="1"/>
  <c r="F13" i="8" s="1"/>
  <c r="L70" i="3"/>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69" i="3"/>
  <c r="M69" i="3" s="1"/>
  <c r="B70" i="8"/>
  <c r="M70" i="8" s="1"/>
  <c r="E64" i="2"/>
  <c r="L70" i="2" s="1"/>
  <c r="L67" i="6"/>
  <c r="F10" i="3"/>
  <c r="F11" i="3"/>
  <c r="D67" i="6"/>
  <c r="F8" i="6" s="1"/>
  <c r="L69" i="3"/>
  <c r="M70" i="5"/>
  <c r="D13"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F13" i="5" l="1"/>
  <c r="E70" i="5"/>
  <c r="Q14" i="5"/>
  <c r="D69" i="3"/>
  <c r="E69" i="3" s="1"/>
  <c r="O13" i="5"/>
  <c r="Q12" i="3"/>
  <c r="O14" i="5"/>
  <c r="Q12" i="7"/>
  <c r="B69" i="6"/>
  <c r="M69" i="6" s="1"/>
  <c r="Q13" i="8"/>
  <c r="Q13" i="3"/>
  <c r="D13" i="3"/>
  <c r="F14" i="3"/>
  <c r="D15" i="7"/>
  <c r="O13" i="3"/>
  <c r="O14" i="6"/>
  <c r="E70" i="3"/>
  <c r="O12" i="7"/>
  <c r="O13" i="6"/>
  <c r="F14" i="6"/>
  <c r="E63" i="8"/>
  <c r="D69" i="8" s="1"/>
  <c r="F15" i="8" s="1"/>
  <c r="F34" i="3"/>
  <c r="E69" i="7"/>
  <c r="F33" i="3"/>
  <c r="Q14" i="3"/>
  <c r="O15" i="7"/>
  <c r="Q15" i="7"/>
  <c r="Q13" i="6"/>
  <c r="Q14" i="6"/>
  <c r="E70" i="6"/>
  <c r="D14" i="6"/>
  <c r="C69" i="6"/>
  <c r="D12" i="6" s="1"/>
  <c r="F12" i="7"/>
  <c r="O14" i="3"/>
  <c r="D69" i="6"/>
  <c r="F12" i="6" s="1"/>
  <c r="T10" i="3"/>
  <c r="K10" i="4"/>
  <c r="F8" i="7"/>
  <c r="T9" i="4"/>
  <c r="F32" i="6"/>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F33" i="8"/>
  <c r="C70" i="2"/>
  <c r="D14" i="2" s="1"/>
  <c r="D13" i="8"/>
  <c r="O15" i="3"/>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5" l="1"/>
  <c r="S14" i="5" s="1"/>
  <c r="U14" i="5" s="1"/>
  <c r="J14" i="5" s="1"/>
  <c r="M14" i="5" s="1"/>
  <c r="K14" i="5"/>
  <c r="L14" i="5" s="1"/>
  <c r="Q15" i="16" s="1"/>
  <c r="T14" i="5"/>
  <c r="Q15" i="6"/>
  <c r="K12" i="7"/>
  <c r="F35" i="6"/>
  <c r="R13" i="8"/>
  <c r="S13" i="8" s="1"/>
  <c r="T13" i="3"/>
  <c r="R13" i="3"/>
  <c r="S13" i="3" s="1"/>
  <c r="U13" i="3" s="1"/>
  <c r="J13" i="3" s="1"/>
  <c r="M13" i="3" s="1"/>
  <c r="G13" i="3" s="1"/>
  <c r="K13" i="3"/>
  <c r="R14" i="6"/>
  <c r="S14" i="6" s="1"/>
  <c r="O12" i="6"/>
  <c r="T15" i="7"/>
  <c r="K14" i="3"/>
  <c r="T14" i="3"/>
  <c r="R12" i="7"/>
  <c r="S12" i="7" s="1"/>
  <c r="T12" i="7"/>
  <c r="R14" i="3"/>
  <c r="S14" i="3" s="1"/>
  <c r="U14" i="3" s="1"/>
  <c r="J14" i="3" s="1"/>
  <c r="M14" i="3" s="1"/>
  <c r="G14" i="3" s="1"/>
  <c r="I15" i="16" s="1"/>
  <c r="T13" i="6"/>
  <c r="K15" i="7"/>
  <c r="R15" i="7"/>
  <c r="S15" i="7" s="1"/>
  <c r="U15" i="7" s="1"/>
  <c r="J15" i="7" s="1"/>
  <c r="C69" i="8"/>
  <c r="E69" i="8" s="1"/>
  <c r="T14" i="6"/>
  <c r="Q12" i="6"/>
  <c r="F12" i="8"/>
  <c r="B69" i="8"/>
  <c r="M69" i="8" s="1"/>
  <c r="L69" i="8"/>
  <c r="O15" i="8" s="1"/>
  <c r="K13" i="6"/>
  <c r="R13" i="6"/>
  <c r="S13" i="6" s="1"/>
  <c r="U13" i="6" s="1"/>
  <c r="J13" i="6" s="1"/>
  <c r="M13" i="6" s="1"/>
  <c r="G13" i="6" s="1"/>
  <c r="G13" i="9" s="1"/>
  <c r="O15" i="6"/>
  <c r="R14" i="8"/>
  <c r="S14" i="8" s="1"/>
  <c r="K14" i="6"/>
  <c r="T13" i="8"/>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Q13" i="2"/>
  <c r="U9" i="3"/>
  <c r="J9" i="3" s="1"/>
  <c r="L9" i="3" s="1"/>
  <c r="K15" i="3"/>
  <c r="T15" i="3"/>
  <c r="N30" i="5"/>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5" i="6" l="1"/>
  <c r="L13" i="3"/>
  <c r="P14" i="16" s="1"/>
  <c r="U13" i="8"/>
  <c r="J13" i="8" s="1"/>
  <c r="M13" i="8" s="1"/>
  <c r="G13" i="8" s="1"/>
  <c r="K14" i="16" s="1"/>
  <c r="K12" i="6"/>
  <c r="U14" i="6"/>
  <c r="J14" i="6" s="1"/>
  <c r="M14" i="6" s="1"/>
  <c r="G14" i="6" s="1"/>
  <c r="M15" i="13" s="1"/>
  <c r="K15" i="6"/>
  <c r="U13" i="7"/>
  <c r="J13" i="7" s="1"/>
  <c r="M13" i="7" s="1"/>
  <c r="R12" i="6"/>
  <c r="S12" i="6" s="1"/>
  <c r="L15" i="7"/>
  <c r="S16" i="16" s="1"/>
  <c r="I15" i="13"/>
  <c r="E14" i="9"/>
  <c r="L14" i="3"/>
  <c r="P15" i="16" s="1"/>
  <c r="N30" i="3"/>
  <c r="U12" i="7"/>
  <c r="J12" i="7" s="1"/>
  <c r="M14" i="13"/>
  <c r="T12" i="6"/>
  <c r="M15" i="7"/>
  <c r="F35" i="8"/>
  <c r="D15" i="8"/>
  <c r="D12" i="8"/>
  <c r="F32" i="8"/>
  <c r="U14" i="8"/>
  <c r="J14" i="8" s="1"/>
  <c r="N30" i="8" s="1"/>
  <c r="Q12" i="8"/>
  <c r="O12" i="8"/>
  <c r="Q15" i="8"/>
  <c r="R15" i="8" s="1"/>
  <c r="S15" i="8" s="1"/>
  <c r="U15" i="8" s="1"/>
  <c r="J15" i="8" s="1"/>
  <c r="L13" i="6"/>
  <c r="R14" i="16" s="1"/>
  <c r="R15" i="6"/>
  <c r="S15" i="6" s="1"/>
  <c r="U15" i="6" s="1"/>
  <c r="J15" i="6" s="1"/>
  <c r="M13" i="9"/>
  <c r="U14" i="13"/>
  <c r="U12" i="13"/>
  <c r="M11" i="9"/>
  <c r="T13" i="2"/>
  <c r="U8" i="6"/>
  <c r="J8" i="6" s="1"/>
  <c r="M8" i="6" s="1"/>
  <c r="G8" i="6" s="1"/>
  <c r="M9" i="13" s="1"/>
  <c r="R13" i="2"/>
  <c r="S13" i="2" s="1"/>
  <c r="U13" i="2" s="1"/>
  <c r="J13" i="2" s="1"/>
  <c r="M13" i="2" s="1"/>
  <c r="G13" i="2" s="1"/>
  <c r="E14" i="16" s="1"/>
  <c r="V11" i="13"/>
  <c r="R10" i="7"/>
  <c r="S10" i="7" s="1"/>
  <c r="T11" i="7"/>
  <c r="T10" i="7"/>
  <c r="L8" i="2"/>
  <c r="N9" i="16" s="1"/>
  <c r="K13" i="2"/>
  <c r="R15" i="5"/>
  <c r="S15" i="5" s="1"/>
  <c r="U15" i="5" s="1"/>
  <c r="J15" i="5" s="1"/>
  <c r="M15" i="5" s="1"/>
  <c r="K11" i="7"/>
  <c r="T9" i="7"/>
  <c r="N10" i="9"/>
  <c r="R11" i="7"/>
  <c r="S11" i="7" s="1"/>
  <c r="K12" i="5"/>
  <c r="L12" i="5" s="1"/>
  <c r="Q13" i="16" s="1"/>
  <c r="T12" i="5"/>
  <c r="K10" i="7"/>
  <c r="R14" i="2"/>
  <c r="S14" i="2" s="1"/>
  <c r="U14" i="2" s="1"/>
  <c r="J14" i="2" s="1"/>
  <c r="M14" i="2" s="1"/>
  <c r="G14" i="2" s="1"/>
  <c r="E15" i="16" s="1"/>
  <c r="D13" i="9"/>
  <c r="G14" i="13"/>
  <c r="K9" i="7"/>
  <c r="T14" i="2"/>
  <c r="V12" i="13"/>
  <c r="U10" i="13"/>
  <c r="N11" i="9"/>
  <c r="T15" i="5"/>
  <c r="W14" i="13"/>
  <c r="N13" i="9"/>
  <c r="L15" i="3"/>
  <c r="P16"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N30" i="6" l="1"/>
  <c r="L13" i="8"/>
  <c r="T14" i="16" s="1"/>
  <c r="L15" i="6"/>
  <c r="R16" i="16" s="1"/>
  <c r="L14" i="6"/>
  <c r="R15" i="16" s="1"/>
  <c r="Q15" i="9"/>
  <c r="L13" i="7"/>
  <c r="S14" i="16" s="1"/>
  <c r="U12" i="6"/>
  <c r="J12" i="6" s="1"/>
  <c r="L12" i="6" s="1"/>
  <c r="R13" i="16" s="1"/>
  <c r="Y16" i="13"/>
  <c r="G14" i="9"/>
  <c r="V15" i="13"/>
  <c r="K15" i="8"/>
  <c r="L15" i="8" s="1"/>
  <c r="T16" i="16" s="1"/>
  <c r="I13" i="9"/>
  <c r="Q14" i="13"/>
  <c r="N14" i="9"/>
  <c r="U11" i="7"/>
  <c r="J11" i="7" s="1"/>
  <c r="M11" i="7" s="1"/>
  <c r="R12" i="8"/>
  <c r="S12" i="8" s="1"/>
  <c r="P13" i="9"/>
  <c r="X14" i="13"/>
  <c r="L12" i="7"/>
  <c r="M12" i="7"/>
  <c r="K12" i="8"/>
  <c r="M15" i="6"/>
  <c r="G15" i="6" s="1"/>
  <c r="M16" i="13" s="1"/>
  <c r="M14" i="8"/>
  <c r="G14" i="8" s="1"/>
  <c r="K15" i="16" s="1"/>
  <c r="T15" i="8"/>
  <c r="T12" i="8"/>
  <c r="L14" i="8"/>
  <c r="T15" i="16" s="1"/>
  <c r="U10" i="7"/>
  <c r="J10" i="7" s="1"/>
  <c r="L10" i="7" s="1"/>
  <c r="S11" i="16" s="1"/>
  <c r="L8" i="6"/>
  <c r="R9" i="16" s="1"/>
  <c r="X16" i="13"/>
  <c r="P15" i="9"/>
  <c r="L15" i="5"/>
  <c r="Q16" i="16" s="1"/>
  <c r="T9" i="13"/>
  <c r="L8" i="9"/>
  <c r="X15" i="13"/>
  <c r="G8" i="9"/>
  <c r="Q14" i="9"/>
  <c r="Y15" i="13"/>
  <c r="E9" i="13"/>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R13" i="9" l="1"/>
  <c r="Z14" i="13"/>
  <c r="Q13" i="9"/>
  <c r="Y14" i="13"/>
  <c r="P14" i="9"/>
  <c r="M12" i="6"/>
  <c r="G12" i="6" s="1"/>
  <c r="G12" i="9" s="1"/>
  <c r="M10" i="7"/>
  <c r="G15" i="9"/>
  <c r="U12" i="8"/>
  <c r="J12" i="8" s="1"/>
  <c r="M12" i="8" s="1"/>
  <c r="G12" i="8" s="1"/>
  <c r="K13" i="16" s="1"/>
  <c r="L11" i="7"/>
  <c r="S12" i="16" s="1"/>
  <c r="P12" i="9"/>
  <c r="S13" i="16"/>
  <c r="Q12" i="9"/>
  <c r="Y13" i="13"/>
  <c r="X13" i="13"/>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M13" i="13" l="1"/>
  <c r="I12" i="9"/>
  <c r="Q13" i="13"/>
  <c r="L12" i="8"/>
  <c r="T13" i="16" s="1"/>
  <c r="Q11" i="9"/>
  <c r="Y12" i="13"/>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<sst xmlns="http://schemas.openxmlformats.org/spreadsheetml/2006/main" count="654" uniqueCount="141">
  <si>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</si>
  <si>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</si>
  <si>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</si>
  <si>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</si>
  <si>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</si>
  <si>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</si>
  <si>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</si>
  <si>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</si>
  <si>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</si>
  <si>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</si>
  <si>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</si>
  <si>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</si>
  <si>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</si>
  <si>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</si>
  <si>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</si>
  <si>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</si>
  <si>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</si>
  <si>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</si>
  <si>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</si>
  <si>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</si>
  <si>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</si>
  <si>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</si>
  <si>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</si>
  <si>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</si>
  <si>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</si>
  <si>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</si>
  <si>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</si>
  <si>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</si>
  <si>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</si>
  <si>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</si>
  <si>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</si>
  <si>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</si>
  <si>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</si>
  <si>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</si>
  <si>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</si>
  <si>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</si>
  <si>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</si>
  <si>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</si>
  <si>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</si>
  <si>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</si>
  <si>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</si>
  <si>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</si>
  <si>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</si>
  <si>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</si>
  <si>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</si>
  <si>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</si>
  <si>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</si>
  <si>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</si>
  <si>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</si>
  <si>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</si>
  <si>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</si>
  <si>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</si>
  <si>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</si>
  <si>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</si>
  <si>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</si>
  <si>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</si>
  <si>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</si>
  <si>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</si>
  <si>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</si>
  <si>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</si>
  <si>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</si>
  <si>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</si>
  <si>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</si>
  <si>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</si>
  <si>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</si>
  <si>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</si>
  <si>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</si>
  <si>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</si>
  <si>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</si>
  <si>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</si>
  <si>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</si>
  <si>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</si>
  <si>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</si>
  <si>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</si>
  <si>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</si>
  <si>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</si>
  <si>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</si>
  <si>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</si>
  <si>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</si>
  <si>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</si>
  <si>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</si>
  <si>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</si>
  <si>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</si>
  <si>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</si>
  <si>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</si>
  <si>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</si>
  <si>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</si>
  <si>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</si>
  <si>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</si>
  <si>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</si>
  <si>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</si>
  <si>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</si>
  <si>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</si>
  <si>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</si>
  <si>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</si>
  <si>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</si>
  <si>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</si>
  <si>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</si>
  <si>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</si>
  <si>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</si>
  <si>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</si>
  <si>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</si>
  <si>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</si>
  <si>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</si>
  <si>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</si>
  <si>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</si>
  <si>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</si>
  <si>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</si>
  <si>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</si>
  <si>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</si>
  <si>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</si>
  <si>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</si>
  <si>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</si>
  <si>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</si>
  <si>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</si>
  <si>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</si>
  <si>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</si>
  <si>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</si>
  <si>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</si>
  <si>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</si>
  <si>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</si>
  <si>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</si>
  <si>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</si>
  <si>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</si>
  <si>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</si>
  <si>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</si>
  <si>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</si>
  <si>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</si>
  <si>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</si>
  <si>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</si>
  <si>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</si>
  <si>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</si>
  <si>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</si>
  <si>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</si>
  <si>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</si>
  <si>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</si>
  <si>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Marquette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</si>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</sst>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Marquette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N=7</c:v>
                </c:pt>
                <c:pt idx="3">
                  <c:v>Petitions, total N=29</c:v>
                </c:pt>
                <c:pt idx="4">
                  <c:v>Detentions, total N=6</c:v>
                </c:pt>
                <c:pt idx="5">
                  <c:v>Referrals, total N=45</c:v>
                </c:pt>
                <c:pt idx="6">
                  <c:v>Arrests, total N=49</c:v>
                </c:pt>
                <c:pt idx="7">
                  <c:v>Population, total N=5396</c:v>
                </c:pt>
              </c:strCache>
            </c:strRef>
          </c:cat>
          <c:val>
            <c:numRef>
              <c:f>'Stacked 100%'!$B$7:$B$14</c:f>
              <c:numCache>
                <c:formatCode>0%</c:formatCode>
                <c:ptCount val="8"/>
                <c:pt idx="0">
                  <c:v>0</c:v>
                </c:pt>
                <c:pt idx="1">
                  <c:v>0</c:v>
                </c:pt>
                <c:pt idx="2">
                  <c:v>0</c:v>
                </c:pt>
                <c:pt idx="3">
                  <c:v>6.8965517241379309E-2</c:v>
                </c:pt>
                <c:pt idx="4">
                  <c:v>0</c:v>
                </c:pt>
                <c:pt idx="5">
                  <c:v>6.6666666666666666E-2</c:v>
                </c:pt>
                <c:pt idx="6">
                  <c:v>4.0816326530612242E-2</c:v>
                </c:pt>
                <c:pt idx="7">
                  <c:v>2.0941438102298E-2</c:v>
                </c:pt>
              </c:numCache>
            </c:numRef>
          </c:val>
          <c:extLst>
            <c:ext xmlns:c16="http://schemas.microsoft.com/office/drawing/2014/chart" uri="{C3380CC4-5D6E-409C-BE32-E72D297353CC}">
              <c16:uniqueId val="{00000000-3BA2-4072-ABD3-CA1B0073981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N=7</c:v>
                </c:pt>
                <c:pt idx="3">
                  <c:v>Petitions, total N=29</c:v>
                </c:pt>
                <c:pt idx="4">
                  <c:v>Detentions, total N=6</c:v>
                </c:pt>
                <c:pt idx="5">
                  <c:v>Referrals, total N=45</c:v>
                </c:pt>
                <c:pt idx="6">
                  <c:v>Arrests, total N=49</c:v>
                </c:pt>
                <c:pt idx="7">
                  <c:v>Population, total N=5396</c:v>
                </c:pt>
              </c:strCache>
            </c:strRef>
          </c:cat>
          <c:val>
            <c:numRef>
              <c:f>'Stacked 100%'!$C$7:$C$14</c:f>
              <c:numCache>
                <c:formatCode>0%</c:formatCode>
                <c:ptCount val="8"/>
                <c:pt idx="0">
                  <c:v>0</c:v>
                </c:pt>
                <c:pt idx="1">
                  <c:v>0</c:v>
                </c:pt>
                <c:pt idx="2">
                  <c:v>0</c:v>
                </c:pt>
                <c:pt idx="3">
                  <c:v>0</c:v>
                </c:pt>
                <c:pt idx="4">
                  <c:v>0</c:v>
                </c:pt>
                <c:pt idx="5">
                  <c:v>0</c:v>
                </c:pt>
                <c:pt idx="6">
                  <c:v>0</c:v>
                </c:pt>
                <c:pt idx="7">
                  <c:v>2.6501111934766494E-2</c:v>
                </c:pt>
              </c:numCache>
            </c:numRef>
          </c:val>
          <c:extLst>
            <c:ext xmlns:c16="http://schemas.microsoft.com/office/drawing/2014/chart" uri="{C3380CC4-5D6E-409C-BE32-E72D297353CC}">
              <c16:uniqueId val="{00000001-3BA2-4072-ABD3-CA1B0073981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N=7</c:v>
                </c:pt>
                <c:pt idx="3">
                  <c:v>Petitions, total N=29</c:v>
                </c:pt>
                <c:pt idx="4">
                  <c:v>Detentions, total N=6</c:v>
                </c:pt>
                <c:pt idx="5">
                  <c:v>Referrals, total N=45</c:v>
                </c:pt>
                <c:pt idx="6">
                  <c:v>Arrests, total N=49</c:v>
                </c:pt>
                <c:pt idx="7">
                  <c:v>Population, total N=5396</c:v>
                </c:pt>
              </c:strCache>
            </c:strRef>
          </c:cat>
          <c:val>
            <c:numRef>
              <c:f>'Stacked 100%'!$H$7:$H$14</c:f>
              <c:numCache>
                <c:formatCode>0%</c:formatCode>
                <c:ptCount val="8"/>
                <c:pt idx="0">
                  <c:v>0</c:v>
                </c:pt>
                <c:pt idx="1">
                  <c:v>0</c:v>
                </c:pt>
                <c:pt idx="2">
                  <c:v>0</c:v>
                </c:pt>
                <c:pt idx="3">
                  <c:v>0</c:v>
                </c:pt>
                <c:pt idx="4">
                  <c:v>0</c:v>
                </c:pt>
                <c:pt idx="5">
                  <c:v>4.9382716049382717E-4</c:v>
                </c:pt>
                <c:pt idx="6">
                  <c:v>1.2494793835901706E-3</c:v>
                </c:pt>
                <c:pt idx="7">
                  <c:v>7.0062605746452499E-6</c:v>
                </c:pt>
              </c:numCache>
            </c:numRef>
          </c:val>
          <c:extLst>
            <c:ext xmlns:c16="http://schemas.microsoft.com/office/drawing/2014/chart" uri="{C3380CC4-5D6E-409C-BE32-E72D297353CC}">
              <c16:uniqueId val="{00000002-3BA2-4072-ABD3-CA1B0073981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N=7</c:v>
                </c:pt>
                <c:pt idx="3">
                  <c:v>Petitions, total N=29</c:v>
                </c:pt>
                <c:pt idx="4">
                  <c:v>Detentions, total N=6</c:v>
                </c:pt>
                <c:pt idx="5">
                  <c:v>Referrals, total N=45</c:v>
                </c:pt>
                <c:pt idx="6">
                  <c:v>Arrests, total N=49</c:v>
                </c:pt>
                <c:pt idx="7">
                  <c:v>Population, total N=5396</c:v>
                </c:pt>
              </c:strCache>
            </c:strRef>
          </c:cat>
          <c:val>
            <c:numRef>
              <c:f>'Stacked 100%'!$I$7:$I$14</c:f>
              <c:numCache>
                <c:formatCode>0%</c:formatCode>
                <c:ptCount val="8"/>
                <c:pt idx="0">
                  <c:v>0</c:v>
                </c:pt>
                <c:pt idx="1">
                  <c:v>1</c:v>
                </c:pt>
                <c:pt idx="2">
                  <c:v>0.8571428571428571</c:v>
                </c:pt>
                <c:pt idx="3">
                  <c:v>0.7931034482758621</c:v>
                </c:pt>
                <c:pt idx="4">
                  <c:v>1</c:v>
                </c:pt>
                <c:pt idx="5">
                  <c:v>0.8</c:v>
                </c:pt>
                <c:pt idx="6">
                  <c:v>0.83673469387755106</c:v>
                </c:pt>
                <c:pt idx="7">
                  <c:v>0.91475166790214979</c:v>
                </c:pt>
              </c:numCache>
            </c:numRef>
          </c:val>
          <c:extLst>
            <c:ext xmlns:c16="http://schemas.microsoft.com/office/drawing/2014/chart" uri="{C3380CC4-5D6E-409C-BE32-E72D297353CC}">
              <c16:uniqueId val="{00000003-3BA2-4072-ABD3-CA1B0073981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N=7</c:v>
                </c:pt>
                <c:pt idx="3">
                  <c:v>Petitions, total N=29</c:v>
                </c:pt>
                <c:pt idx="4">
                  <c:v>Detentions, total N=6</c:v>
                </c:pt>
                <c:pt idx="5">
                  <c:v>Referrals, total N=45</c:v>
                </c:pt>
                <c:pt idx="6">
                  <c:v>Arrests, total N=49</c:v>
                </c:pt>
                <c:pt idx="7">
                  <c:v>Population, total N=5396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BA2-4072-ABD3-CA1B0073981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5396</v>
      </c>
      <c r="C6" s="11">
        <v>4936</v>
      </c>
      <c r="D6" s="11">
        <v>113</v>
      </c>
      <c r="E6" s="11">
        <v>143</v>
      </c>
      <c r="F6" s="11">
        <v>44</v>
      </c>
      <c r="G6" s="11"/>
      <c r="H6" s="11">
        <v>160</v>
      </c>
      <c r="I6" s="11"/>
      <c r="J6" s="91">
        <f>SUM(D6:I6)</f>
        <v>460</v>
      </c>
      <c r="K6" s="92"/>
    </row>
    <row r="7" spans="1:11" ht="15.75" customHeight="1" thickBot="1">
      <c r="A7" s="10" t="s">
        <v>8</v>
      </c>
      <c r="B7" s="11">
        <f t="shared" ref="B7:B15" si="0">SUM(C7:I7)+K7</f>
        <v>49</v>
      </c>
      <c r="C7" s="11">
        <v>41</v>
      </c>
      <c r="D7" s="11">
        <v>2</v>
      </c>
      <c r="E7" s="11"/>
      <c r="F7" s="11"/>
      <c r="G7" s="11"/>
      <c r="H7" s="11">
        <v>3</v>
      </c>
      <c r="I7" s="11"/>
      <c r="J7" s="91">
        <f t="shared" ref="J7:J15" si="1">SUM(D7:I7)</f>
        <v>5</v>
      </c>
      <c r="K7" s="92">
        <v>3</v>
      </c>
    </row>
    <row r="8" spans="1:11" ht="15.75" customHeight="1" thickBot="1">
      <c r="A8" s="10" t="s">
        <v>9</v>
      </c>
      <c r="B8" s="11">
        <f t="shared" si="0"/>
        <v>45</v>
      </c>
      <c r="C8" s="11">
        <v>36</v>
      </c>
      <c r="D8" s="11">
        <v>3</v>
      </c>
      <c r="E8" s="11"/>
      <c r="F8" s="11"/>
      <c r="G8" s="11"/>
      <c r="H8" s="11"/>
      <c r="I8" s="11">
        <v>1</v>
      </c>
      <c r="J8" s="91">
        <f t="shared" si="1"/>
        <v>4</v>
      </c>
      <c r="K8" s="92">
        <v>5</v>
      </c>
    </row>
    <row r="9" spans="1:11" ht="15.75" customHeight="1" thickBot="1">
      <c r="A9" s="10" t="s">
        <v>10</v>
      </c>
      <c r="B9" s="11">
        <f t="shared" si="0"/>
        <v>6</v>
      </c>
      <c r="C9" s="11">
        <v>6</v>
      </c>
      <c r="D9" s="11"/>
      <c r="E9" s="11"/>
      <c r="F9" s="11"/>
      <c r="G9" s="11"/>
      <c r="H9" s="11"/>
      <c r="I9" s="11"/>
      <c r="J9" s="91">
        <f t="shared" si="1"/>
        <v>0</v>
      </c>
      <c r="K9" s="92"/>
    </row>
    <row r="10" spans="1:11" ht="15.75" customHeight="1" thickBot="1">
      <c r="A10" s="10" t="s">
        <v>11</v>
      </c>
      <c r="B10" s="11">
        <f t="shared" si="0"/>
        <v>6</v>
      </c>
      <c r="C10" s="11">
        <v>6</v>
      </c>
      <c r="D10" s="11"/>
      <c r="E10" s="11"/>
      <c r="F10" s="11"/>
      <c r="G10" s="11"/>
      <c r="H10" s="11"/>
      <c r="I10" s="11"/>
      <c r="J10" s="91">
        <f t="shared" si="1"/>
        <v>0</v>
      </c>
      <c r="K10" s="92"/>
    </row>
    <row r="11" spans="1:11" ht="15.75" customHeight="1" thickBot="1">
      <c r="A11" s="10" t="s">
        <v>12</v>
      </c>
      <c r="B11" s="11">
        <f t="shared" si="0"/>
        <v>29</v>
      </c>
      <c r="C11" s="11">
        <v>23</v>
      </c>
      <c r="D11" s="11">
        <v>2</v>
      </c>
      <c r="E11" s="11"/>
      <c r="F11" s="11"/>
      <c r="G11" s="11"/>
      <c r="H11" s="11"/>
      <c r="I11" s="11"/>
      <c r="J11" s="91">
        <f t="shared" si="1"/>
        <v>2</v>
      </c>
      <c r="K11" s="92">
        <v>4</v>
      </c>
    </row>
    <row r="12" spans="1:11" ht="15.75" customHeight="1" thickBot="1">
      <c r="A12" s="10" t="s">
        <v>13</v>
      </c>
      <c r="B12" s="11">
        <f t="shared" si="0"/>
        <v>7</v>
      </c>
      <c r="C12" s="11">
        <v>6</v>
      </c>
      <c r="D12" s="11"/>
      <c r="E12" s="11"/>
      <c r="F12" s="11"/>
      <c r="G12" s="11"/>
      <c r="H12" s="11"/>
      <c r="I12" s="11"/>
      <c r="J12" s="91">
        <f t="shared" si="1"/>
        <v>0</v>
      </c>
      <c r="K12" s="92">
        <v>1</v>
      </c>
    </row>
    <row r="13" spans="1:11" ht="15.75" customHeight="1" thickBot="1">
      <c r="A13" s="10" t="s">
        <v>133</v>
      </c>
      <c r="B13" s="11">
        <f t="shared" si="0"/>
        <v>1</v>
      </c>
      <c r="C13" s="11">
        <v>1</v>
      </c>
      <c r="D13" s="11"/>
      <c r="E13" s="11"/>
      <c r="F13" s="11"/>
      <c r="G13" s="11"/>
      <c r="H13" s="11"/>
      <c r="I13" s="11"/>
      <c r="J13" s="91">
        <f t="shared" si="1"/>
        <v>0</v>
      </c>
      <c r="K13" s="92"/>
    </row>
    <row r="14" spans="1:11" ht="26.25" customHeight="1" thickBot="1">
      <c r="A14" s="10" t="s">
        <v>123</v>
      </c>
      <c r="B14" s="11">
        <f t="shared" si="0"/>
        <v>1</v>
      </c>
      <c r="C14" s="11">
        <v>1</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4936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41</v>
      </c>
      <c r="D7" s="34">
        <f>IF((AND(C66&gt;0,C7&gt;0)),(C7/C66),0)</f>
        <v>8.3063209076175042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41</v>
      </c>
      <c r="Q7" s="42">
        <f>C6-C7</f>
        <v>4895</v>
      </c>
      <c r="R7" s="42">
        <f t="shared" ref="R7:R15" si="5">SUM(N7:Q7)</f>
        <v>4936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36</v>
      </c>
      <c r="D8" s="34">
        <f>IF((AND(C67&gt;0,C8&gt;0)),(C8/C67),0)</f>
        <v>87.804878048780495</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36</v>
      </c>
      <c r="Q8" s="42">
        <f>(C$67*L67)-C8</f>
        <v>5</v>
      </c>
      <c r="R8" s="42">
        <f t="shared" si="5"/>
        <v>41.05</v>
      </c>
      <c r="S8" s="30">
        <f t="shared" si="6"/>
        <v>63079.071999999978</v>
      </c>
      <c r="T8" s="30">
        <f t="shared" si="7"/>
        <v>307.19250000000028</v>
      </c>
      <c r="U8" s="31">
        <f t="shared" si="8"/>
        <v>205.34053402996466</v>
      </c>
    </row>
    <row r="9" spans="2:21" ht="18" customHeight="1">
      <c r="B9" s="32" t="str">
        <f>'Data Entry'!A9</f>
        <v xml:space="preserve">4. Cases Diverted </v>
      </c>
      <c r="C9" s="33">
        <f>'Data Entry'!C9</f>
        <v>6</v>
      </c>
      <c r="D9" s="34">
        <f>IF((AND(C68&gt;0,C9&gt;0)),((C9/C68)),0)</f>
        <v>16.666666666666668</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6</v>
      </c>
      <c r="Q9" s="42">
        <f>(C$68*L68)-C9</f>
        <v>30</v>
      </c>
      <c r="R9" s="42">
        <f t="shared" si="5"/>
        <v>37</v>
      </c>
      <c r="S9" s="30">
        <f t="shared" si="6"/>
        <v>1332</v>
      </c>
      <c r="T9" s="30">
        <f t="shared" si="7"/>
        <v>6696</v>
      </c>
      <c r="U9" s="31">
        <f t="shared" si="8"/>
        <v>0.19892473118279569</v>
      </c>
    </row>
    <row r="10" spans="2:21" ht="18" customHeight="1">
      <c r="B10" s="32" t="str">
        <f>'Data Entry'!A10</f>
        <v>5. Cases Involving Secure Detention</v>
      </c>
      <c r="C10" s="33">
        <f>'Data Entry'!C10</f>
        <v>6</v>
      </c>
      <c r="D10" s="34">
        <f>IF(((AND(C68&gt;0,C10&gt;0))),(C10/(C68)),0)</f>
        <v>16.666666666666668</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6</v>
      </c>
      <c r="Q10" s="42">
        <f>(C$68*L68)-C10</f>
        <v>30</v>
      </c>
      <c r="R10" s="42">
        <f t="shared" si="5"/>
        <v>37</v>
      </c>
      <c r="S10" s="30">
        <f t="shared" si="6"/>
        <v>1332</v>
      </c>
      <c r="T10" s="30">
        <f t="shared" si="7"/>
        <v>6696</v>
      </c>
      <c r="U10" s="31">
        <f t="shared" si="8"/>
        <v>0.19892473118279569</v>
      </c>
    </row>
    <row r="11" spans="2:21" ht="18" customHeight="1">
      <c r="B11" s="32" t="str">
        <f>'Data Entry'!A11</f>
        <v>6. Cases Petitioned (Charge Filed)</v>
      </c>
      <c r="C11" s="33">
        <f>'Data Entry'!C11</f>
        <v>23</v>
      </c>
      <c r="D11" s="34">
        <f>IF(((AND(C68&gt;0,C11&gt;0))),(C11/(C68)),0)</f>
        <v>63.888888888888893</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23</v>
      </c>
      <c r="Q11" s="42">
        <f>(C$68*L68)-C11</f>
        <v>13</v>
      </c>
      <c r="R11" s="42">
        <f t="shared" si="5"/>
        <v>37</v>
      </c>
      <c r="S11" s="30">
        <f t="shared" si="6"/>
        <v>19573</v>
      </c>
      <c r="T11" s="30">
        <f t="shared" si="7"/>
        <v>11592</v>
      </c>
      <c r="U11" s="31">
        <f t="shared" si="8"/>
        <v>1.6884920634920635</v>
      </c>
    </row>
    <row r="12" spans="2:21" ht="18" customHeight="1">
      <c r="B12" s="32" t="str">
        <f>'Data Entry'!A12</f>
        <v>7. Cases Resulting in Delinquent Findings</v>
      </c>
      <c r="C12" s="33">
        <f>'Data Entry'!C12</f>
        <v>6</v>
      </c>
      <c r="D12" s="34">
        <f>IF(((AND(C69&gt;0,C12&gt;0))),(C12/(C69)),0)</f>
        <v>26.086956521739129</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17</v>
      </c>
      <c r="R12" s="42">
        <f t="shared" si="5"/>
        <v>23</v>
      </c>
      <c r="S12" s="30">
        <f t="shared" si="6"/>
        <v>0</v>
      </c>
      <c r="T12" s="30">
        <f t="shared" si="7"/>
        <v>0</v>
      </c>
      <c r="U12" s="31" t="str">
        <f t="shared" si="8"/>
        <v>- -</v>
      </c>
    </row>
    <row r="13" spans="2:21" ht="18" customHeight="1">
      <c r="B13" s="32" t="str">
        <f>'Data Entry'!A13</f>
        <v>8. Cases Resulting in Probation Placement</v>
      </c>
      <c r="C13" s="33">
        <f>'Data Entry'!C13</f>
        <v>1</v>
      </c>
      <c r="D13" s="34">
        <f>IF(((AND(C70&gt;0,C13&gt;0))),(C13/(C70)),0)</f>
        <v>16.666666666666668</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4.9359999999999999</v>
      </c>
      <c r="D42" s="56">
        <f>E6/1000</f>
        <v>0</v>
      </c>
      <c r="E42" s="56">
        <f>MAX(C42:D42)</f>
        <v>4.9359999999999999</v>
      </c>
      <c r="G42" s="1" t="str">
        <f>B42</f>
        <v>per 1000 youth</v>
      </c>
      <c r="L42" s="57">
        <v>1000</v>
      </c>
      <c r="M42" s="57"/>
      <c r="R42" s="49"/>
    </row>
    <row r="43" spans="2:18" ht="15" hidden="1" customHeight="1">
      <c r="B43" s="49" t="s">
        <v>87</v>
      </c>
      <c r="C43" s="56">
        <f>C7/100</f>
        <v>0.41</v>
      </c>
      <c r="D43" s="56">
        <f>E7/100</f>
        <v>0</v>
      </c>
      <c r="E43" s="56">
        <f>MAX(C43:D43,0)</f>
        <v>0.41</v>
      </c>
      <c r="G43" s="1" t="str">
        <f>B43</f>
        <v>per 100 arrests</v>
      </c>
      <c r="L43" s="57">
        <v>100</v>
      </c>
      <c r="M43" s="57"/>
      <c r="R43" s="49"/>
    </row>
    <row r="44" spans="2:18" ht="15" hidden="1" customHeight="1">
      <c r="B44" s="49" t="s">
        <v>88</v>
      </c>
      <c r="C44" s="56">
        <f>C8/100</f>
        <v>0.36</v>
      </c>
      <c r="D44" s="56">
        <f>E8/100</f>
        <v>0.01</v>
      </c>
      <c r="E44" s="56">
        <f>MAX(C44:D44,0)</f>
        <v>0.36</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4.9359999999999999</v>
      </c>
      <c r="D48" s="56">
        <f>D42</f>
        <v>0</v>
      </c>
      <c r="E48" s="56">
        <f>MAX(C48:D48)</f>
        <v>4.9359999999999999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0.41</v>
      </c>
      <c r="D49" s="49">
        <f t="shared" si="9"/>
        <v>0</v>
      </c>
      <c r="E49" s="49">
        <f>MAX(C49:D49)</f>
        <v>0.41</v>
      </c>
      <c r="G49" s="1" t="str">
        <f>G43</f>
        <v>per 100 arrests</v>
      </c>
      <c r="L49" s="58">
        <f>IF(($E43&gt;0),L43,L42)</f>
        <v>100</v>
      </c>
      <c r="M49" s="58"/>
      <c r="N49" s="21"/>
      <c r="O49" s="21"/>
      <c r="P49" s="21"/>
      <c r="Q49" s="21"/>
      <c r="R49" s="21"/>
    </row>
    <row r="50" spans="2:18" ht="15" hidden="1" customHeight="1">
      <c r="B50" s="49" t="str">
        <f t="shared" si="9"/>
        <v>per 100 referrals</v>
      </c>
      <c r="C50" s="49">
        <f t="shared" si="9"/>
        <v>0.36</v>
      </c>
      <c r="D50" s="49">
        <f t="shared" si="9"/>
        <v>0.01</v>
      </c>
      <c r="E50" s="49">
        <f>MAX(C50:D50)</f>
        <v>0.36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4.9359999999999999</v>
      </c>
      <c r="D54" s="56">
        <f>D48</f>
        <v>0</v>
      </c>
      <c r="E54" s="56">
        <f>MAX(C54:D54)</f>
        <v>4.9359999999999999</v>
      </c>
      <c r="G54" s="1" t="str">
        <f>G48</f>
        <v>per 1000 youth</v>
      </c>
      <c r="L54" s="58">
        <f>L48</f>
        <v>1000</v>
      </c>
      <c r="M54" s="58"/>
    </row>
    <row r="55" spans="2:18" ht="15" hidden="1" customHeight="1">
      <c r="B55" s="49" t="str">
        <f t="shared" ref="B55:D56" si="10">IF(($E49&gt;0),B49,B48)</f>
        <v>per 100 arrests</v>
      </c>
      <c r="C55" s="49">
        <f t="shared" si="10"/>
        <v>0.41</v>
      </c>
      <c r="D55" s="49">
        <f t="shared" si="10"/>
        <v>0</v>
      </c>
      <c r="E55" s="49">
        <f>MAX(C55:D55)</f>
        <v>0.41</v>
      </c>
      <c r="G55" s="1" t="str">
        <f>G49</f>
        <v>per 100 arrests</v>
      </c>
      <c r="L55" s="58">
        <f>IF(($E49&gt;0),L49,L48)</f>
        <v>100</v>
      </c>
      <c r="M55" s="58"/>
    </row>
    <row r="56" spans="2:18" ht="15" hidden="1" customHeight="1">
      <c r="B56" s="49" t="str">
        <f t="shared" si="10"/>
        <v>per 100 referrals</v>
      </c>
      <c r="C56" s="49">
        <f t="shared" si="10"/>
        <v>0.36</v>
      </c>
      <c r="D56" s="49">
        <f t="shared" si="10"/>
        <v>0.01</v>
      </c>
      <c r="E56" s="49">
        <f>MAX(C56:D56)</f>
        <v>0.36</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4.9359999999999999</v>
      </c>
      <c r="D60" s="56">
        <f>D54</f>
        <v>0</v>
      </c>
      <c r="E60" s="56">
        <f>MAX(C60:D60)</f>
        <v>4.9359999999999999</v>
      </c>
      <c r="G60" s="1" t="str">
        <f>G54</f>
        <v>per 1000 youth</v>
      </c>
      <c r="L60" s="58">
        <f>L54</f>
        <v>1000</v>
      </c>
      <c r="M60" s="58"/>
    </row>
    <row r="61" spans="2:18" ht="15" hidden="1" customHeight="1">
      <c r="B61" s="49" t="str">
        <f t="shared" ref="B61:D62" si="11">IF(($E55&gt;0),B55,B54)</f>
        <v>per 100 arrests</v>
      </c>
      <c r="C61" s="49">
        <f t="shared" si="11"/>
        <v>0.41</v>
      </c>
      <c r="D61" s="49">
        <f t="shared" si="11"/>
        <v>0</v>
      </c>
      <c r="E61" s="49">
        <f>MAX(C61:D61)</f>
        <v>0.41</v>
      </c>
      <c r="G61" s="1" t="str">
        <f>G55</f>
        <v>per 100 arrests</v>
      </c>
      <c r="L61" s="58">
        <f>IF(($E55&gt;0),L55,L54)</f>
        <v>100</v>
      </c>
      <c r="M61" s="58"/>
    </row>
    <row r="62" spans="2:18" ht="15" hidden="1" customHeight="1">
      <c r="B62" s="49" t="str">
        <f t="shared" si="11"/>
        <v>per 100 referrals</v>
      </c>
      <c r="C62" s="49">
        <f t="shared" si="11"/>
        <v>0.36</v>
      </c>
      <c r="D62" s="49">
        <f t="shared" si="11"/>
        <v>0.01</v>
      </c>
      <c r="E62" s="49">
        <f>MAX(C62:D62)</f>
        <v>0.36</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4.9359999999999999</v>
      </c>
      <c r="D66" s="56">
        <f>D60</f>
        <v>0</v>
      </c>
      <c r="E66" s="56">
        <f>MAX(C66:D66)</f>
        <v>4.9359999999999999</v>
      </c>
      <c r="G66" s="1" t="str">
        <f>G60</f>
        <v>per 1000 youth</v>
      </c>
      <c r="L66" s="58">
        <f>L60</f>
        <v>1000</v>
      </c>
      <c r="M66" s="58">
        <f>IF((B66=G66),1,2)</f>
        <v>1</v>
      </c>
    </row>
    <row r="67" spans="2:13" ht="15" hidden="1" customHeight="1">
      <c r="B67" s="49" t="str">
        <f t="shared" ref="B67:D68" si="12">IF(($E61&gt;0),B61,B60)</f>
        <v>per 100 arrests</v>
      </c>
      <c r="C67" s="49">
        <f t="shared" si="12"/>
        <v>0.41</v>
      </c>
      <c r="D67" s="49">
        <f t="shared" si="12"/>
        <v>0</v>
      </c>
      <c r="E67" s="49">
        <f>MAX(C67:D67)</f>
        <v>0.41</v>
      </c>
      <c r="G67" s="1" t="str">
        <f>G61</f>
        <v>per 100 arrests</v>
      </c>
      <c r="L67" s="58">
        <f>IF(($E61&gt;0),L61,L60)</f>
        <v>100</v>
      </c>
      <c r="M67" s="58">
        <f>IF((B67=G67),1,2)</f>
        <v>1</v>
      </c>
    </row>
    <row r="68" spans="2:13" ht="15" hidden="1" customHeight="1">
      <c r="B68" s="49" t="str">
        <f t="shared" si="12"/>
        <v>per 100 referrals</v>
      </c>
      <c r="C68" s="49">
        <f t="shared" si="12"/>
        <v>0.36</v>
      </c>
      <c r="D68" s="49">
        <f t="shared" si="12"/>
        <v>0.01</v>
      </c>
      <c r="E68" s="49">
        <f>MAX(C68:D68)</f>
        <v>0.36</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4936</v>
      </c>
      <c r="D6" s="34"/>
      <c r="E6" s="33">
        <f>'Data Entry'!J6</f>
        <v>460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41</v>
      </c>
      <c r="D7" s="34">
        <f>IF((AND(C66&gt;0,C7&gt;0)),(C7/C66),0)</f>
        <v>8.3063209076175042</v>
      </c>
      <c r="E7" s="33">
        <f>'Data Entry'!J7</f>
        <v>5</v>
      </c>
      <c r="F7" s="34">
        <f>IF((AND($E$7&gt;0,$D$66&gt;0)),($E$7/$D$66),0)</f>
        <v>10.869565217391305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5</v>
      </c>
      <c r="O7" s="42">
        <f>E6-E7</f>
        <v>455</v>
      </c>
      <c r="P7" s="42">
        <f t="shared" ref="P7:P15" si="4">C7</f>
        <v>41</v>
      </c>
      <c r="Q7" s="42">
        <f>C6-C7</f>
        <v>4895</v>
      </c>
      <c r="R7" s="42">
        <f t="shared" ref="R7:R15" si="5">SUM(N7:Q7)</f>
        <v>5396</v>
      </c>
      <c r="S7" s="30">
        <f t="shared" ref="S7:S15" si="6">R7*((((N7*Q7)-(O7*P7))^2))</f>
        <v>182775470400</v>
      </c>
      <c r="T7" s="30">
        <f t="shared" ref="T7:T15" si="7">(N7+O7)*(P7+Q7)*(N7+P7)*(O7+Q7)</f>
        <v>558784816000</v>
      </c>
      <c r="U7" s="31">
        <f t="shared" ref="U7:U15" si="8">IF((S7&gt;0),S7/T7,"- -")</f>
        <v>0.32709455440893725</v>
      </c>
    </row>
    <row r="8" spans="2:21" ht="18" customHeight="1">
      <c r="B8" s="32" t="str">
        <f>'Data Entry'!A8</f>
        <v>3. Refer to Juvenile Court</v>
      </c>
      <c r="C8" s="33">
        <f>'Data Entry'!C8</f>
        <v>36</v>
      </c>
      <c r="D8" s="34">
        <f>IF((AND(C67&gt;0,C8&gt;0)),(C8/C67),0)</f>
        <v>87.804878048780495</v>
      </c>
      <c r="E8" s="33">
        <f>'Data Entry'!J8</f>
        <v>4</v>
      </c>
      <c r="F8" s="34">
        <f>IF((AND($E$8&gt;0,$D$67&gt;0)),($E8/$D67),0)</f>
        <v>80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1.05</v>
      </c>
      <c r="P8" s="42">
        <f t="shared" si="4"/>
        <v>36</v>
      </c>
      <c r="Q8" s="42">
        <f>(C$67*L67)-C8</f>
        <v>5</v>
      </c>
      <c r="R8" s="42">
        <f t="shared" si="5"/>
        <v>46.05</v>
      </c>
      <c r="S8" s="30">
        <f t="shared" si="6"/>
        <v>14590.482000000005</v>
      </c>
      <c r="T8" s="30">
        <f t="shared" si="7"/>
        <v>50106.1</v>
      </c>
      <c r="U8" s="31">
        <f t="shared" si="8"/>
        <v>0.2911917311465072</v>
      </c>
    </row>
    <row r="9" spans="2:21" ht="18" customHeight="1">
      <c r="B9" s="32" t="str">
        <f>'Data Entry'!A9</f>
        <v xml:space="preserve">4. Cases Diverted </v>
      </c>
      <c r="C9" s="33">
        <f>'Data Entry'!C9</f>
        <v>6</v>
      </c>
      <c r="D9" s="34">
        <f>IF((AND(C68&gt;0,C9&gt;0)),((C9/C68)),0)</f>
        <v>16.666666666666668</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4</v>
      </c>
      <c r="P9" s="42">
        <f t="shared" si="4"/>
        <v>6</v>
      </c>
      <c r="Q9" s="42">
        <f>(C$68*L68)-C9</f>
        <v>30</v>
      </c>
      <c r="R9" s="42">
        <f t="shared" si="5"/>
        <v>40</v>
      </c>
      <c r="S9" s="30">
        <f t="shared" si="6"/>
        <v>23040</v>
      </c>
      <c r="T9" s="30">
        <f t="shared" si="7"/>
        <v>29376</v>
      </c>
      <c r="U9" s="31">
        <f t="shared" si="8"/>
        <v>0.78431372549019607</v>
      </c>
    </row>
    <row r="10" spans="2:21" ht="18" customHeight="1">
      <c r="B10" s="32" t="str">
        <f>'Data Entry'!A10</f>
        <v>5. Cases Involving Secure Detention</v>
      </c>
      <c r="C10" s="33">
        <f>'Data Entry'!C10</f>
        <v>6</v>
      </c>
      <c r="D10" s="34">
        <f>IF(((AND(C68&gt;0,C10&gt;0))),(C10/(C68)),0)</f>
        <v>16.666666666666668</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4</v>
      </c>
      <c r="P10" s="42">
        <f t="shared" si="4"/>
        <v>6</v>
      </c>
      <c r="Q10" s="42">
        <f>(C$68*L68)-C10</f>
        <v>30</v>
      </c>
      <c r="R10" s="42">
        <f t="shared" si="5"/>
        <v>40</v>
      </c>
      <c r="S10" s="30">
        <f t="shared" si="6"/>
        <v>23040</v>
      </c>
      <c r="T10" s="30">
        <f t="shared" si="7"/>
        <v>29376</v>
      </c>
      <c r="U10" s="31">
        <f t="shared" si="8"/>
        <v>0.78431372549019607</v>
      </c>
    </row>
    <row r="11" spans="2:21" ht="18" customHeight="1">
      <c r="B11" s="32" t="str">
        <f>'Data Entry'!A11</f>
        <v>6. Cases Petitioned (Charge Filed)</v>
      </c>
      <c r="C11" s="33">
        <f>'Data Entry'!C11</f>
        <v>23</v>
      </c>
      <c r="D11" s="34">
        <f>IF(((AND(C68&gt;0,C11&gt;0))),(C11/(C68)),0)</f>
        <v>63.888888888888893</v>
      </c>
      <c r="E11" s="33">
        <f>'Data Entry'!J11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2</v>
      </c>
      <c r="P11" s="42">
        <f t="shared" si="4"/>
        <v>23</v>
      </c>
      <c r="Q11" s="42">
        <f>(C$68*L68)-C11</f>
        <v>13</v>
      </c>
      <c r="R11" s="42">
        <f t="shared" si="5"/>
        <v>40</v>
      </c>
      <c r="S11" s="30">
        <f t="shared" si="6"/>
        <v>16000</v>
      </c>
      <c r="T11" s="30">
        <f t="shared" si="7"/>
        <v>54000</v>
      </c>
      <c r="U11" s="31">
        <f t="shared" si="8"/>
        <v>0.29629629629629628</v>
      </c>
    </row>
    <row r="12" spans="2:21" ht="18" customHeight="1">
      <c r="B12" s="32" t="str">
        <f>'Data Entry'!A12</f>
        <v>7. Cases Resulting in Delinquent Findings</v>
      </c>
      <c r="C12" s="33">
        <f>'Data Entry'!C12</f>
        <v>6</v>
      </c>
      <c r="D12" s="34">
        <f>IF(((AND(C69&gt;0,C12&gt;0))),(C12/(C69)),0)</f>
        <v>26.086956521739129</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6</v>
      </c>
      <c r="Q12" s="42">
        <f>(C69*L69)-C12</f>
        <v>17</v>
      </c>
      <c r="R12" s="42">
        <f t="shared" si="5"/>
        <v>25</v>
      </c>
      <c r="S12" s="30">
        <f t="shared" si="6"/>
        <v>3600</v>
      </c>
      <c r="T12" s="30">
        <f t="shared" si="7"/>
        <v>5244</v>
      </c>
      <c r="U12" s="31">
        <f t="shared" si="8"/>
        <v>0.68649885583524028</v>
      </c>
    </row>
    <row r="13" spans="2:21" ht="18" customHeight="1">
      <c r="B13" s="32" t="str">
        <f>'Data Entry'!A13</f>
        <v>8. Cases Resulting in Probation Placement</v>
      </c>
      <c r="C13" s="33">
        <f>'Data Entry'!C13</f>
        <v>1</v>
      </c>
      <c r="D13" s="34">
        <f>IF(((AND(C70&gt;0,C13&gt;0))),(C13/(C70)),0)</f>
        <v>16.666666666666668</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23</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4.9359999999999999</v>
      </c>
      <c r="D42" s="56">
        <f>E6/1000</f>
        <v>0.46</v>
      </c>
      <c r="E42" s="56">
        <f>MAX(C42:D42)</f>
        <v>4.9359999999999999</v>
      </c>
      <c r="G42" s="1" t="str">
        <f>B42</f>
        <v>per 1000 youth</v>
      </c>
      <c r="L42" s="57">
        <v>1000</v>
      </c>
      <c r="M42" s="57"/>
      <c r="R42" s="49"/>
    </row>
    <row r="43" spans="2:18" ht="15" hidden="1" customHeight="1">
      <c r="B43" s="49" t="s">
        <v>87</v>
      </c>
      <c r="C43" s="56">
        <f>C7/100</f>
        <v>0.41</v>
      </c>
      <c r="D43" s="56">
        <f>E7/100</f>
        <v>0.05</v>
      </c>
      <c r="E43" s="56">
        <f>MAX(C43:D43,0)</f>
        <v>0.41</v>
      </c>
      <c r="G43" s="1" t="str">
        <f>B43</f>
        <v>per 100 arrests</v>
      </c>
      <c r="L43" s="57">
        <v>100</v>
      </c>
      <c r="M43" s="57"/>
      <c r="R43" s="49"/>
    </row>
    <row r="44" spans="2:18" ht="15" hidden="1" customHeight="1">
      <c r="B44" s="49" t="s">
        <v>88</v>
      </c>
      <c r="C44" s="56">
        <f>C8/100</f>
        <v>0.36</v>
      </c>
      <c r="D44" s="56">
        <f>E8/100</f>
        <v>0.04</v>
      </c>
      <c r="E44" s="56">
        <f>MAX(C44:D44,0)</f>
        <v>0.36</v>
      </c>
      <c r="G44" s="1" t="str">
        <f>B44</f>
        <v>per 100 referrals</v>
      </c>
      <c r="L44" s="57">
        <v>100</v>
      </c>
      <c r="M44" s="57"/>
      <c r="R44" s="49"/>
    </row>
    <row r="45" spans="2:18" ht="15" hidden="1" customHeight="1">
      <c r="B45" s="49" t="s">
        <v>89</v>
      </c>
      <c r="C45" s="49">
        <f>C11/100</f>
        <v>0.23</v>
      </c>
      <c r="D45" s="49">
        <f>E11/100</f>
        <v>0.02</v>
      </c>
      <c r="E45" s="56">
        <f>MAX(C45:D45,0)</f>
        <v>0.23</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4.9359999999999999</v>
      </c>
      <c r="D48" s="56">
        <f>D42</f>
        <v>0.46</v>
      </c>
      <c r="E48" s="56">
        <f>MAX(C48:D48)</f>
        <v>4.9359999999999999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0.41</v>
      </c>
      <c r="D49" s="49">
        <f t="shared" si="9"/>
        <v>0.05</v>
      </c>
      <c r="E49" s="49">
        <f>MAX(C49:D49)</f>
        <v>0.41</v>
      </c>
      <c r="G49" s="1" t="str">
        <f>G43</f>
        <v>per 100 arrests</v>
      </c>
      <c r="L49" s="58">
        <f>IF(($E43&gt;0),L43,L42)</f>
        <v>100</v>
      </c>
      <c r="M49" s="58"/>
      <c r="N49" s="21"/>
      <c r="O49" s="21"/>
      <c r="P49" s="21"/>
      <c r="Q49" s="21"/>
      <c r="R49" s="21"/>
    </row>
    <row r="50" spans="2:18" ht="15" hidden="1" customHeight="1">
      <c r="B50" s="49" t="str">
        <f t="shared" si="9"/>
        <v>per 100 referrals</v>
      </c>
      <c r="C50" s="49">
        <f t="shared" si="9"/>
        <v>0.36</v>
      </c>
      <c r="D50" s="49">
        <f t="shared" si="9"/>
        <v>0.04</v>
      </c>
      <c r="E50" s="49">
        <f>MAX(C50:D50)</f>
        <v>0.36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0.02</v>
      </c>
      <c r="E51" s="49">
        <f>MAX(C51:D51)</f>
        <v>0.23</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4.9359999999999999</v>
      </c>
      <c r="D54" s="56">
        <f>D48</f>
        <v>0.46</v>
      </c>
      <c r="E54" s="56">
        <f>MAX(C54:D54)</f>
        <v>4.9359999999999999</v>
      </c>
      <c r="G54" s="1" t="str">
        <f>G48</f>
        <v>per 1000 youth</v>
      </c>
      <c r="L54" s="58">
        <f>L48</f>
        <v>1000</v>
      </c>
      <c r="M54" s="58"/>
    </row>
    <row r="55" spans="2:18" ht="15" hidden="1" customHeight="1">
      <c r="B55" s="49" t="str">
        <f t="shared" ref="B55:D56" si="10">IF(($E49&gt;0),B49,B48)</f>
        <v>per 100 arrests</v>
      </c>
      <c r="C55" s="49">
        <f t="shared" si="10"/>
        <v>0.41</v>
      </c>
      <c r="D55" s="49">
        <f t="shared" si="10"/>
        <v>0.05</v>
      </c>
      <c r="E55" s="49">
        <f>MAX(C55:D55)</f>
        <v>0.41</v>
      </c>
      <c r="G55" s="1" t="str">
        <f>G49</f>
        <v>per 100 arrests</v>
      </c>
      <c r="L55" s="58">
        <f>IF(($E49&gt;0),L49,L48)</f>
        <v>100</v>
      </c>
      <c r="M55" s="58"/>
    </row>
    <row r="56" spans="2:18" ht="15" hidden="1" customHeight="1">
      <c r="B56" s="49" t="str">
        <f t="shared" si="10"/>
        <v>per 100 referrals</v>
      </c>
      <c r="C56" s="49">
        <f t="shared" si="10"/>
        <v>0.36</v>
      </c>
      <c r="D56" s="49">
        <f t="shared" si="10"/>
        <v>0.04</v>
      </c>
      <c r="E56" s="49">
        <f>MAX(C56:D56)</f>
        <v>0.36</v>
      </c>
      <c r="G56" s="1" t="str">
        <f>G50</f>
        <v>per 100 referrals</v>
      </c>
      <c r="L56" s="58">
        <f>IF(($E50&gt;0),L50,L49)</f>
        <v>100</v>
      </c>
      <c r="M56" s="58"/>
    </row>
    <row r="57" spans="2:18" ht="15" hidden="1" customHeight="1">
      <c r="B57" s="49" t="str">
        <f>IF(($E51&gt;0),B51,B49)</f>
        <v>per 100 youth petitioned</v>
      </c>
      <c r="C57" s="49">
        <f>IF(($E51&gt;0),C51,C50)</f>
        <v>0.23</v>
      </c>
      <c r="D57" s="49">
        <f>IF(($E51&gt;0),D51,D50)</f>
        <v>0.02</v>
      </c>
      <c r="E57" s="49">
        <f>MAX(C57:D57)</f>
        <v>0.23</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4.9359999999999999</v>
      </c>
      <c r="D60" s="56">
        <f>D54</f>
        <v>0.46</v>
      </c>
      <c r="E60" s="56">
        <f>MAX(C60:D60)</f>
        <v>4.9359999999999999</v>
      </c>
      <c r="G60" s="1" t="str">
        <f>G54</f>
        <v>per 1000 youth</v>
      </c>
      <c r="L60" s="58">
        <f>L54</f>
        <v>1000</v>
      </c>
      <c r="M60" s="58"/>
    </row>
    <row r="61" spans="2:18" ht="15" hidden="1" customHeight="1">
      <c r="B61" s="49" t="str">
        <f t="shared" ref="B61:D62" si="11">IF(($E55&gt;0),B55,B54)</f>
        <v>per 100 arrests</v>
      </c>
      <c r="C61" s="49">
        <f t="shared" si="11"/>
        <v>0.41</v>
      </c>
      <c r="D61" s="49">
        <f t="shared" si="11"/>
        <v>0.05</v>
      </c>
      <c r="E61" s="49">
        <f>MAX(C61:D61)</f>
        <v>0.41</v>
      </c>
      <c r="G61" s="1" t="str">
        <f>G55</f>
        <v>per 100 arrests</v>
      </c>
      <c r="L61" s="58">
        <f>IF(($E55&gt;0),L55,L54)</f>
        <v>100</v>
      </c>
      <c r="M61" s="58"/>
    </row>
    <row r="62" spans="2:18" ht="15" hidden="1" customHeight="1">
      <c r="B62" s="49" t="str">
        <f t="shared" si="11"/>
        <v>per 100 referrals</v>
      </c>
      <c r="C62" s="49">
        <f t="shared" si="11"/>
        <v>0.36</v>
      </c>
      <c r="D62" s="49">
        <f t="shared" si="11"/>
        <v>0.04</v>
      </c>
      <c r="E62" s="49">
        <f>MAX(C62:D62)</f>
        <v>0.36</v>
      </c>
      <c r="G62" s="1" t="str">
        <f>G56</f>
        <v>per 100 referrals</v>
      </c>
      <c r="L62" s="58">
        <f>IF(($E56&gt;0),L56,L55)</f>
        <v>100</v>
      </c>
      <c r="M62" s="58"/>
    </row>
    <row r="63" spans="2:18" ht="15" hidden="1" customHeight="1">
      <c r="B63" s="49" t="str">
        <f>IF(($E57&gt;0),B57,B55)</f>
        <v>per 100 youth petitioned</v>
      </c>
      <c r="C63" s="49">
        <f>IF(($E57&gt;0),C57,C56)</f>
        <v>0.23</v>
      </c>
      <c r="D63" s="49">
        <f>IF(($E57&gt;0),D57,D56)</f>
        <v>0.02</v>
      </c>
      <c r="E63" s="49">
        <f>MAX(C63:D63)</f>
        <v>0.23</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4.9359999999999999</v>
      </c>
      <c r="D66" s="56">
        <f>D60</f>
        <v>0.46</v>
      </c>
      <c r="E66" s="56">
        <f>MAX(C66:D66)</f>
        <v>4.9359999999999999</v>
      </c>
      <c r="G66" s="1" t="str">
        <f>G60</f>
        <v>per 1000 youth</v>
      </c>
      <c r="L66" s="58">
        <f>L60</f>
        <v>1000</v>
      </c>
      <c r="M66" s="58">
        <f>IF((B66=G66),1,2)</f>
        <v>1</v>
      </c>
    </row>
    <row r="67" spans="2:13" ht="15" hidden="1" customHeight="1">
      <c r="B67" s="49" t="str">
        <f t="shared" ref="B67:D68" si="12">IF(($E61&gt;0),B61,B60)</f>
        <v>per 100 arrests</v>
      </c>
      <c r="C67" s="49">
        <f t="shared" si="12"/>
        <v>0.41</v>
      </c>
      <c r="D67" s="49">
        <f t="shared" si="12"/>
        <v>0.05</v>
      </c>
      <c r="E67" s="49">
        <f>MAX(C67:D67)</f>
        <v>0.41</v>
      </c>
      <c r="G67" s="1" t="str">
        <f>G61</f>
        <v>per 100 arrests</v>
      </c>
      <c r="L67" s="58">
        <f>IF(($E61&gt;0),L61,L60)</f>
        <v>100</v>
      </c>
      <c r="M67" s="58">
        <f>IF((B67=G67),1,2)</f>
        <v>1</v>
      </c>
    </row>
    <row r="68" spans="2:13" ht="15" hidden="1" customHeight="1">
      <c r="B68" s="49" t="str">
        <f t="shared" si="12"/>
        <v>per 100 referrals</v>
      </c>
      <c r="C68" s="49">
        <f t="shared" si="12"/>
        <v>0.36</v>
      </c>
      <c r="D68" s="49">
        <f t="shared" si="12"/>
        <v>0.04</v>
      </c>
      <c r="E68" s="49">
        <f>MAX(C68:D68)</f>
        <v>0.36</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0.02</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Marquette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20</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5396</v>
      </c>
      <c r="D3" s="57">
        <f>'Data Entry'!C6</f>
        <v>4936</v>
      </c>
      <c r="E3" s="57">
        <f>'Data Entry'!D6</f>
        <v>113</v>
      </c>
      <c r="F3" s="57">
        <f>'Data Entry'!E6</f>
        <v>143</v>
      </c>
      <c r="G3" s="57">
        <f>'Data Entry'!F6</f>
        <v>44</v>
      </c>
      <c r="H3" s="57">
        <f>'Data Entry'!G6</f>
        <v>0</v>
      </c>
      <c r="I3" s="57">
        <f>'Data Entry'!H6</f>
        <v>160</v>
      </c>
      <c r="J3" s="57">
        <f>'Data Entry'!I6</f>
        <v>0</v>
      </c>
      <c r="K3" s="57">
        <f>'Data Entry'!J6</f>
        <v>460</v>
      </c>
    </row>
    <row r="4" spans="2:11" ht="15" customHeight="1">
      <c r="B4" s="16" t="s">
        <v>8</v>
      </c>
      <c r="C4" s="1">
        <f>IF((C$3&gt;0),(1000*('Data Entry'!B7/'Data Entry'!B$6)), 0)</f>
        <v>9.080800593031876</v>
      </c>
      <c r="D4" s="1">
        <f>IF((D$3&gt;0),(1000*('Data Entry'!C7/'Data Entry'!C$6)), 0)</f>
        <v>8.3063209076175042</v>
      </c>
      <c r="E4" s="1">
        <f>IF((E$3&gt;0),(1000*('Data Entry'!D7/'Data Entry'!D$6)), 0)</f>
        <v>17.699115044247787</v>
      </c>
      <c r="F4" s="1">
        <f>IF((F$3&gt;0),(1000*('Data Entry'!E7/'Data Entry'!E$6)), 0)</f>
        <v>0</v>
      </c>
      <c r="G4" s="1">
        <f>IF((G$3&gt;0),(1000*('Data Entry'!F7/'Data Entry'!F$6)), 0)</f>
        <v>0</v>
      </c>
      <c r="H4" s="1">
        <f>IF((H$3&gt;0),(1000*('Data Entry'!G7/'Data Entry'!G$6)), 0)</f>
        <v>0</v>
      </c>
      <c r="I4" s="1">
        <f>IF((I$3&gt;0),(1000*('Data Entry'!H7/'Data Entry'!H$6)), 0)</f>
        <v>18.75</v>
      </c>
      <c r="J4" s="1">
        <f>IF((J$3&gt;0),(1000*('Data Entry'!I7/'Data Entry'!I$6)), 0)</f>
        <v>0</v>
      </c>
      <c r="K4" s="1">
        <f>IF((K$3&gt;0),(1000*('Data Entry'!J7/'Data Entry'!J$6)), 0)</f>
        <v>10.869565217391305</v>
      </c>
    </row>
    <row r="5" spans="2:11" ht="15" customHeight="1">
      <c r="B5" s="16" t="s">
        <v>9</v>
      </c>
      <c r="C5" s="1">
        <f>IF((C$3&gt;0),(1000*('Data Entry'!B8/'Data Entry'!B$6)), 0)</f>
        <v>8.3395107487027431</v>
      </c>
      <c r="D5" s="1">
        <f>IF((D$3&gt;0),(1000*('Data Entry'!C8/'Data Entry'!C$6)), 0)</f>
        <v>7.293354943273906</v>
      </c>
      <c r="E5" s="1">
        <f>IF((E$3&gt;0),(1000*('Data Entry'!D8/'Data Entry'!D$6)), 0)</f>
        <v>26.548672566371682</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8.695652173913043</v>
      </c>
    </row>
    <row r="6" spans="2:11" ht="15" customHeight="1">
      <c r="B6" s="16" t="s">
        <v>10</v>
      </c>
      <c r="C6" s="1">
        <f>IF((C$3&gt;0),(1000*('Data Entry'!B9/'Data Entry'!B$6)), 0)</f>
        <v>1.1119347664936989</v>
      </c>
      <c r="D6" s="1">
        <f>IF((D$3&gt;0),(1000*('Data Entry'!C9/'Data Entry'!C$6)), 0)</f>
        <v>1.2155591572123177</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1.1119347664936989</v>
      </c>
      <c r="D7" s="1">
        <f>IF((D$3&gt;0),(1000*('Data Entry'!C10/'Data Entry'!C$6)), 0)</f>
        <v>1.2155591572123177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5.3743513713862123</v>
      </c>
      <c r="D8" s="1">
        <f>IF((D$3&gt;0),(1000*('Data Entry'!C11/'Data Entry'!C$6)), 0)</f>
        <v>4.6596434359805512</v>
      </c>
      <c r="E8" s="1">
        <f>IF((E$3&gt;0),(1000*('Data Entry'!D11/'Data Entry'!D$6)), 0)</f>
        <v>17.699115044247787</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4.3478260869565215</v>
      </c>
    </row>
    <row r="9" spans="2:11" ht="15" customHeight="1">
      <c r="B9" s="16" t="s">
        <v>13</v>
      </c>
      <c r="C9" s="1">
        <f>IF((C$3&gt;0),(1000*('Data Entry'!B12/'Data Entry'!B$6)), 0)</f>
        <v>1.2972572275759822</v>
      </c>
      <c r="D9" s="1">
        <f>IF((D$3&gt;0),(1000*('Data Entry'!C12/'Data Entry'!C$6)), 0)</f>
        <v>1.2155591572123177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0.18532246108228317</v>
      </c>
      <c r="D10" s="1">
        <f>IF((D$3&gt;0),(1000*('Data Entry'!C13/'Data Entry'!C$6)), 0)</f>
        <v>0.2025931928687196</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0.18532246108228317</v>
      </c>
      <c r="D11" s="1">
        <f>IF((D$3&gt;0),(1000*('Data Entry'!C14/'Data Entry'!C$6)), 0)</f>
        <v>0.2025931928687196</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Marquette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2.1308007770343189</v>
      </c>
      <c r="E19" s="72" t="str">
        <f t="shared" si="1"/>
        <v>--</v>
      </c>
      <c r="F19" s="72" t="str">
        <f t="shared" si="1"/>
        <v>--</v>
      </c>
      <c r="G19" s="72" t="str">
        <f t="shared" si="1"/>
        <v>--</v>
      </c>
      <c r="H19" s="72">
        <f t="shared" si="1"/>
        <v>2.2573170731707317</v>
      </c>
      <c r="I19" s="72" t="str">
        <f t="shared" si="1"/>
        <v>--</v>
      </c>
      <c r="J19" s="73">
        <f t="shared" si="1"/>
        <v>1.3085896076352068</v>
      </c>
    </row>
    <row r="20" spans="2:10" ht="15" customHeight="1">
      <c r="B20" s="71" t="s">
        <v>9</v>
      </c>
      <c r="C20" s="72">
        <f t="shared" ref="C20:J27" si="2">IF(AND(($D5&gt;0),(D5&gt;0)), (D5/$D5),"--")</f>
        <v>1</v>
      </c>
      <c r="D20" s="72">
        <f t="shared" si="2"/>
        <v>3.640117994100295</v>
      </c>
      <c r="E20" s="72" t="str">
        <f t="shared" si="2"/>
        <v>--</v>
      </c>
      <c r="F20" s="72" t="str">
        <f t="shared" si="2"/>
        <v>--</v>
      </c>
      <c r="G20" s="72" t="str">
        <f t="shared" si="2"/>
        <v>--</v>
      </c>
      <c r="H20" s="72" t="str">
        <f t="shared" si="2"/>
        <v>--</v>
      </c>
      <c r="I20" s="72" t="str">
        <f t="shared" si="2"/>
        <v>--</v>
      </c>
      <c r="J20" s="73">
        <f t="shared" si="2"/>
        <v>1.1922705314009661</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3.7983839938437858</v>
      </c>
      <c r="E23" s="72" t="str">
        <f t="shared" si="2"/>
        <v>--</v>
      </c>
      <c r="F23" s="72" t="str">
        <f t="shared" si="2"/>
        <v>--</v>
      </c>
      <c r="G23" s="72" t="str">
        <f t="shared" si="2"/>
        <v>--</v>
      </c>
      <c r="H23" s="72" t="str">
        <f t="shared" si="2"/>
        <v>--</v>
      </c>
      <c r="I23" s="72" t="str">
        <f t="shared" si="2"/>
        <v>--</v>
      </c>
      <c r="J23" s="73">
        <f t="shared" si="2"/>
        <v>0.9330812854442343</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Marquette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4936</v>
      </c>
      <c r="D7" s="104">
        <f>'Data Entry'!D6</f>
        <v>113</v>
      </c>
      <c r="E7" s="105"/>
      <c r="F7" s="106">
        <f>'Data Entry'!E6</f>
        <v>143</v>
      </c>
      <c r="G7" s="105"/>
      <c r="H7" s="106">
        <f>'Data Entry'!F6</f>
        <v>44</v>
      </c>
      <c r="I7" s="105"/>
      <c r="J7" s="106">
        <f>'Data Entry'!G6</f>
        <v>0</v>
      </c>
      <c r="K7" s="105"/>
      <c r="L7" s="106">
        <f>'Data Entry'!H6</f>
        <v>160</v>
      </c>
      <c r="M7" s="105"/>
      <c r="N7" s="106">
        <f>'Data Entry'!I6</f>
        <v>0</v>
      </c>
      <c r="O7" s="105"/>
      <c r="P7" s="106">
        <f>'Data Entry'!J6</f>
        <v>460</v>
      </c>
      <c r="Q7" s="107"/>
    </row>
    <row r="8" spans="2:26" s="1" customFormat="1" ht="15" customHeight="1">
      <c r="B8" s="142" t="s">
        <v>8</v>
      </c>
      <c r="C8" s="103">
        <f>'Data Entry'!C7</f>
        <v>41</v>
      </c>
      <c r="D8" s="104">
        <f>'Data Entry'!D7</f>
        <v>2</v>
      </c>
      <c r="E8" s="105" t="str">
        <f>'Black or African-American'!$G7</f>
        <v>**</v>
      </c>
      <c r="F8" s="106">
        <f>'Data Entry'!E7</f>
        <v>0</v>
      </c>
      <c r="G8" s="105" t="str">
        <f>Hispanic!G7</f>
        <v>**</v>
      </c>
      <c r="H8" s="106">
        <f>'Data Entry'!F7</f>
        <v>0</v>
      </c>
      <c r="I8" s="105" t="str">
        <f>Asian!G7</f>
        <v>*</v>
      </c>
      <c r="J8" s="106">
        <f>'Data Entry'!G7</f>
        <v>0</v>
      </c>
      <c r="K8" s="105" t="str">
        <f>Hawaiian!G7</f>
        <v>*</v>
      </c>
      <c r="L8" s="106">
        <f>'Data Entry'!H7</f>
        <v>3</v>
      </c>
      <c r="M8" s="105" t="str">
        <f>'Am Indian'!G7</f>
        <v>**</v>
      </c>
      <c r="N8" s="106">
        <f>'Data Entry'!I7</f>
        <v>0</v>
      </c>
      <c r="O8" s="105" t="str">
        <f>'Other - Mixed'!G7</f>
        <v>*</v>
      </c>
      <c r="P8" s="106">
        <f>'Data Entry'!J7</f>
        <v>5</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36</v>
      </c>
      <c r="D9" s="108">
        <f>'Data Entry'!D8</f>
        <v>3</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4</v>
      </c>
      <c r="Q9" s="111" t="str">
        <f>'All Minorities'!G8</f>
        <v>**</v>
      </c>
      <c r="R9"/>
      <c r="T9" s="1">
        <f>'Black or African-American'!L8</f>
        <v>20</v>
      </c>
      <c r="U9" s="1">
        <f>Hispanic!L8</f>
        <v>40</v>
      </c>
      <c r="V9" s="1">
        <f>Asian!L8</f>
        <v>139</v>
      </c>
      <c r="W9" s="1">
        <f>Hawaiian!L8</f>
        <v>139</v>
      </c>
      <c r="X9" s="1">
        <f>'Am Indian'!L8</f>
        <v>20</v>
      </c>
      <c r="Y9" s="1">
        <f>'Other - Mixed'!L8</f>
        <v>119</v>
      </c>
      <c r="Z9" s="1">
        <f>'All Minorities'!L8</f>
        <v>40</v>
      </c>
    </row>
    <row r="10" spans="2:26" s="1" customFormat="1" ht="15" customHeight="1">
      <c r="B10" s="142" t="s">
        <v>10</v>
      </c>
      <c r="C10" s="103">
        <f>'Data Entry'!C9</f>
        <v>6</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t="e">
        <f>Hispanic!L9</f>
        <v>#VALUE!</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6</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23</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6</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1</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Marquette</v>
      </c>
    </row>
    <row r="6" spans="1:12">
      <c r="A6" s="135" t="str">
        <f>CONCATENATE("Percentage of Minorities at Stages of the Juvenile Justice System, ", A5, " 2022")</f>
        <v>Percentage of Minorities at Stages of the Juvenile Justice System, County: Marquette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10.730434782608695</v>
      </c>
    </row>
    <row r="8" spans="1:12" ht="25.5" customHeight="1">
      <c r="A8" s="151" t="str">
        <f>CONCATENATE("Confinement, total N=", 'Data Entry'!B14)</f>
        <v>Confinement, total N=1</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v>
      </c>
      <c r="L8">
        <f>I14/(SUM(B14:G14))</f>
        <v>10.730434782608695</v>
      </c>
    </row>
    <row r="9" spans="1:12">
      <c r="A9" s="128" t="str">
        <f>CONCATENATE("Delinquent Findings, total N=", 'Data Entry'!B12)</f>
        <v>Delinquent Findings, total N=7</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0.8571428571428571</v>
      </c>
      <c r="K9" s="96" t="str">
        <f t="shared" si="0"/>
        <v>Delinquent Findings, total N=7</v>
      </c>
      <c r="L9">
        <f>I14/(SUM(B14:G14))</f>
        <v>10.730434782608695</v>
      </c>
    </row>
    <row r="10" spans="1:12">
      <c r="A10" s="128" t="str">
        <f>CONCATENATE("Petitions, total N=", 'Data Entry'!B11)</f>
        <v>Petitions, total N=29</v>
      </c>
      <c r="B10" s="150">
        <f>'Data Entry'!D11/'Data Entry'!B11</f>
        <v>6.8965517241379309E-2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0.7931034482758621</v>
      </c>
      <c r="K10" s="96" t="str">
        <f t="shared" si="0"/>
        <v>Petitions, total N=29</v>
      </c>
      <c r="L10">
        <f>I14/(SUM(B14:G14))</f>
        <v>10.730434782608695</v>
      </c>
    </row>
    <row r="11" spans="1:12">
      <c r="A11" s="128" t="str">
        <f>CONCATENATE("Detentions, total N=", 'Data Entry'!B10)</f>
        <v>Detentions, total N=6</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N=6</v>
      </c>
      <c r="L11">
        <f>I14/(SUM(B14:G14))</f>
        <v>10.730434782608695</v>
      </c>
    </row>
    <row r="12" spans="1:12">
      <c r="A12" s="128" t="str">
        <f>CONCATENATE("Referrals, total N=", 'Data Entry'!B8)</f>
        <v>Referrals, total N=45</v>
      </c>
      <c r="B12" s="150">
        <f>'Data Entry'!D8/'Data Entry'!B8</f>
        <v>6.6666666666666666E-2</v>
      </c>
      <c r="C12" s="150">
        <f>'Data Entry'!E8/'Data Entry'!B8</f>
        <v>0</v>
      </c>
      <c r="D12" s="150">
        <f>'Data Entry'!F8/'Data Entry'!B8</f>
        <v>0</v>
      </c>
      <c r="E12" s="150">
        <f>'Data Entry'!G8/'Data Entry'!B8</f>
        <v>0</v>
      </c>
      <c r="F12" s="150">
        <f>'Data Entry'!H8/'Data Entry'!B8</f>
        <v>0</v>
      </c>
      <c r="G12" s="150">
        <f>'Data Entry'!I8/'Data Entry'!B8</f>
        <v>2.2222222222222223E-2</v>
      </c>
      <c r="H12" s="150">
        <f>SUM(D12:G12)/'Data Entry'!B8</f>
        <v>4.9382716049382717E-4</v>
      </c>
      <c r="I12" s="150">
        <f>'Data Entry'!C8/'Data Entry'!B8</f>
        <v>0.8</v>
      </c>
      <c r="K12" s="96" t="str">
        <f t="shared" si="0"/>
        <v>Referrals, total N=45</v>
      </c>
      <c r="L12">
        <f>I14/(SUM(B14:G14))</f>
        <v>10.730434782608695</v>
      </c>
    </row>
    <row r="13" spans="1:12">
      <c r="A13" s="128" t="str">
        <f>CONCATENATE("Arrests, total N=", 'Data Entry'!B7)</f>
        <v>Arrests, total N=49</v>
      </c>
      <c r="B13" s="150">
        <f>'Data Entry'!D7/'Data Entry'!B7</f>
        <v>4.0816326530612242E-2</v>
      </c>
      <c r="C13" s="150">
        <f>'Data Entry'!E7/'Data Entry'!B7</f>
        <v>0</v>
      </c>
      <c r="D13" s="150">
        <f>'Data Entry'!F7/'Data Entry'!B7</f>
        <v>0</v>
      </c>
      <c r="E13" s="150">
        <f>'Data Entry'!G7/'Data Entry'!B7</f>
        <v>0</v>
      </c>
      <c r="F13" s="150">
        <f>'Data Entry'!H7/'Data Entry'!B7</f>
        <v>6.1224489795918366E-2</v>
      </c>
      <c r="G13" s="150">
        <f>'Data Entry'!I7/'Data Entry'!B7</f>
        <v>0</v>
      </c>
      <c r="H13" s="150">
        <f>SUM(D13:G13)/'Data Entry'!B7</f>
        <v>1.2494793835901706E-3</v>
      </c>
      <c r="I13" s="150">
        <f>'Data Entry'!C7/'Data Entry'!B7</f>
        <v>0.83673469387755106</v>
      </c>
      <c r="K13" s="96" t="str">
        <f t="shared" si="0"/>
        <v>Arrests, total N=49</v>
      </c>
      <c r="L13">
        <f>I14/(SUM(B14:G14))</f>
        <v>10.730434782608695</v>
      </c>
    </row>
    <row r="14" spans="1:12">
      <c r="A14" s="128" t="str">
        <f>CONCATENATE("Population, total N=", 'Data Entry'!B6)</f>
        <v>Population, total N=5396</v>
      </c>
      <c r="B14" s="150">
        <f>'Data Entry'!D6/'Data Entry'!B6</f>
        <v>2.0941438102298E-2</v>
      </c>
      <c r="C14" s="150">
        <f>'Data Entry'!E6/'Data Entry'!B6</f>
        <v>2.6501111934766494E-2</v>
      </c>
      <c r="D14" s="150">
        <f>'Data Entry'!F6/'Data Entry'!B6</f>
        <v>8.1541882876204601E-3</v>
      </c>
      <c r="E14" s="150">
        <f>'Data Entry'!G6/'Data Entry'!B6</f>
        <v>0</v>
      </c>
      <c r="F14" s="150">
        <f>'Data Entry'!H6/'Data Entry'!B6</f>
        <v>2.9651593773165306E-2</v>
      </c>
      <c r="G14" s="150">
        <f>'Data Entry'!I6/'Data Entry'!B6</f>
        <v>0</v>
      </c>
      <c r="H14" s="150">
        <f>SUM(D14:G14)/'Data Entry'!B6</f>
        <v>7.0062605746452499E-6</v>
      </c>
      <c r="I14" s="150">
        <f>'Data Entry'!C6/'Data Entry'!B6</f>
        <v>0.91475166790214979</v>
      </c>
      <c r="K14" s="96" t="str">
        <f t="shared" si="0"/>
        <v>Population, total N=5396</v>
      </c>
      <c r="L14">
        <f>I14/(SUM(B14:G14))</f>
        <v>10.730434782608695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Marquette</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4936</v>
      </c>
      <c r="D7" s="104">
        <f>'Data Entry'!D6</f>
        <v>113</v>
      </c>
      <c r="E7" s="105"/>
      <c r="F7" s="106">
        <f>'Data Entry'!E6</f>
        <v>143</v>
      </c>
      <c r="G7" s="105"/>
      <c r="H7" s="106">
        <f>'Data Entry'!F6</f>
        <v>44</v>
      </c>
      <c r="I7" s="105"/>
      <c r="J7" s="106">
        <f>'Data Entry'!J6</f>
        <v>460</v>
      </c>
      <c r="K7" s="107"/>
    </row>
    <row r="8" spans="2:30" s="1" customFormat="1" ht="15" customHeight="1">
      <c r="B8" s="121" t="s">
        <v>8</v>
      </c>
      <c r="C8" s="103">
        <f>'Data Entry'!C7</f>
        <v>41</v>
      </c>
      <c r="D8" s="104">
        <f>'Data Entry'!D7</f>
        <v>2</v>
      </c>
      <c r="E8" s="105" t="str">
        <f>'Black or African-American'!$G7</f>
        <v>**</v>
      </c>
      <c r="F8" s="106">
        <f>'Data Entry'!E7</f>
        <v>0</v>
      </c>
      <c r="G8" s="105" t="str">
        <f>Hispanic!G7</f>
        <v>**</v>
      </c>
      <c r="H8" s="106">
        <f>'Data Entry'!F7</f>
        <v>0</v>
      </c>
      <c r="I8" s="105" t="str">
        <f>Asian!G7</f>
        <v>*</v>
      </c>
      <c r="J8" s="106">
        <f>'Data Entry'!J7</f>
        <v>5</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36</v>
      </c>
      <c r="D9" s="108">
        <f>'Data Entry'!D8</f>
        <v>3</v>
      </c>
      <c r="E9" s="109" t="str">
        <f>'Black or African-American'!$G8</f>
        <v>**</v>
      </c>
      <c r="F9" s="110">
        <f>'Data Entry'!E8</f>
        <v>0</v>
      </c>
      <c r="G9" s="109" t="str">
        <f>Hispanic!G8</f>
        <v>**</v>
      </c>
      <c r="H9" s="110">
        <f>'Data Entry'!F8</f>
        <v>0</v>
      </c>
      <c r="I9" s="109" t="str">
        <f>Asian!G8</f>
        <v>*</v>
      </c>
      <c r="J9" s="110">
        <f>'Data Entry'!J8</f>
        <v>4</v>
      </c>
      <c r="K9" s="111" t="str">
        <f>'All Minorities'!G8</f>
        <v>**</v>
      </c>
      <c r="L9"/>
      <c r="N9" s="1">
        <f>'Black or African-American'!L8</f>
        <v>20</v>
      </c>
      <c r="O9" s="1">
        <f>Hispanic!L8</f>
        <v>40</v>
      </c>
      <c r="P9" s="1">
        <f>Asian!L8</f>
        <v>139</v>
      </c>
      <c r="Q9" s="1">
        <f>Hawaiian!L8</f>
        <v>139</v>
      </c>
      <c r="R9" s="1">
        <f>'Am Indian'!L8</f>
        <v>20</v>
      </c>
      <c r="S9" s="1">
        <f>'Other - Mixed'!L8</f>
        <v>119</v>
      </c>
      <c r="T9" s="1">
        <f>'All Minorities'!L8</f>
        <v>40</v>
      </c>
    </row>
    <row r="10" spans="2:30" s="1" customFormat="1" ht="15" customHeight="1">
      <c r="B10" s="121" t="s">
        <v>10</v>
      </c>
      <c r="C10" s="103">
        <f>'Data Entry'!C9</f>
        <v>6</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t="e">
        <f>Hispanic!L9</f>
        <v>#VALUE!</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6</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23</v>
      </c>
      <c r="D12" s="112">
        <f>'Data Entry'!D11</f>
        <v>2</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6</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1</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4936</v>
      </c>
      <c r="D6" s="34"/>
      <c r="E6" s="33">
        <f>'Data Entry'!D6</f>
        <v>113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41</v>
      </c>
      <c r="D7" s="34">
        <f>IF((AND(C66&gt;0,C7&gt;0)),(C7/C66),0)</f>
        <v>8.3063209076175042</v>
      </c>
      <c r="E7" s="33">
        <f>'Data Entry'!D7</f>
        <v>2</v>
      </c>
      <c r="F7" s="34">
        <f>IF((AND($E$7&gt;0,$D$66&gt;0)),($E$7/$D$66),0)</f>
        <v>17.699115044247787</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2</v>
      </c>
      <c r="O7" s="42">
        <f>E6-E7</f>
        <v>111</v>
      </c>
      <c r="P7" s="42">
        <f t="shared" ref="P7:P15" si="2">C7</f>
        <v>41</v>
      </c>
      <c r="Q7" s="42">
        <f>C6-C7</f>
        <v>4895</v>
      </c>
      <c r="R7" s="42">
        <f t="shared" ref="R7:R15" si="3">SUM(N7:Q7)</f>
        <v>5049</v>
      </c>
      <c r="S7" s="30">
        <f t="shared" ref="S7:S15" si="4">R7*((((N7*Q7)-(O7*P7))^2))</f>
        <v>138580513929</v>
      </c>
      <c r="T7" s="30">
        <f t="shared" ref="T7:T15" si="5">(N7+O7)*(P7+Q7)*(N7+P7)*(O7+Q7)</f>
        <v>120064024144</v>
      </c>
      <c r="U7" s="31">
        <f t="shared" ref="U7:U15" si="6">IF((S7&gt;0),S7/T7,"- -")</f>
        <v>1.154221798886168</v>
      </c>
    </row>
    <row r="8" spans="2:21" ht="18" customHeight="1">
      <c r="B8" s="32" t="str">
        <f>'Data Entry'!A8</f>
        <v>3. Refer to Juvenile Court</v>
      </c>
      <c r="C8" s="33">
        <f>'Data Entry'!C8</f>
        <v>36</v>
      </c>
      <c r="D8" s="34">
        <f>IF((AND(C67&gt;0,C8&gt;0)),(C8/C67),0)</f>
        <v>87.804878048780495</v>
      </c>
      <c r="E8" s="33">
        <f>'Data Entry'!D8</f>
        <v>3</v>
      </c>
      <c r="F8" s="34">
        <f>IF((AND($E$8&gt;0,$D$67&gt;0)),($E8/$D67),0)</f>
        <v>150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v>
      </c>
      <c r="O8" s="42">
        <f>((D67*L67)-E8)+0.05</f>
        <v>-0.95</v>
      </c>
      <c r="P8" s="42">
        <f t="shared" si="2"/>
        <v>36</v>
      </c>
      <c r="Q8" s="42">
        <f>(C$67*L67)-C8</f>
        <v>5</v>
      </c>
      <c r="R8" s="42">
        <f t="shared" si="3"/>
        <v>43.05</v>
      </c>
      <c r="S8" s="30">
        <f t="shared" si="4"/>
        <v>104208.55199999997</v>
      </c>
      <c r="T8" s="30">
        <f t="shared" si="5"/>
        <v>13275.697499999998</v>
      </c>
      <c r="U8" s="31">
        <f t="shared" si="6"/>
        <v>7.8495726495726483</v>
      </c>
    </row>
    <row r="9" spans="2:21" ht="18" customHeight="1">
      <c r="B9" s="32" t="str">
        <f>'Data Entry'!A9</f>
        <v xml:space="preserve">4. Cases Diverted </v>
      </c>
      <c r="C9" s="33">
        <f>'Data Entry'!C9</f>
        <v>6</v>
      </c>
      <c r="D9" s="34">
        <f>IF((AND(C68&gt;0,C9&gt;0)),((C9/C68)),0)</f>
        <v>16.666666666666668</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3</v>
      </c>
      <c r="P9" s="42">
        <f t="shared" si="2"/>
        <v>6</v>
      </c>
      <c r="Q9" s="42">
        <f>(C$68*L68)-C9</f>
        <v>30</v>
      </c>
      <c r="R9" s="42">
        <f t="shared" si="3"/>
        <v>39</v>
      </c>
      <c r="S9" s="30">
        <f t="shared" si="4"/>
        <v>12636</v>
      </c>
      <c r="T9" s="30">
        <f t="shared" si="5"/>
        <v>21384</v>
      </c>
      <c r="U9" s="31">
        <f t="shared" si="6"/>
        <v>0.59090909090909094</v>
      </c>
    </row>
    <row r="10" spans="2:21" ht="18" customHeight="1">
      <c r="B10" s="32" t="str">
        <f>'Data Entry'!A10</f>
        <v>5. Cases Involving Secure Detention</v>
      </c>
      <c r="C10" s="33">
        <f>'Data Entry'!C10</f>
        <v>6</v>
      </c>
      <c r="D10" s="34">
        <f>IF(((AND(C68&gt;0,C10&gt;0))),(C10/(C68)),0)</f>
        <v>16.666666666666668</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3</v>
      </c>
      <c r="P10" s="42">
        <f t="shared" si="2"/>
        <v>6</v>
      </c>
      <c r="Q10" s="42">
        <f>(C$68*L68)-C10</f>
        <v>30</v>
      </c>
      <c r="R10" s="42">
        <f t="shared" si="3"/>
        <v>39</v>
      </c>
      <c r="S10" s="30">
        <f t="shared" si="4"/>
        <v>12636</v>
      </c>
      <c r="T10" s="30">
        <f t="shared" si="5"/>
        <v>21384</v>
      </c>
      <c r="U10" s="31">
        <f t="shared" si="6"/>
        <v>0.59090909090909094</v>
      </c>
    </row>
    <row r="11" spans="2:21" ht="18" customHeight="1">
      <c r="B11" s="32" t="str">
        <f>'Data Entry'!A11</f>
        <v>6. Cases Petitioned (Charge Filed)</v>
      </c>
      <c r="C11" s="33">
        <f>'Data Entry'!C11</f>
        <v>23</v>
      </c>
      <c r="D11" s="34">
        <f>IF(((AND(C68&gt;0,C11&gt;0))),(C11/(C68)),0)</f>
        <v>63.888888888888893</v>
      </c>
      <c r="E11" s="33">
        <f>'Data Entry'!D11</f>
        <v>2</v>
      </c>
      <c r="F11" s="34">
        <f>IF(((AND($E$11&gt;0,$D$68&gt;0))),($E$11/($D$68)),0)</f>
        <v>66.666666666666671</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1</v>
      </c>
      <c r="P11" s="42">
        <f t="shared" si="2"/>
        <v>23</v>
      </c>
      <c r="Q11" s="42">
        <f>(C$68*L68)-C11</f>
        <v>13</v>
      </c>
      <c r="R11" s="42">
        <f t="shared" si="3"/>
        <v>39</v>
      </c>
      <c r="S11" s="30">
        <f t="shared" si="4"/>
        <v>351</v>
      </c>
      <c r="T11" s="30">
        <f t="shared" si="5"/>
        <v>37800</v>
      </c>
      <c r="U11" s="31">
        <f t="shared" si="6"/>
        <v>9.285714285714286E-3</v>
      </c>
    </row>
    <row r="12" spans="2:21" ht="18" customHeight="1">
      <c r="B12" s="32" t="str">
        <f>'Data Entry'!A12</f>
        <v>7. Cases Resulting in Delinquent Findings</v>
      </c>
      <c r="C12" s="33">
        <f>'Data Entry'!C12</f>
        <v>6</v>
      </c>
      <c r="D12" s="34">
        <f>IF(((AND(C69&gt;0,C12&gt;0))),(C12/(C69)),0)</f>
        <v>26.086956521739129</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2</v>
      </c>
      <c r="P12" s="42">
        <f t="shared" si="2"/>
        <v>6</v>
      </c>
      <c r="Q12" s="42">
        <f>(C69*L69)-C12</f>
        <v>17</v>
      </c>
      <c r="R12" s="42">
        <f t="shared" si="3"/>
        <v>25</v>
      </c>
      <c r="S12" s="30">
        <f t="shared" si="4"/>
        <v>3600</v>
      </c>
      <c r="T12" s="30">
        <f t="shared" si="5"/>
        <v>5244</v>
      </c>
      <c r="U12" s="31">
        <f t="shared" si="6"/>
        <v>0.68649885583524028</v>
      </c>
    </row>
    <row r="13" spans="2:21" ht="18" customHeight="1">
      <c r="B13" s="32" t="str">
        <f>'Data Entry'!A13</f>
        <v>8. Cases Resulting in Probation Placement</v>
      </c>
      <c r="C13" s="33">
        <f>'Data Entry'!C13</f>
        <v>1</v>
      </c>
      <c r="D13" s="34">
        <f>IF(((AND(C70&gt;0,C13&gt;0))),(C13/(C70)),0)</f>
        <v>16.666666666666668</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v>
      </c>
      <c r="Q13" s="42">
        <f>(C70*L70)-C13</f>
        <v>5</v>
      </c>
      <c r="R13" s="42">
        <f t="shared" si="3"/>
        <v>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5</v>
      </c>
      <c r="R14" s="42">
        <f t="shared" si="3"/>
        <v>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23</v>
      </c>
      <c r="R15" s="42">
        <f t="shared" si="3"/>
        <v>25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4.9359999999999999</v>
      </c>
      <c r="D42" s="56">
        <f>E6/1000</f>
        <v>0.113</v>
      </c>
      <c r="E42" s="56">
        <f>MAX(C42:D42)</f>
        <v>4.9359999999999999</v>
      </c>
      <c r="G42" s="1" t="str">
        <f>B42</f>
        <v>per 1000 youth</v>
      </c>
      <c r="L42" s="57">
        <v>1000</v>
      </c>
      <c r="M42" s="57"/>
      <c r="R42" s="49"/>
    </row>
    <row r="43" spans="2:18" ht="15" hidden="1" customHeight="1">
      <c r="B43" s="49" t="s">
        <v>87</v>
      </c>
      <c r="C43" s="56">
        <f>C7/100</f>
        <v>0.41</v>
      </c>
      <c r="D43" s="56">
        <f>E7/100</f>
        <v>0.02</v>
      </c>
      <c r="E43" s="56">
        <f>MAX(C43:D43,0)</f>
        <v>0.41</v>
      </c>
      <c r="G43" s="1" t="str">
        <f>B43</f>
        <v>per 100 arrests</v>
      </c>
      <c r="L43" s="57">
        <v>100</v>
      </c>
      <c r="M43" s="57"/>
      <c r="R43" s="49"/>
    </row>
    <row r="44" spans="2:18" ht="15" hidden="1" customHeight="1">
      <c r="B44" s="49" t="s">
        <v>88</v>
      </c>
      <c r="C44" s="56">
        <f>C8/100</f>
        <v>0.36</v>
      </c>
      <c r="D44" s="56">
        <f>E8/100</f>
        <v>0.03</v>
      </c>
      <c r="E44" s="56">
        <f>MAX(C44:D44,0)</f>
        <v>0.36</v>
      </c>
      <c r="G44" s="1" t="str">
        <f>B44</f>
        <v>per 100 referrals</v>
      </c>
      <c r="L44" s="57">
        <v>100</v>
      </c>
      <c r="M44" s="57"/>
      <c r="R44" s="49"/>
    </row>
    <row r="45" spans="2:18" ht="15" hidden="1" customHeight="1">
      <c r="B45" s="49" t="s">
        <v>89</v>
      </c>
      <c r="C45" s="49">
        <f>C11/100</f>
        <v>0.23</v>
      </c>
      <c r="D45" s="49">
        <f>E11/100</f>
        <v>0.02</v>
      </c>
      <c r="E45" s="56">
        <f>MAX(C45:D45,0)</f>
        <v>0.23</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4.9359999999999999</v>
      </c>
      <c r="D48" s="56">
        <f>D42</f>
        <v>0.113</v>
      </c>
      <c r="E48" s="56">
        <f>MAX(C48:D48)</f>
        <v>4.9359999999999999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0.41</v>
      </c>
      <c r="D49" s="49">
        <f t="shared" si="9"/>
        <v>0.02</v>
      </c>
      <c r="E49" s="49">
        <f>MAX(C49:D49)</f>
        <v>0.41</v>
      </c>
      <c r="G49" s="1" t="str">
        <f>G43</f>
        <v>per 100 arrests</v>
      </c>
      <c r="L49" s="58">
        <f>IF(($E43&gt;0),L43,L42)</f>
        <v>100</v>
      </c>
      <c r="M49" s="58"/>
      <c r="N49" s="21"/>
      <c r="O49" s="21"/>
      <c r="P49" s="21"/>
      <c r="Q49" s="21"/>
      <c r="R49" s="21"/>
    </row>
    <row r="50" spans="2:18" ht="15" hidden="1" customHeight="1">
      <c r="B50" s="49" t="str">
        <f t="shared" si="9"/>
        <v>per 100 referrals</v>
      </c>
      <c r="C50" s="49">
        <f t="shared" si="9"/>
        <v>0.36</v>
      </c>
      <c r="D50" s="49">
        <f t="shared" si="9"/>
        <v>0.03</v>
      </c>
      <c r="E50" s="49">
        <f>MAX(C50:D50)</f>
        <v>0.36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0.02</v>
      </c>
      <c r="E51" s="49">
        <f>MAX(C51:D51)</f>
        <v>0.23</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4.9359999999999999</v>
      </c>
      <c r="D54" s="56">
        <f>D48</f>
        <v>0.113</v>
      </c>
      <c r="E54" s="56">
        <f>MAX(C54:D54)</f>
        <v>4.9359999999999999</v>
      </c>
      <c r="G54" s="1" t="str">
        <f>G48</f>
        <v>per 1000 youth</v>
      </c>
      <c r="L54" s="58">
        <f>L48</f>
        <v>1000</v>
      </c>
      <c r="M54" s="58"/>
    </row>
    <row r="55" spans="2:18" ht="15" hidden="1" customHeight="1">
      <c r="B55" s="49" t="str">
        <f t="shared" ref="B55:D56" si="10">IF(($E49&gt;0),B49,B48)</f>
        <v>per 100 arrests</v>
      </c>
      <c r="C55" s="49">
        <f t="shared" si="10"/>
        <v>0.41</v>
      </c>
      <c r="D55" s="49">
        <f t="shared" si="10"/>
        <v>0.02</v>
      </c>
      <c r="E55" s="49">
        <f>MAX(C55:D55)</f>
        <v>0.41</v>
      </c>
      <c r="G55" s="1" t="str">
        <f>G49</f>
        <v>per 100 arrests</v>
      </c>
      <c r="L55" s="58">
        <f>IF(($E49&gt;0),L49,L48)</f>
        <v>100</v>
      </c>
      <c r="M55" s="58"/>
    </row>
    <row r="56" spans="2:18" ht="15" hidden="1" customHeight="1">
      <c r="B56" s="49" t="str">
        <f t="shared" si="10"/>
        <v>per 100 referrals</v>
      </c>
      <c r="C56" s="49">
        <f t="shared" si="10"/>
        <v>0.36</v>
      </c>
      <c r="D56" s="49">
        <f t="shared" si="10"/>
        <v>0.03</v>
      </c>
      <c r="E56" s="49">
        <f>MAX(C56:D56)</f>
        <v>0.36</v>
      </c>
      <c r="G56" s="1" t="str">
        <f>G50</f>
        <v>per 100 referrals</v>
      </c>
      <c r="L56" s="58">
        <f>IF(($E50&gt;0),L50,L49)</f>
        <v>100</v>
      </c>
      <c r="M56" s="58"/>
    </row>
    <row r="57" spans="2:18" ht="15" hidden="1" customHeight="1">
      <c r="B57" s="49" t="str">
        <f>IF(($E51&gt;0),B51,B49)</f>
        <v>per 100 youth petitioned</v>
      </c>
      <c r="C57" s="49">
        <f>IF(($E51&gt;0),C51,C50)</f>
        <v>0.23</v>
      </c>
      <c r="D57" s="49">
        <f>IF(($E51&gt;0),D51,D50)</f>
        <v>0.02</v>
      </c>
      <c r="E57" s="49">
        <f>MAX(C57:D57)</f>
        <v>0.23</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4.9359999999999999</v>
      </c>
      <c r="D60" s="56">
        <f>D54</f>
        <v>0.113</v>
      </c>
      <c r="E60" s="56">
        <f>MAX(C60:D60)</f>
        <v>4.9359999999999999</v>
      </c>
      <c r="G60" s="1" t="str">
        <f>G54</f>
        <v>per 1000 youth</v>
      </c>
      <c r="L60" s="58">
        <f>L54</f>
        <v>1000</v>
      </c>
      <c r="M60" s="58"/>
    </row>
    <row r="61" spans="2:18" ht="15" hidden="1" customHeight="1">
      <c r="B61" s="49" t="str">
        <f t="shared" ref="B61:D62" si="11">IF(($E55&gt;0),B55,B54)</f>
        <v>per 100 arrests</v>
      </c>
      <c r="C61" s="49">
        <f t="shared" si="11"/>
        <v>0.41</v>
      </c>
      <c r="D61" s="49">
        <f t="shared" si="11"/>
        <v>0.02</v>
      </c>
      <c r="E61" s="49">
        <f>MAX(C61:D61)</f>
        <v>0.41</v>
      </c>
      <c r="G61" s="1" t="str">
        <f>G55</f>
        <v>per 100 arrests</v>
      </c>
      <c r="L61" s="58">
        <f>IF(($E55&gt;0),L55,L54)</f>
        <v>100</v>
      </c>
      <c r="M61" s="58"/>
    </row>
    <row r="62" spans="2:18" ht="15" hidden="1" customHeight="1">
      <c r="B62" s="49" t="str">
        <f t="shared" si="11"/>
        <v>per 100 referrals</v>
      </c>
      <c r="C62" s="49">
        <f t="shared" si="11"/>
        <v>0.36</v>
      </c>
      <c r="D62" s="49">
        <f t="shared" si="11"/>
        <v>0.03</v>
      </c>
      <c r="E62" s="49">
        <f>MAX(C62:D62)</f>
        <v>0.36</v>
      </c>
      <c r="G62" s="1" t="str">
        <f>G56</f>
        <v>per 100 referrals</v>
      </c>
      <c r="L62" s="58">
        <f>IF(($E56&gt;0),L56,L55)</f>
        <v>100</v>
      </c>
      <c r="M62" s="58"/>
    </row>
    <row r="63" spans="2:18" ht="15" hidden="1" customHeight="1">
      <c r="B63" s="49" t="str">
        <f>IF(($E57&gt;0),B57,B55)</f>
        <v>per 100 youth petitioned</v>
      </c>
      <c r="C63" s="49">
        <f>IF(($E57&gt;0),C57,C56)</f>
        <v>0.23</v>
      </c>
      <c r="D63" s="49">
        <f>IF(($E57&gt;0),D57,D56)</f>
        <v>0.02</v>
      </c>
      <c r="E63" s="49">
        <f>MAX(C63:D63)</f>
        <v>0.23</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4.9359999999999999</v>
      </c>
      <c r="D66" s="56">
        <f>D60</f>
        <v>0.113</v>
      </c>
      <c r="E66" s="56">
        <f>MAX(C66:D66)</f>
        <v>4.9359999999999999</v>
      </c>
      <c r="G66" s="1" t="str">
        <f>G60</f>
        <v>per 1000 youth</v>
      </c>
      <c r="L66" s="58">
        <f>L60</f>
        <v>1000</v>
      </c>
      <c r="M66" s="58">
        <f>IF((B66=G66),1,2)</f>
        <v>1</v>
      </c>
    </row>
    <row r="67" spans="2:13" ht="15" hidden="1" customHeight="1">
      <c r="B67" s="49" t="str">
        <f t="shared" ref="B67:D68" si="12">IF(($E61&gt;0),B61,B60)</f>
        <v>per 100 arrests</v>
      </c>
      <c r="C67" s="49">
        <f t="shared" si="12"/>
        <v>0.41</v>
      </c>
      <c r="D67" s="49">
        <f t="shared" si="12"/>
        <v>0.02</v>
      </c>
      <c r="E67" s="49">
        <f>MAX(C67:D67)</f>
        <v>0.41</v>
      </c>
      <c r="G67" s="1" t="str">
        <f>G61</f>
        <v>per 100 arrests</v>
      </c>
      <c r="L67" s="58">
        <f>IF(($E61&gt;0),L61,L60)</f>
        <v>100</v>
      </c>
      <c r="M67" s="58">
        <f>IF((B67=G67),1,2)</f>
        <v>1</v>
      </c>
    </row>
    <row r="68" spans="2:13" ht="15" hidden="1" customHeight="1">
      <c r="B68" s="49" t="str">
        <f t="shared" si="12"/>
        <v>per 100 referrals</v>
      </c>
      <c r="C68" s="49">
        <f t="shared" si="12"/>
        <v>0.36</v>
      </c>
      <c r="D68" s="49">
        <f t="shared" si="12"/>
        <v>0.03</v>
      </c>
      <c r="E68" s="49">
        <f>MAX(C68:D68)</f>
        <v>0.36</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0.02</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4936</v>
      </c>
      <c r="D6" s="34"/>
      <c r="E6" s="33">
        <f>'Data Entry'!F6</f>
        <v>44</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41</v>
      </c>
      <c r="D7" s="34">
        <f>IF((AND(C66&gt;0,C7&gt;0)),(C7/C66),0)</f>
        <v>8.3063209076175042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44</v>
      </c>
      <c r="P7" s="42">
        <f t="shared" ref="P7:P15" si="4">C7</f>
        <v>41</v>
      </c>
      <c r="Q7" s="42">
        <f>C6-C7</f>
        <v>4895</v>
      </c>
      <c r="R7" s="42">
        <f t="shared" ref="R7:R15" si="5">SUM(N7:Q7)</f>
        <v>4980</v>
      </c>
      <c r="S7" s="30">
        <f t="shared" ref="S7:S15" si="6">R7*((((N7*Q7)-(O7*P7))^2))</f>
        <v>16206991680</v>
      </c>
      <c r="T7" s="30">
        <f t="shared" ref="T7:T15" si="7">(N7+O7)*(P7+Q7)*(N7+P7)*(O7+Q7)</f>
        <v>43979542816</v>
      </c>
      <c r="U7" s="31">
        <f t="shared" ref="U7:U15" si="8">IF((S7&gt;0),S7/T7,"- -")</f>
        <v>0.36851205452058056</v>
      </c>
    </row>
    <row r="8" spans="2:21" ht="18" customHeight="1">
      <c r="B8" s="32" t="str">
        <f>'Data Entry'!A8</f>
        <v>3. Refer to Juvenile Court</v>
      </c>
      <c r="C8" s="33">
        <f>'Data Entry'!C8</f>
        <v>36</v>
      </c>
      <c r="D8" s="34">
        <f>IF((AND(C67&gt;0,C8&gt;0)),(C8/C67),0)</f>
        <v>87.804878048780495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36</v>
      </c>
      <c r="Q8" s="42">
        <f>(C$67*L67)-C8</f>
        <v>5</v>
      </c>
      <c r="R8" s="42">
        <f t="shared" si="5"/>
        <v>41.05</v>
      </c>
      <c r="S8" s="30">
        <f t="shared" si="6"/>
        <v>133.00200000000001</v>
      </c>
      <c r="T8" s="30">
        <f t="shared" si="7"/>
        <v>372.69000000000005</v>
      </c>
      <c r="U8" s="31">
        <f t="shared" si="8"/>
        <v>0.35687032117845929</v>
      </c>
    </row>
    <row r="9" spans="2:21" ht="18" customHeight="1">
      <c r="B9" s="32" t="str">
        <f>'Data Entry'!A9</f>
        <v xml:space="preserve">4. Cases Diverted </v>
      </c>
      <c r="C9" s="33">
        <f>'Data Entry'!C9</f>
        <v>6</v>
      </c>
      <c r="D9" s="34">
        <f>IF((AND(C68&gt;0,C9&gt;0)),((C9/C68)),0)</f>
        <v>16.666666666666668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30</v>
      </c>
      <c r="R9" s="42">
        <f t="shared" si="5"/>
        <v>36</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16.666666666666668</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30</v>
      </c>
      <c r="R10" s="42">
        <f t="shared" si="5"/>
        <v>36</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63.888888888888893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13</v>
      </c>
      <c r="R11" s="42">
        <f t="shared" si="5"/>
        <v>36</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26.086956521739129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17</v>
      </c>
      <c r="R12" s="42">
        <f t="shared" si="5"/>
        <v>23</v>
      </c>
      <c r="S12" s="30">
        <f t="shared" si="6"/>
        <v>0</v>
      </c>
      <c r="T12" s="30">
        <f t="shared" si="7"/>
        <v>0</v>
      </c>
      <c r="U12" s="31" t="str">
        <f t="shared" si="8"/>
        <v>- -</v>
      </c>
    </row>
    <row r="13" spans="2:21" ht="18" customHeight="1">
      <c r="B13" s="32" t="str">
        <f>'Data Entry'!A13</f>
        <v>8. Cases Resulting in Probation Placement</v>
      </c>
      <c r="C13" s="33">
        <f>'Data Entry'!C13</f>
        <v>1</v>
      </c>
      <c r="D13" s="34">
        <f>IF(((AND(C70&gt;0,C13&gt;0))),(C13/(C70)),0)</f>
        <v>16.666666666666668</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4.9359999999999999</v>
      </c>
      <c r="D42" s="56">
        <f>E6/1000</f>
        <v>4.3999999999999997E-2</v>
      </c>
      <c r="E42" s="56">
        <f>MAX(C42:D42)</f>
        <v>4.9359999999999999</v>
      </c>
      <c r="G42" s="1" t="str">
        <f>B42</f>
        <v>per 1000 youth</v>
      </c>
      <c r="L42" s="57">
        <v>1000</v>
      </c>
      <c r="M42" s="57"/>
      <c r="R42" s="49"/>
    </row>
    <row r="43" spans="2:18" ht="15" hidden="1" customHeight="1">
      <c r="B43" s="49" t="s">
        <v>87</v>
      </c>
      <c r="C43" s="56">
        <f>C7/100</f>
        <v>0.41</v>
      </c>
      <c r="D43" s="56">
        <f>E7/100</f>
        <v>0</v>
      </c>
      <c r="E43" s="56">
        <f>MAX(C43:D43,0)</f>
        <v>0.41</v>
      </c>
      <c r="G43" s="1" t="str">
        <f>B43</f>
        <v>per 100 arrests</v>
      </c>
      <c r="L43" s="57">
        <v>100</v>
      </c>
      <c r="M43" s="57"/>
      <c r="R43" s="49"/>
    </row>
    <row r="44" spans="2:18" ht="15" hidden="1" customHeight="1">
      <c r="B44" s="49" t="s">
        <v>88</v>
      </c>
      <c r="C44" s="56">
        <f>C8/100</f>
        <v>0.36</v>
      </c>
      <c r="D44" s="56">
        <f>E8/100</f>
        <v>0</v>
      </c>
      <c r="E44" s="56">
        <f>MAX(C44:D44,0)</f>
        <v>0.36</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4.9359999999999999</v>
      </c>
      <c r="D48" s="56">
        <f>D42</f>
        <v>4.3999999999999997E-2</v>
      </c>
      <c r="E48" s="56">
        <f>MAX(C48:D48)</f>
        <v>4.9359999999999999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0.41</v>
      </c>
      <c r="D49" s="49">
        <f t="shared" si="9"/>
        <v>0</v>
      </c>
      <c r="E49" s="49">
        <f>MAX(C49:D49)</f>
        <v>0.41</v>
      </c>
      <c r="G49" s="1" t="str">
        <f>G43</f>
        <v>per 100 arrests</v>
      </c>
      <c r="L49" s="58">
        <f>IF(($E43&gt;0),L43,L42)</f>
        <v>100</v>
      </c>
      <c r="M49" s="58"/>
      <c r="N49" s="21"/>
      <c r="O49" s="21"/>
      <c r="P49" s="21"/>
      <c r="Q49" s="21"/>
      <c r="R49" s="21"/>
    </row>
    <row r="50" spans="2:18" ht="15" hidden="1" customHeight="1">
      <c r="B50" s="49" t="str">
        <f t="shared" si="9"/>
        <v>per 100 referrals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4.9359999999999999</v>
      </c>
      <c r="D54" s="56">
        <f>D48</f>
        <v>4.3999999999999997E-2</v>
      </c>
      <c r="E54" s="56">
        <f>MAX(C54:D54)</f>
        <v>4.9359999999999999</v>
      </c>
      <c r="G54" s="1" t="str">
        <f>G48</f>
        <v>per 1000 youth</v>
      </c>
      <c r="L54" s="58">
        <f>L48</f>
        <v>1000</v>
      </c>
      <c r="M54" s="58"/>
    </row>
    <row r="55" spans="2:18" ht="15" hidden="1" customHeight="1">
      <c r="B55" s="49" t="str">
        <f t="shared" ref="B55:D56" si="10">IF(($E49&gt;0),B49,B48)</f>
        <v>per 100 arrests</v>
      </c>
      <c r="C55" s="49">
        <f t="shared" si="10"/>
        <v>0.41</v>
      </c>
      <c r="D55" s="49">
        <f t="shared" si="10"/>
        <v>0</v>
      </c>
      <c r="E55" s="49">
        <f>MAX(C55:D55)</f>
        <v>0.41</v>
      </c>
      <c r="G55" s="1" t="str">
        <f>G49</f>
        <v>per 100 arrests</v>
      </c>
      <c r="L55" s="58">
        <f>IF(($E49&gt;0),L49,L48)</f>
        <v>100</v>
      </c>
      <c r="M55" s="58"/>
    </row>
    <row r="56" spans="2:18" ht="15" hidden="1" customHeight="1">
      <c r="B56" s="49" t="str">
        <f t="shared" si="10"/>
        <v>per 100 referrals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4.9359999999999999</v>
      </c>
      <c r="D60" s="56">
        <f>D54</f>
        <v>4.3999999999999997E-2</v>
      </c>
      <c r="E60" s="56">
        <f>MAX(C60:D60)</f>
        <v>4.9359999999999999</v>
      </c>
      <c r="G60" s="1" t="str">
        <f>G54</f>
        <v>per 1000 youth</v>
      </c>
      <c r="L60" s="58">
        <f>L54</f>
        <v>1000</v>
      </c>
      <c r="M60" s="58"/>
    </row>
    <row r="61" spans="2:18" ht="15" hidden="1" customHeight="1">
      <c r="B61" s="49" t="str">
        <f t="shared" ref="B61:D62" si="11">IF(($E55&gt;0),B55,B54)</f>
        <v>per 100 arrests</v>
      </c>
      <c r="C61" s="49">
        <f t="shared" si="11"/>
        <v>0.41</v>
      </c>
      <c r="D61" s="49">
        <f t="shared" si="11"/>
        <v>0</v>
      </c>
      <c r="E61" s="49">
        <f>MAX(C61:D61)</f>
        <v>0.41</v>
      </c>
      <c r="G61" s="1" t="str">
        <f>G55</f>
        <v>per 100 arrests</v>
      </c>
      <c r="L61" s="58">
        <f>IF(($E55&gt;0),L55,L54)</f>
        <v>100</v>
      </c>
      <c r="M61" s="58"/>
    </row>
    <row r="62" spans="2:18" ht="15" hidden="1" customHeight="1">
      <c r="B62" s="49" t="str">
        <f t="shared" si="11"/>
        <v>per 100 referrals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4.9359999999999999</v>
      </c>
      <c r="D66" s="56">
        <f>D60</f>
        <v>4.3999999999999997E-2</v>
      </c>
      <c r="E66" s="56">
        <f>MAX(C66:D66)</f>
        <v>4.9359999999999999</v>
      </c>
      <c r="G66" s="1" t="str">
        <f>G60</f>
        <v>per 1000 youth</v>
      </c>
      <c r="L66" s="58">
        <f>L60</f>
        <v>1000</v>
      </c>
      <c r="M66" s="58">
        <f>IF((B66=G66),1,2)</f>
        <v>1</v>
      </c>
    </row>
    <row r="67" spans="2:13" ht="15" hidden="1" customHeight="1">
      <c r="B67" s="49" t="str">
        <f t="shared" ref="B67:D68" si="12">IF(($E61&gt;0),B61,B60)</f>
        <v>per 100 arrests</v>
      </c>
      <c r="C67" s="49">
        <f t="shared" si="12"/>
        <v>0.41</v>
      </c>
      <c r="D67" s="49">
        <f t="shared" si="12"/>
        <v>0</v>
      </c>
      <c r="E67" s="49">
        <f>MAX(C67:D67)</f>
        <v>0.41</v>
      </c>
      <c r="G67" s="1" t="str">
        <f>G61</f>
        <v>per 100 arrests</v>
      </c>
      <c r="L67" s="58">
        <f>IF(($E61&gt;0),L61,L60)</f>
        <v>100</v>
      </c>
      <c r="M67" s="58">
        <f>IF((B67=G67),1,2)</f>
        <v>1</v>
      </c>
    </row>
    <row r="68" spans="2:13" ht="15" hidden="1" customHeight="1">
      <c r="B68" s="49" t="str">
        <f t="shared" si="12"/>
        <v>per 100 referrals</v>
      </c>
      <c r="C68" s="49">
        <f t="shared" si="12"/>
        <v>0.36</v>
      </c>
      <c r="D68" s="49">
        <f t="shared" si="12"/>
        <v>0</v>
      </c>
      <c r="E68" s="49">
        <f>MAX(C68:D68)</f>
        <v>0.36</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4936</v>
      </c>
      <c r="D6" s="34"/>
      <c r="E6" s="33">
        <f>'Data Entry'!E6</f>
        <v>143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41</v>
      </c>
      <c r="D7" s="34">
        <f>IF((AND(C66&gt;0,C7&gt;0)),(C7/C66),0)</f>
        <v>8.3063209076175042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143</v>
      </c>
      <c r="P7" s="42">
        <f t="shared" ref="P7:P15" si="4">C7</f>
        <v>41</v>
      </c>
      <c r="Q7" s="42">
        <f>C6-C7</f>
        <v>4895</v>
      </c>
      <c r="R7" s="42">
        <f t="shared" ref="R7:R15" si="5">SUM(N7:Q7)</f>
        <v>5079</v>
      </c>
      <c r="S7" s="30">
        <f t="shared" ref="S7:S15" si="6">R7*((((N7*Q7)-(O7*P7))^2))</f>
        <v>174589451751</v>
      </c>
      <c r="T7" s="30">
        <f t="shared" ref="T7:T15" si="7">(N7+O7)*(P7+Q7)*(N7+P7)*(O7+Q7)</f>
        <v>145798551184</v>
      </c>
      <c r="U7" s="31">
        <f t="shared" ref="U7:U15" si="8">IF((S7&gt;0),S7/T7,"- -")</f>
        <v>1.1974704160857226</v>
      </c>
    </row>
    <row r="8" spans="2:21" ht="18" customHeight="1">
      <c r="B8" s="32" t="str">
        <f>'Data Entry'!A8</f>
        <v>3. Refer to Juvenile Court</v>
      </c>
      <c r="C8" s="33">
        <f>'Data Entry'!C8</f>
        <v>36</v>
      </c>
      <c r="D8" s="34">
        <f>IF((AND(C67&gt;0,C8&gt;0)),(C8/C67),0)</f>
        <v>87.804878048780495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36</v>
      </c>
      <c r="Q8" s="42">
        <f>(C$67*L67)-C8</f>
        <v>5</v>
      </c>
      <c r="R8" s="42">
        <f t="shared" si="5"/>
        <v>41.05</v>
      </c>
      <c r="S8" s="30">
        <f t="shared" si="6"/>
        <v>133.00200000000001</v>
      </c>
      <c r="T8" s="30">
        <f t="shared" si="7"/>
        <v>372.69000000000005</v>
      </c>
      <c r="U8" s="31">
        <f t="shared" si="8"/>
        <v>0.35687032117845929</v>
      </c>
    </row>
    <row r="9" spans="2:21" ht="18" customHeight="1">
      <c r="B9" s="32" t="str">
        <f>'Data Entry'!A9</f>
        <v xml:space="preserve">4. Cases Diverted </v>
      </c>
      <c r="C9" s="33">
        <f>'Data Entry'!C9</f>
        <v>6</v>
      </c>
      <c r="D9" s="34">
        <f>IF((AND(C68&gt;0,C9&gt;0)),((C9/C68)),0)</f>
        <v>16.666666666666668</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30</v>
      </c>
      <c r="R9" s="42">
        <f t="shared" si="5"/>
        <v>36</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16.666666666666668</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30</v>
      </c>
      <c r="R10" s="42">
        <f t="shared" si="5"/>
        <v>36</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63.888888888888893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13</v>
      </c>
      <c r="R11" s="42">
        <f t="shared" si="5"/>
        <v>36</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26.086956521739129</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17</v>
      </c>
      <c r="R12" s="42">
        <f t="shared" si="5"/>
        <v>23</v>
      </c>
      <c r="S12" s="30">
        <f t="shared" si="6"/>
        <v>0</v>
      </c>
      <c r="T12" s="30">
        <f t="shared" si="7"/>
        <v>0</v>
      </c>
      <c r="U12" s="31" t="str">
        <f t="shared" si="8"/>
        <v>- -</v>
      </c>
    </row>
    <row r="13" spans="2:21" ht="18" customHeight="1">
      <c r="B13" s="32" t="str">
        <f>'Data Entry'!A13</f>
        <v>8. Cases Resulting in Probation Placement</v>
      </c>
      <c r="C13" s="33">
        <f>'Data Entry'!C13</f>
        <v>1</v>
      </c>
      <c r="D13" s="34">
        <f>IF(((AND(C70&gt;0,C13&gt;0))),(C13/(C70)),0)</f>
        <v>16.666666666666668</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4.9359999999999999</v>
      </c>
      <c r="D42" s="56">
        <f>E6/1000</f>
        <v>0.14299999999999999</v>
      </c>
      <c r="E42" s="56">
        <f>MAX(C42:D42)</f>
        <v>4.9359999999999999</v>
      </c>
      <c r="G42" s="1" t="str">
        <f>B42</f>
        <v>per 1000 youth</v>
      </c>
      <c r="L42" s="57">
        <v>1000</v>
      </c>
      <c r="M42" s="57"/>
      <c r="R42" s="49"/>
    </row>
    <row r="43" spans="2:18" ht="15" hidden="1" customHeight="1">
      <c r="B43" s="49" t="s">
        <v>87</v>
      </c>
      <c r="C43" s="56">
        <f>C7/100</f>
        <v>0.41</v>
      </c>
      <c r="D43" s="56">
        <f>E7/100</f>
        <v>0</v>
      </c>
      <c r="E43" s="56">
        <f>MAX(C43:D43,0)</f>
        <v>0.41</v>
      </c>
      <c r="G43" s="1" t="str">
        <f>B43</f>
        <v>per 100 arrests</v>
      </c>
      <c r="L43" s="57">
        <v>100</v>
      </c>
      <c r="M43" s="57"/>
      <c r="R43" s="49"/>
    </row>
    <row r="44" spans="2:18" ht="15" hidden="1" customHeight="1">
      <c r="B44" s="49" t="s">
        <v>88</v>
      </c>
      <c r="C44" s="56">
        <f>C8/100</f>
        <v>0.36</v>
      </c>
      <c r="D44" s="56">
        <f>E8/100</f>
        <v>0</v>
      </c>
      <c r="E44" s="56">
        <f>MAX(C44:D44,0)</f>
        <v>0.36</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4.9359999999999999</v>
      </c>
      <c r="D48" s="56">
        <f>D42</f>
        <v>0.14299999999999999</v>
      </c>
      <c r="E48" s="56">
        <f>MAX(C48:D48)</f>
        <v>4.9359999999999999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0.41</v>
      </c>
      <c r="D49" s="49">
        <f t="shared" si="9"/>
        <v>0</v>
      </c>
      <c r="E49" s="49">
        <f>MAX(C49:D49)</f>
        <v>0.41</v>
      </c>
      <c r="G49" s="1" t="str">
        <f>G43</f>
        <v>per 100 arrests</v>
      </c>
      <c r="L49" s="58">
        <f>IF(($E43&gt;0),L43,L42)</f>
        <v>100</v>
      </c>
      <c r="M49" s="58"/>
      <c r="N49" s="21"/>
      <c r="O49" s="21"/>
      <c r="P49" s="21"/>
      <c r="Q49" s="21"/>
      <c r="R49" s="21"/>
    </row>
    <row r="50" spans="2:18" ht="15" hidden="1" customHeight="1">
      <c r="B50" s="49" t="str">
        <f t="shared" si="9"/>
        <v>per 100 referrals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4.9359999999999999</v>
      </c>
      <c r="D54" s="56">
        <f>D48</f>
        <v>0.14299999999999999</v>
      </c>
      <c r="E54" s="56">
        <f>MAX(C54:D54)</f>
        <v>4.9359999999999999</v>
      </c>
      <c r="G54" s="1" t="str">
        <f>G48</f>
        <v>per 1000 youth</v>
      </c>
      <c r="L54" s="58">
        <f>L48</f>
        <v>1000</v>
      </c>
      <c r="M54" s="58"/>
    </row>
    <row r="55" spans="2:18" ht="15" hidden="1" customHeight="1">
      <c r="B55" s="49" t="str">
        <f t="shared" ref="B55:D56" si="10">IF(($E49&gt;0),B49,B48)</f>
        <v>per 100 arrests</v>
      </c>
      <c r="C55" s="49">
        <f t="shared" si="10"/>
        <v>0.41</v>
      </c>
      <c r="D55" s="49">
        <f t="shared" si="10"/>
        <v>0</v>
      </c>
      <c r="E55" s="49">
        <f>MAX(C55:D55)</f>
        <v>0.41</v>
      </c>
      <c r="G55" s="1" t="str">
        <f>G49</f>
        <v>per 100 arrests</v>
      </c>
      <c r="L55" s="58">
        <f>IF(($E49&gt;0),L49,L48)</f>
        <v>100</v>
      </c>
      <c r="M55" s="58"/>
    </row>
    <row r="56" spans="2:18" ht="15" hidden="1" customHeight="1">
      <c r="B56" s="49" t="str">
        <f t="shared" si="10"/>
        <v>per 100 referrals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4.9359999999999999</v>
      </c>
      <c r="D60" s="56">
        <f>D54</f>
        <v>0.14299999999999999</v>
      </c>
      <c r="E60" s="56">
        <f>MAX(C60:D60)</f>
        <v>4.9359999999999999</v>
      </c>
      <c r="G60" s="1" t="str">
        <f>G54</f>
        <v>per 1000 youth</v>
      </c>
      <c r="L60" s="58">
        <f>L54</f>
        <v>1000</v>
      </c>
      <c r="M60" s="58"/>
    </row>
    <row r="61" spans="2:18" ht="15" hidden="1" customHeight="1">
      <c r="B61" s="49" t="str">
        <f t="shared" ref="B61:D62" si="11">IF(($E55&gt;0),B55,B54)</f>
        <v>per 100 arrests</v>
      </c>
      <c r="C61" s="49">
        <f t="shared" si="11"/>
        <v>0.41</v>
      </c>
      <c r="D61" s="49">
        <f t="shared" si="11"/>
        <v>0</v>
      </c>
      <c r="E61" s="49">
        <f>MAX(C61:D61)</f>
        <v>0.41</v>
      </c>
      <c r="G61" s="1" t="str">
        <f>G55</f>
        <v>per 100 arrests</v>
      </c>
      <c r="L61" s="58">
        <f>IF(($E55&gt;0),L55,L54)</f>
        <v>100</v>
      </c>
      <c r="M61" s="58"/>
    </row>
    <row r="62" spans="2:18" ht="15" hidden="1" customHeight="1">
      <c r="B62" s="49" t="str">
        <f t="shared" si="11"/>
        <v>per 100 referrals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4.9359999999999999</v>
      </c>
      <c r="D66" s="56">
        <f>D60</f>
        <v>0.14299999999999999</v>
      </c>
      <c r="E66" s="56">
        <f>MAX(C66:D66)</f>
        <v>4.9359999999999999</v>
      </c>
      <c r="G66" s="1" t="str">
        <f>G60</f>
        <v>per 1000 youth</v>
      </c>
      <c r="L66" s="58">
        <f>L60</f>
        <v>1000</v>
      </c>
      <c r="M66" s="58">
        <f>IF((B66=G66),1,2)</f>
        <v>1</v>
      </c>
    </row>
    <row r="67" spans="2:13" ht="15" hidden="1" customHeight="1">
      <c r="B67" s="49" t="str">
        <f t="shared" ref="B67:D68" si="12">IF(($E61&gt;0),B61,B60)</f>
        <v>per 100 arrests</v>
      </c>
      <c r="C67" s="49">
        <f t="shared" si="12"/>
        <v>0.41</v>
      </c>
      <c r="D67" s="49">
        <f t="shared" si="12"/>
        <v>0</v>
      </c>
      <c r="E67" s="49">
        <f>MAX(C67:D67)</f>
        <v>0.41</v>
      </c>
      <c r="G67" s="1" t="str">
        <f>G61</f>
        <v>per 100 arrests</v>
      </c>
      <c r="L67" s="58">
        <f>IF(($E61&gt;0),L61,L60)</f>
        <v>100</v>
      </c>
      <c r="M67" s="58">
        <f>IF((B67=G67),1,2)</f>
        <v>1</v>
      </c>
    </row>
    <row r="68" spans="2:13" ht="15" hidden="1" customHeight="1">
      <c r="B68" s="49" t="str">
        <f t="shared" si="12"/>
        <v>per 100 referrals</v>
      </c>
      <c r="C68" s="49">
        <f t="shared" si="12"/>
        <v>0.36</v>
      </c>
      <c r="D68" s="49">
        <f t="shared" si="12"/>
        <v>0</v>
      </c>
      <c r="E68" s="49">
        <f>MAX(C68:D68)</f>
        <v>0.36</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4936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41</v>
      </c>
      <c r="D7" s="34">
        <f>IF((AND(C66&gt;0,C7&gt;0)),(C7/C66),0)</f>
        <v>8.3063209076175042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41</v>
      </c>
      <c r="Q7" s="42">
        <f>C6-C7</f>
        <v>4895</v>
      </c>
      <c r="R7" s="42">
        <f t="shared" ref="R7:R15" si="5">SUM(N7:Q7)</f>
        <v>4936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36</v>
      </c>
      <c r="D8" s="34">
        <f>IF((AND(C67&gt;0,C8&gt;0)),(C8/C67),0)</f>
        <v>87.804878048780495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36</v>
      </c>
      <c r="Q8" s="42">
        <f>(C$67*L67)-C8</f>
        <v>5</v>
      </c>
      <c r="R8" s="42">
        <f t="shared" si="5"/>
        <v>41.05</v>
      </c>
      <c r="S8" s="30">
        <f t="shared" si="6"/>
        <v>133.00200000000001</v>
      </c>
      <c r="T8" s="30">
        <f t="shared" si="7"/>
        <v>372.69000000000005</v>
      </c>
      <c r="U8" s="31">
        <f t="shared" si="8"/>
        <v>0.35687032117845929</v>
      </c>
    </row>
    <row r="9" spans="2:21" ht="18" customHeight="1">
      <c r="B9" s="32" t="str">
        <f>'Data Entry'!A9</f>
        <v xml:space="preserve">4. Cases Diverted </v>
      </c>
      <c r="C9" s="33">
        <f>'Data Entry'!C9</f>
        <v>6</v>
      </c>
      <c r="D9" s="34">
        <f>IF((AND(C68&gt;0,C9&gt;0)),((C9/C68)),0)</f>
        <v>16.666666666666668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30</v>
      </c>
      <c r="R9" s="42">
        <f t="shared" si="5"/>
        <v>36</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16.666666666666668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30</v>
      </c>
      <c r="R10" s="42">
        <f t="shared" si="5"/>
        <v>36</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63.888888888888893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13</v>
      </c>
      <c r="R11" s="42">
        <f t="shared" si="5"/>
        <v>36</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26.086956521739129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17</v>
      </c>
      <c r="R12" s="42">
        <f t="shared" si="5"/>
        <v>23</v>
      </c>
      <c r="S12" s="30">
        <f t="shared" si="6"/>
        <v>0</v>
      </c>
      <c r="T12" s="30">
        <f t="shared" si="7"/>
        <v>0</v>
      </c>
      <c r="U12" s="31" t="str">
        <f t="shared" si="8"/>
        <v>- -</v>
      </c>
    </row>
    <row r="13" spans="2:21" ht="18" customHeight="1">
      <c r="B13" s="32" t="str">
        <f>'Data Entry'!A13</f>
        <v>8. Cases Resulting in Probation Placement</v>
      </c>
      <c r="C13" s="33">
        <f>'Data Entry'!C13</f>
        <v>1</v>
      </c>
      <c r="D13" s="34">
        <f>IF(((AND(C70&gt;0,C13&gt;0))),(C13/(C70)),0)</f>
        <v>16.666666666666668</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4.9359999999999999</v>
      </c>
      <c r="D42" s="56">
        <f>E6/1000</f>
        <v>0</v>
      </c>
      <c r="E42" s="56">
        <f>MAX(C42:D42)</f>
        <v>4.9359999999999999</v>
      </c>
      <c r="G42" s="1" t="str">
        <f>B42</f>
        <v>per 1000 youth</v>
      </c>
      <c r="L42" s="57">
        <v>1000</v>
      </c>
      <c r="M42" s="57"/>
      <c r="R42" s="49"/>
    </row>
    <row r="43" spans="2:18" ht="15" hidden="1" customHeight="1">
      <c r="B43" s="49" t="s">
        <v>87</v>
      </c>
      <c r="C43" s="56">
        <f>C7/100</f>
        <v>0.41</v>
      </c>
      <c r="D43" s="56">
        <f>E7/100</f>
        <v>0</v>
      </c>
      <c r="E43" s="56">
        <f>MAX(C43:D43,0)</f>
        <v>0.41</v>
      </c>
      <c r="G43" s="1" t="str">
        <f>B43</f>
        <v>per 100 arrests</v>
      </c>
      <c r="L43" s="57">
        <v>100</v>
      </c>
      <c r="M43" s="57"/>
      <c r="R43" s="49"/>
    </row>
    <row r="44" spans="2:18" ht="15" hidden="1" customHeight="1">
      <c r="B44" s="49" t="s">
        <v>88</v>
      </c>
      <c r="C44" s="56">
        <f>C8/100</f>
        <v>0.36</v>
      </c>
      <c r="D44" s="56">
        <f>E8/100</f>
        <v>0</v>
      </c>
      <c r="E44" s="56">
        <f>MAX(C44:D44,0)</f>
        <v>0.36</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4.9359999999999999</v>
      </c>
      <c r="D48" s="56">
        <f>D42</f>
        <v>0</v>
      </c>
      <c r="E48" s="56">
        <f>MAX(C48:D48)</f>
        <v>4.9359999999999999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0.41</v>
      </c>
      <c r="D49" s="49">
        <f t="shared" si="9"/>
        <v>0</v>
      </c>
      <c r="E49" s="49">
        <f>MAX(C49:D49)</f>
        <v>0.41</v>
      </c>
      <c r="G49" s="1" t="str">
        <f>G43</f>
        <v>per 100 arrests</v>
      </c>
      <c r="L49" s="58">
        <f>IF(($E43&gt;0),L43,L42)</f>
        <v>100</v>
      </c>
      <c r="M49" s="58"/>
      <c r="N49" s="21"/>
      <c r="O49" s="21"/>
      <c r="P49" s="21"/>
      <c r="Q49" s="21"/>
      <c r="R49" s="21"/>
    </row>
    <row r="50" spans="2:18" ht="15" hidden="1" customHeight="1">
      <c r="B50" s="49" t="str">
        <f t="shared" si="9"/>
        <v>per 100 referrals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4.9359999999999999</v>
      </c>
      <c r="D54" s="56">
        <f>D48</f>
        <v>0</v>
      </c>
      <c r="E54" s="56">
        <f>MAX(C54:D54)</f>
        <v>4.9359999999999999</v>
      </c>
      <c r="G54" s="1" t="str">
        <f>G48</f>
        <v>per 1000 youth</v>
      </c>
      <c r="L54" s="58">
        <f>L48</f>
        <v>1000</v>
      </c>
      <c r="M54" s="58"/>
    </row>
    <row r="55" spans="2:18" ht="15" hidden="1" customHeight="1">
      <c r="B55" s="49" t="str">
        <f t="shared" ref="B55:D56" si="10">IF(($E49&gt;0),B49,B48)</f>
        <v>per 100 arrests</v>
      </c>
      <c r="C55" s="49">
        <f t="shared" si="10"/>
        <v>0.41</v>
      </c>
      <c r="D55" s="49">
        <f t="shared" si="10"/>
        <v>0</v>
      </c>
      <c r="E55" s="49">
        <f>MAX(C55:D55)</f>
        <v>0.41</v>
      </c>
      <c r="G55" s="1" t="str">
        <f>G49</f>
        <v>per 100 arrests</v>
      </c>
      <c r="L55" s="58">
        <f>IF(($E49&gt;0),L49,L48)</f>
        <v>100</v>
      </c>
      <c r="M55" s="58"/>
    </row>
    <row r="56" spans="2:18" ht="15" hidden="1" customHeight="1">
      <c r="B56" s="49" t="str">
        <f t="shared" si="10"/>
        <v>per 100 referrals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4.9359999999999999</v>
      </c>
      <c r="D60" s="56">
        <f>D54</f>
        <v>0</v>
      </c>
      <c r="E60" s="56">
        <f>MAX(C60:D60)</f>
        <v>4.9359999999999999</v>
      </c>
      <c r="G60" s="1" t="str">
        <f>G54</f>
        <v>per 1000 youth</v>
      </c>
      <c r="L60" s="58">
        <f>L54</f>
        <v>1000</v>
      </c>
      <c r="M60" s="58"/>
    </row>
    <row r="61" spans="2:18" ht="15" hidden="1" customHeight="1">
      <c r="B61" s="49" t="str">
        <f t="shared" ref="B61:D62" si="11">IF(($E55&gt;0),B55,B54)</f>
        <v>per 100 arrests</v>
      </c>
      <c r="C61" s="49">
        <f t="shared" si="11"/>
        <v>0.41</v>
      </c>
      <c r="D61" s="49">
        <f t="shared" si="11"/>
        <v>0</v>
      </c>
      <c r="E61" s="49">
        <f>MAX(C61:D61)</f>
        <v>0.41</v>
      </c>
      <c r="G61" s="1" t="str">
        <f>G55</f>
        <v>per 100 arrests</v>
      </c>
      <c r="L61" s="58">
        <f>IF(($E55&gt;0),L55,L54)</f>
        <v>100</v>
      </c>
      <c r="M61" s="58"/>
    </row>
    <row r="62" spans="2:18" ht="15" hidden="1" customHeight="1">
      <c r="B62" s="49" t="str">
        <f t="shared" si="11"/>
        <v>per 100 referrals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4.9359999999999999</v>
      </c>
      <c r="D66" s="56">
        <f>D60</f>
        <v>0</v>
      </c>
      <c r="E66" s="56">
        <f>MAX(C66:D66)</f>
        <v>4.9359999999999999</v>
      </c>
      <c r="G66" s="1" t="str">
        <f>G60</f>
        <v>per 1000 youth</v>
      </c>
      <c r="L66" s="58">
        <f>L60</f>
        <v>1000</v>
      </c>
      <c r="M66" s="58">
        <f>IF((B66=G66),1,2)</f>
        <v>1</v>
      </c>
    </row>
    <row r="67" spans="2:13" ht="15" hidden="1" customHeight="1">
      <c r="B67" s="49" t="str">
        <f t="shared" ref="B67:D68" si="12">IF(($E61&gt;0),B61,B60)</f>
        <v>per 100 arrests</v>
      </c>
      <c r="C67" s="49">
        <f t="shared" si="12"/>
        <v>0.41</v>
      </c>
      <c r="D67" s="49">
        <f t="shared" si="12"/>
        <v>0</v>
      </c>
      <c r="E67" s="49">
        <f>MAX(C67:D67)</f>
        <v>0.41</v>
      </c>
      <c r="G67" s="1" t="str">
        <f>G61</f>
        <v>per 100 arrests</v>
      </c>
      <c r="L67" s="58">
        <f>IF(($E61&gt;0),L61,L60)</f>
        <v>100</v>
      </c>
      <c r="M67" s="58">
        <f>IF((B67=G67),1,2)</f>
        <v>1</v>
      </c>
    </row>
    <row r="68" spans="2:13" ht="15" hidden="1" customHeight="1">
      <c r="B68" s="49" t="str">
        <f t="shared" si="12"/>
        <v>per 100 referrals</v>
      </c>
      <c r="C68" s="49">
        <f t="shared" si="12"/>
        <v>0.36</v>
      </c>
      <c r="D68" s="49">
        <f t="shared" si="12"/>
        <v>0</v>
      </c>
      <c r="E68" s="49">
        <f>MAX(C68:D68)</f>
        <v>0.36</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4936</v>
      </c>
      <c r="D6" s="34"/>
      <c r="E6" s="33">
        <f>'Data Entry'!H6</f>
        <v>160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41</v>
      </c>
      <c r="D7" s="34">
        <f>IF((AND(C66&gt;0,C7&gt;0)),(C7/C66),0)</f>
        <v>8.3063209076175042</v>
      </c>
      <c r="E7" s="33">
        <f>'Data Entry'!H7</f>
        <v>3</v>
      </c>
      <c r="F7" s="34">
        <f>IF((AND($E$7&gt;0,$D$66&gt;0)),($E$7/$D$66),0)</f>
        <v>18.75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157</v>
      </c>
      <c r="P7" s="42">
        <f t="shared" ref="P7:P15" si="4">C7</f>
        <v>41</v>
      </c>
      <c r="Q7" s="42">
        <f>C6-C7</f>
        <v>4895</v>
      </c>
      <c r="R7" s="42">
        <f t="shared" ref="R7:R15" si="5">SUM(N7:Q7)</f>
        <v>5096</v>
      </c>
      <c r="S7" s="30">
        <f t="shared" ref="S7:S15" si="6">R7*((((N7*Q7)-(O7*P7))^2))</f>
        <v>346678352384</v>
      </c>
      <c r="T7" s="30">
        <f t="shared" ref="T7:T15" si="7">(N7+O7)*(P7+Q7)*(N7+P7)*(O7+Q7)</f>
        <v>175554170880</v>
      </c>
      <c r="U7" s="31">
        <f t="shared" ref="U7:U15" si="8">IF((S7&gt;0),S7/T7,"- -")</f>
        <v>1.9747656842683157</v>
      </c>
    </row>
    <row r="8" spans="2:21" ht="18" customHeight="1">
      <c r="B8" s="32" t="str">
        <f>'Data Entry'!A8</f>
        <v>3. Refer to Juvenile Court</v>
      </c>
      <c r="C8" s="33">
        <f>'Data Entry'!C8</f>
        <v>36</v>
      </c>
      <c r="D8" s="34">
        <f>IF((AND(C67&gt;0,C8&gt;0)),(C8/C67),0)</f>
        <v>87.804878048780495</v>
      </c>
      <c r="E8" s="33">
        <f>'Data Entry'!H8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3.05</v>
      </c>
      <c r="P8" s="42">
        <f t="shared" si="4"/>
        <v>36</v>
      </c>
      <c r="Q8" s="42">
        <f>(C$67*L67)-C8</f>
        <v>5</v>
      </c>
      <c r="R8" s="42">
        <f t="shared" si="5"/>
        <v>44.05</v>
      </c>
      <c r="S8" s="30">
        <f t="shared" si="6"/>
        <v>531068.56199999992</v>
      </c>
      <c r="T8" s="30">
        <f t="shared" si="7"/>
        <v>36239.490000000005</v>
      </c>
      <c r="U8" s="31">
        <f t="shared" si="8"/>
        <v>14.65441599757612</v>
      </c>
    </row>
    <row r="9" spans="2:21" ht="18" customHeight="1">
      <c r="B9" s="32" t="str">
        <f>'Data Entry'!A9</f>
        <v xml:space="preserve">4. Cases Diverted </v>
      </c>
      <c r="C9" s="33">
        <f>'Data Entry'!C9</f>
        <v>6</v>
      </c>
      <c r="D9" s="34">
        <f>IF((AND(C68&gt;0,C9&gt;0)),((C9/C68)),0)</f>
        <v>16.666666666666668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30</v>
      </c>
      <c r="R9" s="42">
        <f t="shared" si="5"/>
        <v>36</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16.666666666666668</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30</v>
      </c>
      <c r="R10" s="42">
        <f t="shared" si="5"/>
        <v>36</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63.888888888888893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13</v>
      </c>
      <c r="R11" s="42">
        <f t="shared" si="5"/>
        <v>36</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26.086956521739129</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17</v>
      </c>
      <c r="R12" s="42">
        <f t="shared" si="5"/>
        <v>23</v>
      </c>
      <c r="S12" s="30">
        <f t="shared" si="6"/>
        <v>0</v>
      </c>
      <c r="T12" s="30">
        <f t="shared" si="7"/>
        <v>0</v>
      </c>
      <c r="U12" s="31" t="str">
        <f t="shared" si="8"/>
        <v>- -</v>
      </c>
    </row>
    <row r="13" spans="2:21" ht="18" customHeight="1">
      <c r="B13" s="32" t="str">
        <f>'Data Entry'!A13</f>
        <v>8. Cases Resulting in Probation Placement</v>
      </c>
      <c r="C13" s="33">
        <f>'Data Entry'!C13</f>
        <v>1</v>
      </c>
      <c r="D13" s="34">
        <f>IF(((AND(C70&gt;0,C13&gt;0))),(C13/(C70)),0)</f>
        <v>16.666666666666668</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4.9359999999999999</v>
      </c>
      <c r="D42" s="56">
        <f>E6/1000</f>
        <v>0.16</v>
      </c>
      <c r="E42" s="56">
        <f>MAX(C42:D42)</f>
        <v>4.9359999999999999</v>
      </c>
      <c r="G42" s="1" t="str">
        <f>B42</f>
        <v>per 1000 youth</v>
      </c>
      <c r="L42" s="57">
        <v>1000</v>
      </c>
      <c r="M42" s="57"/>
      <c r="R42" s="49"/>
    </row>
    <row r="43" spans="2:18" ht="15" hidden="1" customHeight="1">
      <c r="B43" s="49" t="s">
        <v>87</v>
      </c>
      <c r="C43" s="56">
        <f>C7/100</f>
        <v>0.41</v>
      </c>
      <c r="D43" s="56">
        <f>E7/100</f>
        <v>0.03</v>
      </c>
      <c r="E43" s="56">
        <f>MAX(C43:D43,0)</f>
        <v>0.41</v>
      </c>
      <c r="G43" s="1" t="str">
        <f>B43</f>
        <v>per 100 arrests</v>
      </c>
      <c r="L43" s="57">
        <v>100</v>
      </c>
      <c r="M43" s="57"/>
      <c r="R43" s="49"/>
    </row>
    <row r="44" spans="2:18" ht="15" hidden="1" customHeight="1">
      <c r="B44" s="49" t="s">
        <v>88</v>
      </c>
      <c r="C44" s="56">
        <f>C8/100</f>
        <v>0.36</v>
      </c>
      <c r="D44" s="56">
        <f>E8/100</f>
        <v>0</v>
      </c>
      <c r="E44" s="56">
        <f>MAX(C44:D44,0)</f>
        <v>0.36</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4.9359999999999999</v>
      </c>
      <c r="D48" s="56">
        <f>D42</f>
        <v>0.16</v>
      </c>
      <c r="E48" s="56">
        <f>MAX(C48:D48)</f>
        <v>4.9359999999999999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0.41</v>
      </c>
      <c r="D49" s="49">
        <f t="shared" si="9"/>
        <v>0.03</v>
      </c>
      <c r="E49" s="49">
        <f>MAX(C49:D49)</f>
        <v>0.41</v>
      </c>
      <c r="G49" s="1" t="str">
        <f>G43</f>
        <v>per 100 arrests</v>
      </c>
      <c r="L49" s="58">
        <f>IF(($E43&gt;0),L43,L42)</f>
        <v>100</v>
      </c>
      <c r="M49" s="58"/>
      <c r="N49" s="21"/>
      <c r="O49" s="21"/>
      <c r="P49" s="21"/>
      <c r="Q49" s="21"/>
      <c r="R49" s="21"/>
    </row>
    <row r="50" spans="2:18" ht="15" hidden="1" customHeight="1">
      <c r="B50" s="49" t="str">
        <f t="shared" si="9"/>
        <v>per 100 referrals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4.9359999999999999</v>
      </c>
      <c r="D54" s="56">
        <f>D48</f>
        <v>0.16</v>
      </c>
      <c r="E54" s="56">
        <f>MAX(C54:D54)</f>
        <v>4.9359999999999999</v>
      </c>
      <c r="G54" s="1" t="str">
        <f>G48</f>
        <v>per 1000 youth</v>
      </c>
      <c r="L54" s="58">
        <f>L48</f>
        <v>1000</v>
      </c>
      <c r="M54" s="58"/>
    </row>
    <row r="55" spans="2:18" ht="15" hidden="1" customHeight="1">
      <c r="B55" s="49" t="str">
        <f t="shared" ref="B55:D56" si="10">IF(($E49&gt;0),B49,B48)</f>
        <v>per 100 arrests</v>
      </c>
      <c r="C55" s="49">
        <f t="shared" si="10"/>
        <v>0.41</v>
      </c>
      <c r="D55" s="49">
        <f t="shared" si="10"/>
        <v>0.03</v>
      </c>
      <c r="E55" s="49">
        <f>MAX(C55:D55)</f>
        <v>0.41</v>
      </c>
      <c r="G55" s="1" t="str">
        <f>G49</f>
        <v>per 100 arrests</v>
      </c>
      <c r="L55" s="58">
        <f>IF(($E49&gt;0),L49,L48)</f>
        <v>100</v>
      </c>
      <c r="M55" s="58"/>
    </row>
    <row r="56" spans="2:18" ht="15" hidden="1" customHeight="1">
      <c r="B56" s="49" t="str">
        <f t="shared" si="10"/>
        <v>per 100 referrals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4.9359999999999999</v>
      </c>
      <c r="D60" s="56">
        <f>D54</f>
        <v>0.16</v>
      </c>
      <c r="E60" s="56">
        <f>MAX(C60:D60)</f>
        <v>4.9359999999999999</v>
      </c>
      <c r="G60" s="1" t="str">
        <f>G54</f>
        <v>per 1000 youth</v>
      </c>
      <c r="L60" s="58">
        <f>L54</f>
        <v>1000</v>
      </c>
      <c r="M60" s="58"/>
    </row>
    <row r="61" spans="2:18" ht="15" hidden="1" customHeight="1">
      <c r="B61" s="49" t="str">
        <f t="shared" ref="B61:D62" si="11">IF(($E55&gt;0),B55,B54)</f>
        <v>per 100 arrests</v>
      </c>
      <c r="C61" s="49">
        <f t="shared" si="11"/>
        <v>0.41</v>
      </c>
      <c r="D61" s="49">
        <f t="shared" si="11"/>
        <v>0.03</v>
      </c>
      <c r="E61" s="49">
        <f>MAX(C61:D61)</f>
        <v>0.41</v>
      </c>
      <c r="G61" s="1" t="str">
        <f>G55</f>
        <v>per 100 arrests</v>
      </c>
      <c r="L61" s="58">
        <f>IF(($E55&gt;0),L55,L54)</f>
        <v>100</v>
      </c>
      <c r="M61" s="58"/>
    </row>
    <row r="62" spans="2:18" ht="15" hidden="1" customHeight="1">
      <c r="B62" s="49" t="str">
        <f t="shared" si="11"/>
        <v>per 100 referrals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4.9359999999999999</v>
      </c>
      <c r="D66" s="56">
        <f>D60</f>
        <v>0.16</v>
      </c>
      <c r="E66" s="56">
        <f>MAX(C66:D66)</f>
        <v>4.9359999999999999</v>
      </c>
      <c r="G66" s="1" t="str">
        <f>G60</f>
        <v>per 1000 youth</v>
      </c>
      <c r="L66" s="58">
        <f>L60</f>
        <v>1000</v>
      </c>
      <c r="M66" s="58">
        <f>IF((B66=G66),1,2)</f>
        <v>1</v>
      </c>
    </row>
    <row r="67" spans="2:13" ht="15" hidden="1" customHeight="1">
      <c r="B67" s="49" t="str">
        <f t="shared" ref="B67:D68" si="12">IF(($E61&gt;0),B61,B60)</f>
        <v>per 100 arrests</v>
      </c>
      <c r="C67" s="49">
        <f t="shared" si="12"/>
        <v>0.41</v>
      </c>
      <c r="D67" s="49">
        <f t="shared" si="12"/>
        <v>0.03</v>
      </c>
      <c r="E67" s="49">
        <f>MAX(C67:D67)</f>
        <v>0.41</v>
      </c>
      <c r="G67" s="1" t="str">
        <f>G61</f>
        <v>per 100 arrests</v>
      </c>
      <c r="L67" s="58">
        <f>IF(($E61&gt;0),L61,L60)</f>
        <v>100</v>
      </c>
      <c r="M67" s="58">
        <f>IF((B67=G67),1,2)</f>
        <v>1</v>
      </c>
    </row>
    <row r="68" spans="2:13" ht="15" hidden="1" customHeight="1">
      <c r="B68" s="49" t="str">
        <f t="shared" si="12"/>
        <v>per 100 referrals</v>
      </c>
      <c r="C68" s="49">
        <f t="shared" si="12"/>
        <v>0.36</v>
      </c>
      <c r="D68" s="49">
        <f t="shared" si="12"/>
        <v>0</v>
      </c>
      <c r="E68" s="49">
        <f>MAX(C68:D68)</f>
        <v>0.36</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U47JMPN4QEAR-1806752177-30481</_dlc_DocId>
    <_dlc_DocIdUrl xmlns="ac3811b5-0f3e-49e2-ba69-f2ffa0c782af">
      <Url>https://michiganphi.sharepoint.com/sites/CMDMC/_layouts/15/DocIdRedir.aspx?ID=U47JMPN4QEAR-1806752177-30481</Url>
      <Description>U47JMPN4QEAR-1806752177-30481</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320BAA-EB11-43EA-8D2D-135662BA55ED}">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ECBCC077-5FC5-4BD3-B4EE-B7AB239EFF57}">
  <ds:schemaRefs>
    <ds:schemaRef ds:uri="http://schemas.microsoft.com/sharepoint/v3/contenttype/forms"/>
  </ds:schemaRefs>
</ds:datastoreItem>
</file>

<file path=customXml/itemProps3.xml><?xml version="1.0" encoding="utf-8"?>
<ds:datastoreItem xmlns:ds="http://schemas.openxmlformats.org/officeDocument/2006/customXml" ds:itemID="{78475725-C1B8-4321-9B7B-57364066B95E}"/>
</file>

<file path=customXml/itemProps4.xml><?xml version="1.0" encoding="utf-8"?>
<ds:datastoreItem xmlns:ds="http://schemas.openxmlformats.org/officeDocument/2006/customXml" ds:itemID="{4A2D6F11-43F3-40DE-BFF3-876AD8B873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ccd9de7c-8dd0-4ff4-bc1f-fc9fce80a982</vt:lpwstr>
  </property>
</Properties>
</file>