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220F4282-E89A-46C7-A3FF-E153AFA89258}" xr6:coauthVersionLast="47" xr6:coauthVersionMax="47" xr10:uidLastSave="{2D619EDF-43AB-4905-9CE4-DD988918500C}"/>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5"/>
  <c r="M66" i="5"/>
  <c r="F27" i="4"/>
  <c r="M66" i="4"/>
  <c r="F27" i="8"/>
  <c r="M66"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B52" i="3" s="1"/>
  <c r="E44" i="6"/>
  <c r="L50" i="6" s="1"/>
  <c r="E43" i="7"/>
  <c r="C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B50" i="6"/>
  <c r="D50" i="6"/>
  <c r="C50" i="6"/>
  <c r="B49" i="7"/>
  <c r="D49" i="7"/>
  <c r="E49" i="7" s="1"/>
  <c r="L49" i="7"/>
  <c r="D50" i="5"/>
  <c r="E50" i="5" s="1"/>
  <c r="L56"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D64" i="5"/>
  <c r="L64" i="3"/>
  <c r="B56"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E64" i="5"/>
  <c r="B64" i="8"/>
  <c r="C64" i="8"/>
  <c r="L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B70" i="5"/>
  <c r="F33" i="5" s="1"/>
  <c r="C70" i="5"/>
  <c r="D70" i="5"/>
  <c r="F14" i="5" s="1"/>
  <c r="B70" i="3"/>
  <c r="M70" i="3" s="1"/>
  <c r="L69" i="7"/>
  <c r="D63" i="8"/>
  <c r="D70" i="6"/>
  <c r="F13" i="6" s="1"/>
  <c r="C69" i="7"/>
  <c r="D12" i="7" s="1"/>
  <c r="C63" i="8"/>
  <c r="C70" i="8" s="1"/>
  <c r="E63" i="3"/>
  <c r="C69" i="3" s="1"/>
  <c r="D15" i="3"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F33" i="3"/>
  <c r="E69" i="7"/>
  <c r="O13" i="6"/>
  <c r="D15" i="7"/>
  <c r="B69" i="6"/>
  <c r="M69" i="6" s="1"/>
  <c r="Q15" i="7"/>
  <c r="O14" i="6"/>
  <c r="F14" i="6"/>
  <c r="E70" i="6"/>
  <c r="E63" i="8"/>
  <c r="D69" i="8" s="1"/>
  <c r="F15" i="8" s="1"/>
  <c r="L69" i="3"/>
  <c r="Q12" i="3" s="1"/>
  <c r="D13" i="6"/>
  <c r="Q13" i="8"/>
  <c r="F14" i="3"/>
  <c r="O13" i="3"/>
  <c r="D13" i="3"/>
  <c r="D12" i="3"/>
  <c r="D69" i="3"/>
  <c r="E69" i="3" s="1"/>
  <c r="Q12" i="7"/>
  <c r="E70" i="3"/>
  <c r="B69" i="3"/>
  <c r="M69" i="3" s="1"/>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9" i="4" l="1"/>
  <c r="J9" i="4" s="1"/>
  <c r="M9" i="4" s="1"/>
  <c r="G9" i="4" s="1"/>
  <c r="G10" i="16" s="1"/>
  <c r="Q15" i="3"/>
  <c r="U14" i="4"/>
  <c r="J14" i="4" s="1"/>
  <c r="U10" i="4"/>
  <c r="J10" i="4" s="1"/>
  <c r="M10" i="4" s="1"/>
  <c r="G10" i="4" s="1"/>
  <c r="G11" i="16" s="1"/>
  <c r="F12" i="8"/>
  <c r="T13" i="6"/>
  <c r="F32" i="3"/>
  <c r="F32" i="6"/>
  <c r="U13" i="4"/>
  <c r="J13" i="4" s="1"/>
  <c r="M13" i="4" s="1"/>
  <c r="G13" i="4" s="1"/>
  <c r="G14" i="16" s="1"/>
  <c r="F35" i="6"/>
  <c r="R14" i="3"/>
  <c r="S14" i="3" s="1"/>
  <c r="U14" i="3" s="1"/>
  <c r="J14" i="3" s="1"/>
  <c r="M14" i="3" s="1"/>
  <c r="G14" i="3" s="1"/>
  <c r="I15" i="16" s="1"/>
  <c r="B69" i="8"/>
  <c r="M69" i="8" s="1"/>
  <c r="K14" i="6"/>
  <c r="F15" i="3"/>
  <c r="O12" i="3"/>
  <c r="R12" i="3" s="1"/>
  <c r="S12" i="3" s="1"/>
  <c r="U12" i="3" s="1"/>
  <c r="J12" i="3" s="1"/>
  <c r="T15" i="7"/>
  <c r="F35" i="3"/>
  <c r="R13" i="8"/>
  <c r="S13" i="8" s="1"/>
  <c r="C69" i="8"/>
  <c r="D15" i="8" s="1"/>
  <c r="L69" i="8"/>
  <c r="O15" i="8" s="1"/>
  <c r="R14" i="6"/>
  <c r="S14" i="6" s="1"/>
  <c r="U14" i="6" s="1"/>
  <c r="J14" i="6" s="1"/>
  <c r="M14" i="6" s="1"/>
  <c r="G14" i="6" s="1"/>
  <c r="M15" i="13" s="1"/>
  <c r="O15" i="3"/>
  <c r="K15" i="3" s="1"/>
  <c r="D15" i="6"/>
  <c r="F12" i="3"/>
  <c r="R12" i="7"/>
  <c r="S12" i="7" s="1"/>
  <c r="U12" i="7" s="1"/>
  <c r="J12" i="7" s="1"/>
  <c r="M12" i="7" s="1"/>
  <c r="T12" i="7"/>
  <c r="K13" i="3"/>
  <c r="K12" i="7"/>
  <c r="T14" i="6"/>
  <c r="K13" i="6"/>
  <c r="R13" i="6"/>
  <c r="S13" i="6" s="1"/>
  <c r="R14" i="8"/>
  <c r="S14" i="8" s="1"/>
  <c r="O12" i="6"/>
  <c r="R15" i="7"/>
  <c r="S15" i="7" s="1"/>
  <c r="U15" i="7" s="1"/>
  <c r="J15" i="7" s="1"/>
  <c r="T13" i="8"/>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Q13" i="2"/>
  <c r="U9" i="3"/>
  <c r="J9" i="3" s="1"/>
  <c r="L9" i="3" s="1"/>
  <c r="T15" i="3"/>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N30" i="3" l="1"/>
  <c r="U13" i="7"/>
  <c r="J13" i="7" s="1"/>
  <c r="M13" i="7" s="1"/>
  <c r="U13" i="6"/>
  <c r="J13" i="6" s="1"/>
  <c r="M13" i="6" s="1"/>
  <c r="G13" i="6" s="1"/>
  <c r="G13" i="9" s="1"/>
  <c r="I15" i="13"/>
  <c r="E14" i="9"/>
  <c r="D12" i="8"/>
  <c r="D10" i="9"/>
  <c r="L10" i="4"/>
  <c r="O11" i="16" s="1"/>
  <c r="G11" i="13"/>
  <c r="L13" i="4"/>
  <c r="O14" i="16" s="1"/>
  <c r="R15" i="3"/>
  <c r="S15" i="3" s="1"/>
  <c r="U15" i="3" s="1"/>
  <c r="J15" i="3" s="1"/>
  <c r="M15" i="3" s="1"/>
  <c r="G15" i="3" s="1"/>
  <c r="I16" i="16" s="1"/>
  <c r="E69" i="8"/>
  <c r="F32" i="8"/>
  <c r="F35" i="8"/>
  <c r="L14" i="3"/>
  <c r="P15" i="16" s="1"/>
  <c r="K12" i="3"/>
  <c r="L12" i="3" s="1"/>
  <c r="P13" i="16" s="1"/>
  <c r="T12" i="3"/>
  <c r="U13" i="8"/>
  <c r="J13" i="8" s="1"/>
  <c r="M13" i="8" s="1"/>
  <c r="G13" i="8" s="1"/>
  <c r="K14" i="16" s="1"/>
  <c r="L12" i="7"/>
  <c r="S13" i="16" s="1"/>
  <c r="Q15" i="8"/>
  <c r="R15" i="8" s="1"/>
  <c r="S15" i="8" s="1"/>
  <c r="U15" i="8" s="1"/>
  <c r="J15" i="8" s="1"/>
  <c r="Q12" i="8"/>
  <c r="U14" i="8"/>
  <c r="J14" i="8" s="1"/>
  <c r="N30" i="8" s="1"/>
  <c r="O12" i="8"/>
  <c r="K15" i="6"/>
  <c r="L15" i="7"/>
  <c r="S16" i="16" s="1"/>
  <c r="T12" i="6"/>
  <c r="L13" i="6"/>
  <c r="R14" i="16" s="1"/>
  <c r="L13" i="3"/>
  <c r="P14" i="16" s="1"/>
  <c r="K12" i="6"/>
  <c r="R12" i="6"/>
  <c r="S12" i="6" s="1"/>
  <c r="M15" i="7"/>
  <c r="R15" i="6"/>
  <c r="S15" i="6" s="1"/>
  <c r="U15" i="6" s="1"/>
  <c r="J15" i="6" s="1"/>
  <c r="T15" i="6"/>
  <c r="U12" i="13"/>
  <c r="M11" i="9"/>
  <c r="T13" i="2"/>
  <c r="U8" i="6"/>
  <c r="J8" i="6" s="1"/>
  <c r="M8" i="6" s="1"/>
  <c r="G8" i="6" s="1"/>
  <c r="M9" i="13" s="1"/>
  <c r="R13" i="2"/>
  <c r="S13" i="2" s="1"/>
  <c r="V11" i="13"/>
  <c r="G14" i="9"/>
  <c r="R10" i="7"/>
  <c r="S10" i="7" s="1"/>
  <c r="U10" i="7" s="1"/>
  <c r="J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E15" i="9" l="1"/>
  <c r="M14" i="13"/>
  <c r="Y16" i="13"/>
  <c r="Y13" i="13"/>
  <c r="I16" i="13"/>
  <c r="L15" i="3"/>
  <c r="P16" i="16" s="1"/>
  <c r="Q12" i="9"/>
  <c r="M13" i="9"/>
  <c r="U11" i="7"/>
  <c r="J11" i="7" s="1"/>
  <c r="L11" i="7" s="1"/>
  <c r="S12" i="16" s="1"/>
  <c r="U14" i="13"/>
  <c r="U11" i="13"/>
  <c r="K15" i="8"/>
  <c r="L15" i="8" s="1"/>
  <c r="T16" i="16" s="1"/>
  <c r="T15" i="8"/>
  <c r="V15" i="13"/>
  <c r="N14" i="9"/>
  <c r="Q15" i="9"/>
  <c r="U12" i="6"/>
  <c r="J12" i="6" s="1"/>
  <c r="M12" i="6" s="1"/>
  <c r="G12" i="6" s="1"/>
  <c r="L13" i="8"/>
  <c r="T14" i="16" s="1"/>
  <c r="L15" i="6"/>
  <c r="R16" i="16" s="1"/>
  <c r="M14" i="8"/>
  <c r="G14" i="8" s="1"/>
  <c r="K15" i="16" s="1"/>
  <c r="T12" i="8"/>
  <c r="K12" i="8"/>
  <c r="L14" i="8"/>
  <c r="T15" i="16" s="1"/>
  <c r="R12" i="8"/>
  <c r="S12" i="8" s="1"/>
  <c r="X14" i="13"/>
  <c r="P13" i="9"/>
  <c r="I13" i="9"/>
  <c r="Q14" i="13"/>
  <c r="U14" i="2"/>
  <c r="J14" i="2" s="1"/>
  <c r="M14" i="2" s="1"/>
  <c r="G14" i="2" s="1"/>
  <c r="E15" i="16" s="1"/>
  <c r="U13" i="2"/>
  <c r="J13" i="2" s="1"/>
  <c r="M13" i="2" s="1"/>
  <c r="G13" i="2" s="1"/>
  <c r="E14" i="16" s="1"/>
  <c r="V14" i="13"/>
  <c r="N13" i="9"/>
  <c r="M15" i="6"/>
  <c r="G15" i="6" s="1"/>
  <c r="G15" i="9" s="1"/>
  <c r="L8" i="6"/>
  <c r="R9" i="16" s="1"/>
  <c r="L10" i="7"/>
  <c r="S11" i="16" s="1"/>
  <c r="L15" i="5"/>
  <c r="Q16" i="16" s="1"/>
  <c r="T9" i="13"/>
  <c r="L8" i="9"/>
  <c r="X15" i="13"/>
  <c r="P14" i="9"/>
  <c r="G8" i="9"/>
  <c r="Q14" i="9"/>
  <c r="Y15" i="13"/>
  <c r="Y14" i="13"/>
  <c r="E9" i="13"/>
  <c r="Q13" i="9"/>
  <c r="L10" i="2"/>
  <c r="N11" i="16" s="1"/>
  <c r="M10" i="7"/>
  <c r="L11" i="6"/>
  <c r="R12" i="16" s="1"/>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6" i="13" l="1"/>
  <c r="M11" i="7"/>
  <c r="N15" i="9"/>
  <c r="V16" i="13"/>
  <c r="Z14" i="13"/>
  <c r="R13" i="9"/>
  <c r="Q15" i="13"/>
  <c r="G12" i="9"/>
  <c r="M13" i="13"/>
  <c r="L12" i="6"/>
  <c r="U12" i="8"/>
  <c r="J12" i="8" s="1"/>
  <c r="L12" i="8" s="1"/>
  <c r="I14" i="9"/>
  <c r="P15" i="9"/>
  <c r="M16" i="13"/>
  <c r="R14" i="9"/>
  <c r="Z15" i="13"/>
  <c r="E15" i="13"/>
  <c r="L13" i="2"/>
  <c r="N14" i="16" s="1"/>
  <c r="E14" i="13"/>
  <c r="C14" i="9"/>
  <c r="L14" i="2"/>
  <c r="N15" i="16" s="1"/>
  <c r="N30" i="2"/>
  <c r="C13"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M12" i="8" l="1"/>
  <c r="G12" i="8" s="1"/>
  <c r="K13" i="16" s="1"/>
  <c r="T13" i="16"/>
  <c r="R12" i="9"/>
  <c r="Z13" i="13"/>
  <c r="R13" i="16"/>
  <c r="X13" i="13"/>
  <c r="P12" i="9"/>
  <c r="T14" i="13"/>
  <c r="L13" i="9"/>
  <c r="L14" i="9"/>
  <c r="T15" i="13"/>
  <c r="R9" i="9"/>
  <c r="Z10" i="13"/>
  <c r="R10" i="9"/>
  <c r="Z11" i="13"/>
  <c r="I11" i="9"/>
  <c r="Q12" i="13"/>
  <c r="I10" i="9"/>
  <c r="Q11" i="13"/>
  <c r="R11" i="9"/>
  <c r="Z12" i="13"/>
  <c r="I12" i="9" l="1"/>
  <c r="Q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<sst xmlns="http://schemas.openxmlformats.org/spreadsheetml/2006/main" count="654" uniqueCount="141">
  <si>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</si>
  <si>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</si>
  <si>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</si>
  <si>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</si>
  <si>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</si>
  <si>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</si>
  <si>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</si>
  <si>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</si>
  <si>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</si>
  <si>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</si>
  <si>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</si>
  <si>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</si>
  <si>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</si>
  <si>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</si>
  <si>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</si>
  <si>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</si>
  <si>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</si>
  <si>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</si>
  <si>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</si>
  <si>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</si>
  <si>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</si>
  <si>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</si>
  <si>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</si>
  <si>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</si>
  <si>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</si>
  <si>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</si>
  <si>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</si>
  <si>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</si>
  <si>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</si>
  <si>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</si>
  <si>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</si>
  <si>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</si>
  <si>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</si>
  <si>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</si>
  <si>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</si>
  <si>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</si>
  <si>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</si>
  <si>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</si>
  <si>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</si>
  <si>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</si>
  <si>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</si>
  <si>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</si>
  <si>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</si>
  <si>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</si>
  <si>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</si>
  <si>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</si>
  <si>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</si>
  <si>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</si>
  <si>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</si>
  <si>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</si>
  <si>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</si>
  <si>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</si>
  <si>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</si>
  <si>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</si>
  <si>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</si>
  <si>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</si>
  <si>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</si>
  <si>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</si>
  <si>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</si>
  <si>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</si>
  <si>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</si>
  <si>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</si>
  <si>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</si>
  <si>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</si>
  <si>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</si>
  <si>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</si>
  <si>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</si>
  <si>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</si>
  <si>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</si>
  <si>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</si>
  <si>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</si>
  <si>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</si>
  <si>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</si>
  <si>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</si>
  <si>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</si>
  <si>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</si>
  <si>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</si>
  <si>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</si>
  <si>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</si>
  <si>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</si>
  <si>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</si>
  <si>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</si>
  <si>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</si>
  <si>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</si>
  <si>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</si>
  <si>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</si>
  <si>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</si>
  <si>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</si>
  <si>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</si>
  <si>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</si>
  <si>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</si>
  <si>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</si>
  <si>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</si>
  <si>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</si>
  <si>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</si>
  <si>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</si>
  <si>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</si>
  <si>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</si>
  <si>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</si>
  <si>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</si>
  <si>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</si>
  <si>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</si>
  <si>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</si>
  <si>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</si>
  <si>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</si>
  <si>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</si>
  <si>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</si>
  <si>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</si>
  <si>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</si>
  <si>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</si>
  <si>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</si>
  <si>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</si>
  <si>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</si>
  <si>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</si>
  <si>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</si>
  <si>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</si>
  <si>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</si>
  <si>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</si>
  <si>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</si>
  <si>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</si>
  <si>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</si>
  <si>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</si>
  <si>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</si>
  <si>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</si>
  <si>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</si>
  <si>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</si>
  <si>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</si>
  <si>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</si>
  <si>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</si>
  <si>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</si>
  <si>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</si>
  <si>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</si>
  <si>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</si>
  <si>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</si>
  <si>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</si>
  <si>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</si>
  <si>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Manistee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</si>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</sst>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Manistee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N=9</c:v>
                </c:pt>
                <c:pt idx="3">
                  <c:v>Petitions, total N=15</c:v>
                </c:pt>
                <c:pt idx="4">
                  <c:v>Detentions, total N=0</c:v>
                </c:pt>
                <c:pt idx="5">
                  <c:v>Referrals, total N=39</c:v>
                </c:pt>
                <c:pt idx="6">
                  <c:v>Arrests, total N=20</c:v>
                </c:pt>
                <c:pt idx="7">
                  <c:v>Population, total N=2065</c:v>
                </c:pt>
              </c:strCache>
            </c:strRef>
          </c:cat>
          <c:val>
            <c:numRef>
              <c:f>'Stacked 100%'!$B$7:$B$14</c:f>
              <c:numCache>
                <c:formatCode>0%</c:formatCode>
                <c:ptCount val="8"/>
                <c:pt idx="0">
                  <c:v>0</c:v>
                </c:pt>
                <c:pt idx="1">
                  <c:v>0</c:v>
                </c:pt>
                <c:pt idx="2">
                  <c:v>0</c:v>
                </c:pt>
                <c:pt idx="3">
                  <c:v>0</c:v>
                </c:pt>
                <c:pt idx="4">
                  <c:v>0</c:v>
                </c:pt>
                <c:pt idx="5">
                  <c:v>0</c:v>
                </c:pt>
                <c:pt idx="6">
                  <c:v>0</c:v>
                </c:pt>
                <c:pt idx="7">
                  <c:v>2.2276029055690073E-2</c:v>
                </c:pt>
              </c:numCache>
            </c:numRef>
          </c:val>
          <c:extLst>
            <c:ext xmlns:c16="http://schemas.microsoft.com/office/drawing/2014/chart" uri="{C3380CC4-5D6E-409C-BE32-E72D297353CC}">
              <c16:uniqueId val="{00000000-56EF-4501-8794-15F9E8DB392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N=9</c:v>
                </c:pt>
                <c:pt idx="3">
                  <c:v>Petitions, total N=15</c:v>
                </c:pt>
                <c:pt idx="4">
                  <c:v>Detentions, total N=0</c:v>
                </c:pt>
                <c:pt idx="5">
                  <c:v>Referrals, total N=39</c:v>
                </c:pt>
                <c:pt idx="6">
                  <c:v>Arrests, total N=20</c:v>
                </c:pt>
                <c:pt idx="7">
                  <c:v>Population, total N=2065</c:v>
                </c:pt>
              </c:strCache>
            </c:strRef>
          </c:cat>
          <c:val>
            <c:numRef>
              <c:f>'Stacked 100%'!$C$7:$C$14</c:f>
              <c:numCache>
                <c:formatCode>0%</c:formatCode>
                <c:ptCount val="8"/>
                <c:pt idx="0">
                  <c:v>0</c:v>
                </c:pt>
                <c:pt idx="1">
                  <c:v>0</c:v>
                </c:pt>
                <c:pt idx="2">
                  <c:v>0</c:v>
                </c:pt>
                <c:pt idx="3">
                  <c:v>0</c:v>
                </c:pt>
                <c:pt idx="4">
                  <c:v>0</c:v>
                </c:pt>
                <c:pt idx="5">
                  <c:v>0</c:v>
                </c:pt>
                <c:pt idx="6">
                  <c:v>0</c:v>
                </c:pt>
                <c:pt idx="7">
                  <c:v>7.554479418886198E-2</c:v>
                </c:pt>
              </c:numCache>
            </c:numRef>
          </c:val>
          <c:extLst>
            <c:ext xmlns:c16="http://schemas.microsoft.com/office/drawing/2014/chart" uri="{C3380CC4-5D6E-409C-BE32-E72D297353CC}">
              <c16:uniqueId val="{00000001-56EF-4501-8794-15F9E8DB392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N=9</c:v>
                </c:pt>
                <c:pt idx="3">
                  <c:v>Petitions, total N=15</c:v>
                </c:pt>
                <c:pt idx="4">
                  <c:v>Detentions, total N=0</c:v>
                </c:pt>
                <c:pt idx="5">
                  <c:v>Referrals, total N=39</c:v>
                </c:pt>
                <c:pt idx="6">
                  <c:v>Arrests, total N=20</c:v>
                </c:pt>
                <c:pt idx="7">
                  <c:v>Population, total N=2065</c:v>
                </c:pt>
              </c:strCache>
            </c:strRef>
          </c:cat>
          <c:val>
            <c:numRef>
              <c:f>'Stacked 100%'!$H$7:$H$14</c:f>
              <c:numCache>
                <c:formatCode>0%</c:formatCode>
                <c:ptCount val="8"/>
                <c:pt idx="0">
                  <c:v>0</c:v>
                </c:pt>
                <c:pt idx="1">
                  <c:v>0</c:v>
                </c:pt>
                <c:pt idx="2">
                  <c:v>1.2345679012345678E-2</c:v>
                </c:pt>
                <c:pt idx="3">
                  <c:v>1.3333333333333334E-2</c:v>
                </c:pt>
                <c:pt idx="4">
                  <c:v>0</c:v>
                </c:pt>
                <c:pt idx="5">
                  <c:v>4.6022353714661405E-3</c:v>
                </c:pt>
                <c:pt idx="6">
                  <c:v>0</c:v>
                </c:pt>
                <c:pt idx="7">
                  <c:v>1.7822699318164496E-5</c:v>
                </c:pt>
              </c:numCache>
            </c:numRef>
          </c:val>
          <c:extLst>
            <c:ext xmlns:c16="http://schemas.microsoft.com/office/drawing/2014/chart" uri="{C3380CC4-5D6E-409C-BE32-E72D297353CC}">
              <c16:uniqueId val="{00000002-56EF-4501-8794-15F9E8DB392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N=9</c:v>
                </c:pt>
                <c:pt idx="3">
                  <c:v>Petitions, total N=15</c:v>
                </c:pt>
                <c:pt idx="4">
                  <c:v>Detentions, total N=0</c:v>
                </c:pt>
                <c:pt idx="5">
                  <c:v>Referrals, total N=39</c:v>
                </c:pt>
                <c:pt idx="6">
                  <c:v>Arrests, total N=20</c:v>
                </c:pt>
                <c:pt idx="7">
                  <c:v>Population, total N=2065</c:v>
                </c:pt>
              </c:strCache>
            </c:strRef>
          </c:cat>
          <c:val>
            <c:numRef>
              <c:f>'Stacked 100%'!$I$7:$I$14</c:f>
              <c:numCache>
                <c:formatCode>0%</c:formatCode>
                <c:ptCount val="8"/>
                <c:pt idx="0">
                  <c:v>0</c:v>
                </c:pt>
                <c:pt idx="1">
                  <c:v>1</c:v>
                </c:pt>
                <c:pt idx="2">
                  <c:v>0.88888888888888884</c:v>
                </c:pt>
                <c:pt idx="3">
                  <c:v>0.8</c:v>
                </c:pt>
                <c:pt idx="4">
                  <c:v>0</c:v>
                </c:pt>
                <c:pt idx="5">
                  <c:v>0.82051282051282048</c:v>
                </c:pt>
                <c:pt idx="6">
                  <c:v>0.95</c:v>
                </c:pt>
                <c:pt idx="7">
                  <c:v>0.86537530266343821</c:v>
                </c:pt>
              </c:numCache>
            </c:numRef>
          </c:val>
          <c:extLst>
            <c:ext xmlns:c16="http://schemas.microsoft.com/office/drawing/2014/chart" uri="{C3380CC4-5D6E-409C-BE32-E72D297353CC}">
              <c16:uniqueId val="{00000003-56EF-4501-8794-15F9E8DB392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N=9</c:v>
                </c:pt>
                <c:pt idx="3">
                  <c:v>Petitions, total N=15</c:v>
                </c:pt>
                <c:pt idx="4">
                  <c:v>Detentions, total N=0</c:v>
                </c:pt>
                <c:pt idx="5">
                  <c:v>Referrals, total N=39</c:v>
                </c:pt>
                <c:pt idx="6">
                  <c:v>Arrests, total N=20</c:v>
                </c:pt>
                <c:pt idx="7">
                  <c:v>Population, total N=2065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6EF-4501-8794-15F9E8DB392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4" sqref="E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2065</v>
      </c>
      <c r="C6" s="11">
        <v>1787</v>
      </c>
      <c r="D6" s="11">
        <v>46</v>
      </c>
      <c r="E6" s="11">
        <v>156</v>
      </c>
      <c r="F6" s="11">
        <v>20</v>
      </c>
      <c r="G6" s="11"/>
      <c r="H6" s="11">
        <v>56</v>
      </c>
      <c r="I6" s="11"/>
      <c r="J6" s="91">
        <f>SUM(D6:I6)</f>
        <v>278</v>
      </c>
      <c r="K6" s="92"/>
    </row>
    <row r="7" spans="1:11" ht="15.75" customHeight="1" thickBot="1">
      <c r="A7" s="10" t="s">
        <v>8</v>
      </c>
      <c r="B7" s="11">
        <f t="shared" ref="B7:B15" si="0">SUM(C7:I7)+K7</f>
        <v>20</v>
      </c>
      <c r="C7" s="11">
        <v>19</v>
      </c>
      <c r="D7" s="11">
        <v>0</v>
      </c>
      <c r="E7" s="11">
        <v>0</v>
      </c>
      <c r="F7" s="11">
        <v>0</v>
      </c>
      <c r="G7" s="11">
        <v>0</v>
      </c>
      <c r="H7" s="11">
        <v>0</v>
      </c>
      <c r="I7" s="11"/>
      <c r="J7" s="91">
        <f t="shared" ref="J7:J15" si="1">SUM(D7:I7)</f>
        <v>0</v>
      </c>
      <c r="K7" s="92">
        <v>1</v>
      </c>
    </row>
    <row r="8" spans="1:11" ht="15.75" customHeight="1" thickBot="1">
      <c r="A8" s="10" t="s">
        <v>9</v>
      </c>
      <c r="B8" s="11">
        <f t="shared" si="0"/>
        <v>39</v>
      </c>
      <c r="C8" s="11">
        <v>32</v>
      </c>
      <c r="D8" s="11"/>
      <c r="E8" s="11"/>
      <c r="F8" s="11"/>
      <c r="G8" s="11"/>
      <c r="H8" s="11">
        <v>1</v>
      </c>
      <c r="I8" s="11">
        <v>6</v>
      </c>
      <c r="J8" s="91">
        <f t="shared" si="1"/>
        <v>7</v>
      </c>
      <c r="K8" s="92"/>
    </row>
    <row r="9" spans="1:11" ht="15.75" customHeight="1" thickBot="1">
      <c r="A9" s="10" t="s">
        <v>10</v>
      </c>
      <c r="B9" s="11">
        <f t="shared" si="0"/>
        <v>10</v>
      </c>
      <c r="C9" s="11">
        <v>9</v>
      </c>
      <c r="D9" s="11"/>
      <c r="E9" s="11"/>
      <c r="F9" s="11"/>
      <c r="G9" s="11"/>
      <c r="H9" s="11"/>
      <c r="I9" s="11">
        <v>1</v>
      </c>
      <c r="J9" s="91">
        <f t="shared" si="1"/>
        <v>1</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15</v>
      </c>
      <c r="C11" s="11">
        <v>12</v>
      </c>
      <c r="D11" s="11"/>
      <c r="E11" s="11"/>
      <c r="F11" s="11"/>
      <c r="G11" s="11"/>
      <c r="H11" s="11"/>
      <c r="I11" s="11">
        <v>3</v>
      </c>
      <c r="J11" s="91">
        <f t="shared" si="1"/>
        <v>3</v>
      </c>
      <c r="K11" s="92"/>
    </row>
    <row r="12" spans="1:11" ht="15.75" customHeight="1" thickBot="1">
      <c r="A12" s="10" t="s">
        <v>13</v>
      </c>
      <c r="B12" s="11">
        <f t="shared" si="0"/>
        <v>9</v>
      </c>
      <c r="C12" s="11">
        <v>8</v>
      </c>
      <c r="D12" s="11"/>
      <c r="E12" s="11"/>
      <c r="F12" s="11"/>
      <c r="G12" s="11"/>
      <c r="H12" s="11"/>
      <c r="I12" s="11">
        <v>1</v>
      </c>
      <c r="J12" s="91">
        <f t="shared" si="1"/>
        <v>1</v>
      </c>
      <c r="K12" s="92"/>
    </row>
    <row r="13" spans="1:11" ht="15.75" customHeight="1" thickBot="1">
      <c r="A13" s="10" t="s">
        <v>133</v>
      </c>
      <c r="B13" s="11">
        <f t="shared" si="0"/>
        <v>39</v>
      </c>
      <c r="C13" s="11">
        <v>32</v>
      </c>
      <c r="D13" s="11"/>
      <c r="E13" s="11"/>
      <c r="F13" s="11"/>
      <c r="G13" s="11"/>
      <c r="H13" s="11">
        <v>1</v>
      </c>
      <c r="I13" s="11">
        <v>6</v>
      </c>
      <c r="J13" s="91">
        <f t="shared" si="1"/>
        <v>7</v>
      </c>
      <c r="K13" s="92"/>
    </row>
    <row r="14" spans="1:11" ht="26.25" customHeight="1" thickBot="1">
      <c r="A14" s="10" t="s">
        <v>123</v>
      </c>
      <c r="B14" s="11">
        <f t="shared" si="0"/>
        <v>1</v>
      </c>
      <c r="C14" s="11">
        <v>1</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1787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10.6323447118075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19</v>
      </c>
      <c r="Q7" s="42">
        <f>C6-C7</f>
        <v>1768</v>
      </c>
      <c r="R7" s="42">
        <f t="shared" ref="R7:R15" si="5">SUM(N7:Q7)</f>
        <v>1787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32</v>
      </c>
      <c r="D8" s="34">
        <f>IF((AND(C67&gt;0,C8&gt;0)),(C8/C67),0)</f>
        <v>168.42105263157896</v>
      </c>
      <c r="E8" s="33">
        <f>'Data Entry'!I8</f>
        <v>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6</v>
      </c>
      <c r="O8" s="42">
        <f>((D67*L67)-E8)+0.05</f>
        <v>-5.95</v>
      </c>
      <c r="P8" s="42">
        <f t="shared" si="4"/>
        <v>32</v>
      </c>
      <c r="Q8" s="42">
        <f>(C$67*L67)-C8</f>
        <v>-13</v>
      </c>
      <c r="R8" s="42">
        <f t="shared" si="5"/>
        <v>19.049999999999997</v>
      </c>
      <c r="S8" s="30">
        <f t="shared" si="6"/>
        <v>240673.128</v>
      </c>
      <c r="T8" s="30">
        <f t="shared" si="7"/>
        <v>-684.09499999999753</v>
      </c>
      <c r="U8" s="31">
        <f t="shared" si="8"/>
        <v>-351.81243540736426</v>
      </c>
    </row>
    <row r="9" spans="2:21" ht="18" customHeight="1">
      <c r="B9" s="32" t="str">
        <f>'Data Entry'!A9</f>
        <v xml:space="preserve">4. Cases Diverted </v>
      </c>
      <c r="C9" s="33">
        <f>'Data Entry'!C9</f>
        <v>9</v>
      </c>
      <c r="D9" s="34">
        <f>IF((AND(C68&gt;0,C9&gt;0)),((C9/C68)),0)</f>
        <v>28.125</v>
      </c>
      <c r="E9" s="33">
        <f>'Data Entry'!I9</f>
        <v>1</v>
      </c>
      <c r="F9" s="34">
        <f>IF((AND($E$9&gt;0,$D$68&gt;0)),(($E$9/$D$68)),0)</f>
        <v>16.666666666666668</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5</v>
      </c>
      <c r="P9" s="42">
        <f t="shared" si="4"/>
        <v>9</v>
      </c>
      <c r="Q9" s="42">
        <f>(C$68*L68)-C9</f>
        <v>23</v>
      </c>
      <c r="R9" s="42">
        <f t="shared" si="5"/>
        <v>38</v>
      </c>
      <c r="S9" s="30">
        <f t="shared" si="6"/>
        <v>18392</v>
      </c>
      <c r="T9" s="30">
        <f t="shared" si="7"/>
        <v>53760</v>
      </c>
      <c r="U9" s="31">
        <f t="shared" si="8"/>
        <v>0.34211309523809524</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32</v>
      </c>
      <c r="R10" s="42">
        <f t="shared" si="5"/>
        <v>38</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37.5</v>
      </c>
      <c r="E11" s="33">
        <f>'Data Entry'!I11</f>
        <v>3</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3</v>
      </c>
      <c r="O11" s="42">
        <f>(D$68*L68)-E11</f>
        <v>3</v>
      </c>
      <c r="P11" s="42">
        <f t="shared" si="4"/>
        <v>12</v>
      </c>
      <c r="Q11" s="42">
        <f>(C$68*L68)-C11</f>
        <v>20</v>
      </c>
      <c r="R11" s="42">
        <f t="shared" si="5"/>
        <v>38</v>
      </c>
      <c r="S11" s="30">
        <f t="shared" si="6"/>
        <v>21888</v>
      </c>
      <c r="T11" s="30">
        <f t="shared" si="7"/>
        <v>66240</v>
      </c>
      <c r="U11" s="31">
        <f t="shared" si="8"/>
        <v>0.33043478260869563</v>
      </c>
    </row>
    <row r="12" spans="2:21" ht="18" customHeight="1">
      <c r="B12" s="32" t="str">
        <f>'Data Entry'!A12</f>
        <v>7. Cases Resulting in Delinquent Findings</v>
      </c>
      <c r="C12" s="33">
        <f>'Data Entry'!C12</f>
        <v>8</v>
      </c>
      <c r="D12" s="34">
        <f>IF(((AND(C69&gt;0,C12&gt;0))),(C12/(C69)),0)</f>
        <v>66.666666666666671</v>
      </c>
      <c r="E12" s="33">
        <f>'Data Entry'!I12</f>
        <v>1</v>
      </c>
      <c r="F12" s="34">
        <f>IF(((AND($D$69&gt;0,$E$12&gt;0))),(E12/(D69)),0)</f>
        <v>33.333333333333336</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2</v>
      </c>
      <c r="P12" s="42">
        <f t="shared" si="4"/>
        <v>8</v>
      </c>
      <c r="Q12" s="42">
        <f>(C69*L69)-C12</f>
        <v>4</v>
      </c>
      <c r="R12" s="42">
        <f t="shared" si="5"/>
        <v>15</v>
      </c>
      <c r="S12" s="30">
        <f t="shared" si="6"/>
        <v>2160</v>
      </c>
      <c r="T12" s="30">
        <f t="shared" si="7"/>
        <v>1944</v>
      </c>
      <c r="U12" s="31">
        <f t="shared" si="8"/>
        <v>1.1111111111111112</v>
      </c>
    </row>
    <row r="13" spans="2:21" ht="18" customHeight="1">
      <c r="B13" s="32" t="str">
        <f>'Data Entry'!A13</f>
        <v>8. Cases Resulting in Probation Placement</v>
      </c>
      <c r="C13" s="33">
        <f>'Data Entry'!C13</f>
        <v>32</v>
      </c>
      <c r="D13" s="34">
        <f>IF(((AND(C70&gt;0,C13&gt;0))),(C13/(C70)),0)</f>
        <v>400</v>
      </c>
      <c r="E13" s="33">
        <f>'Data Entry'!I13</f>
        <v>6</v>
      </c>
      <c r="F13" s="34">
        <f>IF(((AND($D$70&gt;0,$E$13&gt;0))),($E$13/($D$70)),0)</f>
        <v>600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6</v>
      </c>
      <c r="O13" s="42">
        <f>(D70*L70)-E13</f>
        <v>-5</v>
      </c>
      <c r="P13" s="42">
        <f t="shared" si="4"/>
        <v>32</v>
      </c>
      <c r="Q13" s="42">
        <f>(C70*L70)-C13</f>
        <v>-24</v>
      </c>
      <c r="R13" s="42">
        <f t="shared" si="5"/>
        <v>9</v>
      </c>
      <c r="S13" s="30">
        <f t="shared" si="6"/>
        <v>2304</v>
      </c>
      <c r="T13" s="30">
        <f t="shared" si="7"/>
        <v>-8816</v>
      </c>
      <c r="U13" s="31">
        <f t="shared" si="8"/>
        <v>-0.2613430127041742</v>
      </c>
    </row>
    <row r="14" spans="2:21" ht="30.75" customHeight="1">
      <c r="B14" s="32" t="str">
        <f>'Data Entry'!A14</f>
        <v xml:space="preserve">9. Cases Resulting in Confinement in Secure Juvenile Correctional Facilities </v>
      </c>
      <c r="C14" s="33">
        <f>'Data Entry'!C14</f>
        <v>1</v>
      </c>
      <c r="D14" s="34">
        <f>IF(((AND(C70&gt;0,C14&gt;0))), ((C14/(C70))),0)</f>
        <v>12.5</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1</v>
      </c>
      <c r="Q14" s="42">
        <f>(C70*L70)-C14</f>
        <v>7</v>
      </c>
      <c r="R14" s="42">
        <f t="shared" si="5"/>
        <v>9</v>
      </c>
      <c r="S14" s="30">
        <f t="shared" si="6"/>
        <v>9</v>
      </c>
      <c r="T14" s="30">
        <f t="shared" si="7"/>
        <v>64</v>
      </c>
      <c r="U14" s="31">
        <f t="shared" si="8"/>
        <v>0.140625</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12</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1.7869999999999999</v>
      </c>
      <c r="D42" s="56">
        <f>E6/1000</f>
        <v>0</v>
      </c>
      <c r="E42" s="56">
        <f>MAX(C42:D42)</f>
        <v>1.7869999999999999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0.32</v>
      </c>
      <c r="D44" s="56">
        <f>E8/100</f>
        <v>0.06</v>
      </c>
      <c r="E44" s="56">
        <f>MAX(C44:D44,0)</f>
        <v>0.32</v>
      </c>
      <c r="G44" s="1" t="str">
        <f>B44</f>
        <v>per 100 referrals</v>
      </c>
      <c r="L44" s="57">
        <v>100</v>
      </c>
      <c r="M44" s="57"/>
      <c r="R44" s="49"/>
    </row>
    <row r="45" spans="2:18" ht="15" hidden="1" customHeight="1">
      <c r="B45" s="49" t="s">
        <v>89</v>
      </c>
      <c r="C45" s="49">
        <f>C11/100</f>
        <v>0.12</v>
      </c>
      <c r="D45" s="49">
        <f>E11/100</f>
        <v>0.03</v>
      </c>
      <c r="E45" s="56">
        <f>MAX(C45:D45,0)</f>
        <v>0.12</v>
      </c>
      <c r="G45" s="1" t="str">
        <f>B45</f>
        <v>per 100 youth petitioned</v>
      </c>
      <c r="L45" s="57">
        <v>100</v>
      </c>
      <c r="M45" s="57"/>
      <c r="R45" s="49"/>
    </row>
    <row r="46" spans="2:18" ht="15" hidden="1" customHeight="1">
      <c r="B46" s="49" t="s">
        <v>90</v>
      </c>
      <c r="C46" s="49">
        <f>C12/100</f>
        <v>0.08</v>
      </c>
      <c r="D46" s="49">
        <f>E12/100</f>
        <v>0.01</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1.7869999999999999</v>
      </c>
      <c r="D48" s="56">
        <f>D42</f>
        <v>0</v>
      </c>
      <c r="E48" s="56">
        <f>MAX(C48:D48)</f>
        <v>1.7869999999999999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0.06</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0.03</v>
      </c>
      <c r="E51" s="49">
        <f>MAX(C51:D51)</f>
        <v>0.12</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0.01</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1.7869999999999999</v>
      </c>
      <c r="D54" s="56">
        <f>D48</f>
        <v>0</v>
      </c>
      <c r="E54" s="56">
        <f>MAX(C54:D54)</f>
        <v>1.7869999999999999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0.32</v>
      </c>
      <c r="D56" s="49">
        <f t="shared" si="10"/>
        <v>0.06</v>
      </c>
      <c r="E56" s="49">
        <f>MAX(C56:D56)</f>
        <v>0.32</v>
      </c>
      <c r="G56" s="1" t="str">
        <f>G50</f>
        <v>per 100 referrals</v>
      </c>
      <c r="L56" s="58">
        <f>IF(($E50&gt;0),L50,L49)</f>
        <v>100</v>
      </c>
      <c r="M56" s="58"/>
    </row>
    <row r="57" spans="2:18" ht="15" hidden="1" customHeight="1">
      <c r="B57" s="49" t="str">
        <f>IF(($E51&gt;0),B51,B49)</f>
        <v>per 100 youth petitioned</v>
      </c>
      <c r="C57" s="49">
        <f>IF(($E51&gt;0),C51,C50)</f>
        <v>0.12</v>
      </c>
      <c r="D57" s="49">
        <f>IF(($E51&gt;0),D51,D50)</f>
        <v>0.03</v>
      </c>
      <c r="E57" s="49">
        <f>MAX(C57:D57)</f>
        <v>0.12</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0.01</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1.7869999999999999</v>
      </c>
      <c r="D60" s="56">
        <f>D54</f>
        <v>0</v>
      </c>
      <c r="E60" s="56">
        <f>MAX(C60:D60)</f>
        <v>1.7869999999999999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0.32</v>
      </c>
      <c r="D62" s="49">
        <f t="shared" si="11"/>
        <v>0.06</v>
      </c>
      <c r="E62" s="49">
        <f>MAX(C62:D62)</f>
        <v>0.32</v>
      </c>
      <c r="G62" s="1" t="str">
        <f>G56</f>
        <v>per 100 referrals</v>
      </c>
      <c r="L62" s="58">
        <f>IF(($E56&gt;0),L56,L55)</f>
        <v>100</v>
      </c>
      <c r="M62" s="58"/>
    </row>
    <row r="63" spans="2:18" ht="15" hidden="1" customHeight="1">
      <c r="B63" s="49" t="str">
        <f>IF(($E57&gt;0),B57,B55)</f>
        <v>per 100 youth petitioned</v>
      </c>
      <c r="C63" s="49">
        <f>IF(($E57&gt;0),C57,C56)</f>
        <v>0.12</v>
      </c>
      <c r="D63" s="49">
        <f>IF(($E57&gt;0),D57,D56)</f>
        <v>0.03</v>
      </c>
      <c r="E63" s="49">
        <f>MAX(C63:D63)</f>
        <v>0.12</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0.01</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1.7869999999999999</v>
      </c>
      <c r="D66" s="56">
        <f>D60</f>
        <v>0</v>
      </c>
      <c r="E66" s="56">
        <f>MAX(C66:D66)</f>
        <v>1.7869999999999999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0.32</v>
      </c>
      <c r="D68" s="49">
        <f t="shared" si="12"/>
        <v>0.06</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0.03</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0.01</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1787</v>
      </c>
      <c r="D6" s="34"/>
      <c r="E6" s="33">
        <f>'Data Entry'!J6</f>
        <v>278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10.6323447118075</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278</v>
      </c>
      <c r="P7" s="42">
        <f t="shared" ref="P7:P15" si="4">C7</f>
        <v>19</v>
      </c>
      <c r="Q7" s="42">
        <f>C6-C7</f>
        <v>1768</v>
      </c>
      <c r="R7" s="42">
        <f t="shared" ref="R7:R15" si="5">SUM(N7:Q7)</f>
        <v>2065</v>
      </c>
      <c r="S7" s="30">
        <f t="shared" ref="S7:S15" si="6">R7*((((N7*Q7)-(O7*P7))^2))</f>
        <v>57612517060</v>
      </c>
      <c r="T7" s="30">
        <f t="shared" ref="T7:T15" si="7">(N7+O7)*(P7+Q7)*(N7+P7)*(O7+Q7)</f>
        <v>19312058964</v>
      </c>
      <c r="U7" s="31">
        <f t="shared" ref="U7:U15" si="8">IF((S7&gt;0),S7/T7,"- -")</f>
        <v>2.9832405321150199</v>
      </c>
    </row>
    <row r="8" spans="2:21" ht="18" customHeight="1">
      <c r="B8" s="32" t="str">
        <f>'Data Entry'!A8</f>
        <v>3. Refer to Juvenile Court</v>
      </c>
      <c r="C8" s="33">
        <f>'Data Entry'!C8</f>
        <v>32</v>
      </c>
      <c r="D8" s="34">
        <f>IF((AND(C67&gt;0,C8&gt;0)),(C8/C67),0)</f>
        <v>168.42105263157896</v>
      </c>
      <c r="E8" s="33">
        <f>'Data Entry'!J8</f>
        <v>7</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7</v>
      </c>
      <c r="O8" s="42">
        <f>((D67*L67)-E8)+0.05</f>
        <v>-6.95</v>
      </c>
      <c r="P8" s="42">
        <f t="shared" si="4"/>
        <v>32</v>
      </c>
      <c r="Q8" s="42">
        <f>(C$67*L67)-C8</f>
        <v>-13</v>
      </c>
      <c r="R8" s="42">
        <f t="shared" si="5"/>
        <v>19.049999999999997</v>
      </c>
      <c r="S8" s="30">
        <f t="shared" si="6"/>
        <v>328916.538</v>
      </c>
      <c r="T8" s="30">
        <f t="shared" si="7"/>
        <v>-739.14749999999742</v>
      </c>
      <c r="U8" s="31">
        <f t="shared" si="8"/>
        <v>-444.99445374570183</v>
      </c>
    </row>
    <row r="9" spans="2:21" ht="18" customHeight="1">
      <c r="B9" s="32" t="str">
        <f>'Data Entry'!A9</f>
        <v xml:space="preserve">4. Cases Diverted </v>
      </c>
      <c r="C9" s="33">
        <f>'Data Entry'!C9</f>
        <v>9</v>
      </c>
      <c r="D9" s="34">
        <f>IF((AND(C68&gt;0,C9&gt;0)),((C9/C68)),0)</f>
        <v>28.125</v>
      </c>
      <c r="E9" s="33">
        <f>'Data Entry'!J9</f>
        <v>1</v>
      </c>
      <c r="F9" s="34">
        <f>IF((AND($E$9&gt;0,$D$68&gt;0)),(($E$9/$D$68)),0)</f>
        <v>14.285714285714285</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6.0000000000000009</v>
      </c>
      <c r="P9" s="42">
        <f t="shared" si="4"/>
        <v>9</v>
      </c>
      <c r="Q9" s="42">
        <f>(C$68*L68)-C9</f>
        <v>23</v>
      </c>
      <c r="R9" s="42">
        <f t="shared" si="5"/>
        <v>39</v>
      </c>
      <c r="S9" s="30">
        <f t="shared" si="6"/>
        <v>37479.000000000015</v>
      </c>
      <c r="T9" s="30">
        <f t="shared" si="7"/>
        <v>64960.000000000015</v>
      </c>
      <c r="U9" s="31">
        <f t="shared" si="8"/>
        <v>0.57695504926108387</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7.0000000000000009</v>
      </c>
      <c r="P10" s="42">
        <f t="shared" si="4"/>
        <v>0</v>
      </c>
      <c r="Q10" s="42">
        <f>(C$68*L68)-C10</f>
        <v>32</v>
      </c>
      <c r="R10" s="42">
        <f t="shared" si="5"/>
        <v>39</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37.5</v>
      </c>
      <c r="E11" s="33">
        <f>'Data Entry'!J11</f>
        <v>3</v>
      </c>
      <c r="F11" s="34">
        <f>IF(((AND($E$11&gt;0,$D$68&gt;0))),($E$11/($D$68)),0)</f>
        <v>42.857142857142854</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4.0000000000000009</v>
      </c>
      <c r="P11" s="42">
        <f t="shared" si="4"/>
        <v>12</v>
      </c>
      <c r="Q11" s="42">
        <f>(C$68*L68)-C11</f>
        <v>20</v>
      </c>
      <c r="R11" s="42">
        <f t="shared" si="5"/>
        <v>39</v>
      </c>
      <c r="S11" s="30">
        <f t="shared" si="6"/>
        <v>5615.9999999999864</v>
      </c>
      <c r="T11" s="30">
        <f t="shared" si="7"/>
        <v>80640.000000000015</v>
      </c>
      <c r="U11" s="31">
        <f t="shared" si="8"/>
        <v>6.9642857142856965E-2</v>
      </c>
    </row>
    <row r="12" spans="2:21" ht="18" customHeight="1">
      <c r="B12" s="32" t="str">
        <f>'Data Entry'!A12</f>
        <v>7. Cases Resulting in Delinquent Findings</v>
      </c>
      <c r="C12" s="33">
        <f>'Data Entry'!C12</f>
        <v>8</v>
      </c>
      <c r="D12" s="34">
        <f>IF(((AND(C69&gt;0,C12&gt;0))),(C12/(C69)),0)</f>
        <v>66.666666666666671</v>
      </c>
      <c r="E12" s="33">
        <f>'Data Entry'!J12</f>
        <v>1</v>
      </c>
      <c r="F12" s="34">
        <f>IF(((AND($D$69&gt;0,$E$12&gt;0))),(E12/(D69)),0)</f>
        <v>33.333333333333336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2</v>
      </c>
      <c r="P12" s="42">
        <f t="shared" si="4"/>
        <v>8</v>
      </c>
      <c r="Q12" s="42">
        <f>(C69*L69)-C12</f>
        <v>4</v>
      </c>
      <c r="R12" s="42">
        <f t="shared" si="5"/>
        <v>15</v>
      </c>
      <c r="S12" s="30">
        <f t="shared" si="6"/>
        <v>2160</v>
      </c>
      <c r="T12" s="30">
        <f t="shared" si="7"/>
        <v>1944</v>
      </c>
      <c r="U12" s="31">
        <f t="shared" si="8"/>
        <v>1.1111111111111112</v>
      </c>
    </row>
    <row r="13" spans="2:21" ht="18" customHeight="1">
      <c r="B13" s="32" t="str">
        <f>'Data Entry'!A13</f>
        <v>8. Cases Resulting in Probation Placement</v>
      </c>
      <c r="C13" s="33">
        <f>'Data Entry'!C13</f>
        <v>32</v>
      </c>
      <c r="D13" s="34">
        <f>IF(((AND(C70&gt;0,C13&gt;0))),(C13/(C70)),0)</f>
        <v>400</v>
      </c>
      <c r="E13" s="33">
        <f>'Data Entry'!J13</f>
        <v>7</v>
      </c>
      <c r="F13" s="34">
        <f>IF(((AND($D$70&gt;0,$E$13&gt;0))),($E$13/($D$70)),0)</f>
        <v>700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7</v>
      </c>
      <c r="O13" s="42">
        <f>(D70*L70)-E13</f>
        <v>-6</v>
      </c>
      <c r="P13" s="42">
        <f t="shared" si="4"/>
        <v>32</v>
      </c>
      <c r="Q13" s="42">
        <f>(C70*L70)-C13</f>
        <v>-24</v>
      </c>
      <c r="R13" s="42">
        <f t="shared" si="5"/>
        <v>9</v>
      </c>
      <c r="S13" s="30">
        <f t="shared" si="6"/>
        <v>5184</v>
      </c>
      <c r="T13" s="30">
        <f t="shared" si="7"/>
        <v>-9360</v>
      </c>
      <c r="U13" s="31">
        <f t="shared" si="8"/>
        <v>-0.55384615384615388</v>
      </c>
    </row>
    <row r="14" spans="2:21" ht="30.75" customHeight="1">
      <c r="B14" s="32" t="str">
        <f>'Data Entry'!A14</f>
        <v xml:space="preserve">9. Cases Resulting in Confinement in Secure Juvenile Correctional Facilities </v>
      </c>
      <c r="C14" s="33">
        <f>'Data Entry'!C14</f>
        <v>1</v>
      </c>
      <c r="D14" s="34">
        <f>IF(((AND(C70&gt;0,C14&gt;0))), ((C14/(C70))),0)</f>
        <v>12.5</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1</v>
      </c>
      <c r="Q14" s="42">
        <f>(C70*L70)-C14</f>
        <v>7</v>
      </c>
      <c r="R14" s="42">
        <f t="shared" si="5"/>
        <v>9</v>
      </c>
      <c r="S14" s="30">
        <f t="shared" si="6"/>
        <v>9</v>
      </c>
      <c r="T14" s="30">
        <f t="shared" si="7"/>
        <v>64</v>
      </c>
      <c r="U14" s="31">
        <f t="shared" si="8"/>
        <v>0.140625</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12</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1.7869999999999999</v>
      </c>
      <c r="D42" s="56">
        <f>E6/1000</f>
        <v>0.27800000000000002</v>
      </c>
      <c r="E42" s="56">
        <f>MAX(C42:D42)</f>
        <v>1.7869999999999999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0.32</v>
      </c>
      <c r="D44" s="56">
        <f>E8/100</f>
        <v>7.0000000000000007E-2</v>
      </c>
      <c r="E44" s="56">
        <f>MAX(C44:D44,0)</f>
        <v>0.32</v>
      </c>
      <c r="G44" s="1" t="str">
        <f>B44</f>
        <v>per 100 referrals</v>
      </c>
      <c r="L44" s="57">
        <v>100</v>
      </c>
      <c r="M44" s="57"/>
      <c r="R44" s="49"/>
    </row>
    <row r="45" spans="2:18" ht="15" hidden="1" customHeight="1">
      <c r="B45" s="49" t="s">
        <v>89</v>
      </c>
      <c r="C45" s="49">
        <f>C11/100</f>
        <v>0.12</v>
      </c>
      <c r="D45" s="49">
        <f>E11/100</f>
        <v>0.03</v>
      </c>
      <c r="E45" s="56">
        <f>MAX(C45:D45,0)</f>
        <v>0.12</v>
      </c>
      <c r="G45" s="1" t="str">
        <f>B45</f>
        <v>per 100 youth petitioned</v>
      </c>
      <c r="L45" s="57">
        <v>100</v>
      </c>
      <c r="M45" s="57"/>
      <c r="R45" s="49"/>
    </row>
    <row r="46" spans="2:18" ht="15" hidden="1" customHeight="1">
      <c r="B46" s="49" t="s">
        <v>90</v>
      </c>
      <c r="C46" s="49">
        <f>C12/100</f>
        <v>0.08</v>
      </c>
      <c r="D46" s="49">
        <f>E12/100</f>
        <v>0.01</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1.7869999999999999</v>
      </c>
      <c r="D48" s="56">
        <f>D42</f>
        <v>0.27800000000000002</v>
      </c>
      <c r="E48" s="56">
        <f>MAX(C48:D48)</f>
        <v>1.7869999999999999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7.0000000000000007E-2</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0.03</v>
      </c>
      <c r="E51" s="49">
        <f>MAX(C51:D51)</f>
        <v>0.12</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0.01</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1.7869999999999999</v>
      </c>
      <c r="D54" s="56">
        <f>D48</f>
        <v>0.27800000000000002</v>
      </c>
      <c r="E54" s="56">
        <f>MAX(C54:D54)</f>
        <v>1.7869999999999999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0.32</v>
      </c>
      <c r="D56" s="49">
        <f t="shared" si="10"/>
        <v>7.0000000000000007E-2</v>
      </c>
      <c r="E56" s="49">
        <f>MAX(C56:D56)</f>
        <v>0.32</v>
      </c>
      <c r="G56" s="1" t="str">
        <f>G50</f>
        <v>per 100 referrals</v>
      </c>
      <c r="L56" s="58">
        <f>IF(($E50&gt;0),L50,L49)</f>
        <v>100</v>
      </c>
      <c r="M56" s="58"/>
    </row>
    <row r="57" spans="2:18" ht="15" hidden="1" customHeight="1">
      <c r="B57" s="49" t="str">
        <f>IF(($E51&gt;0),B51,B49)</f>
        <v>per 100 youth petitioned</v>
      </c>
      <c r="C57" s="49">
        <f>IF(($E51&gt;0),C51,C50)</f>
        <v>0.12</v>
      </c>
      <c r="D57" s="49">
        <f>IF(($E51&gt;0),D51,D50)</f>
        <v>0.03</v>
      </c>
      <c r="E57" s="49">
        <f>MAX(C57:D57)</f>
        <v>0.12</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0.01</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1.7869999999999999</v>
      </c>
      <c r="D60" s="56">
        <f>D54</f>
        <v>0.27800000000000002</v>
      </c>
      <c r="E60" s="56">
        <f>MAX(C60:D60)</f>
        <v>1.7869999999999999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0.32</v>
      </c>
      <c r="D62" s="49">
        <f t="shared" si="11"/>
        <v>7.0000000000000007E-2</v>
      </c>
      <c r="E62" s="49">
        <f>MAX(C62:D62)</f>
        <v>0.32</v>
      </c>
      <c r="G62" s="1" t="str">
        <f>G56</f>
        <v>per 100 referrals</v>
      </c>
      <c r="L62" s="58">
        <f>IF(($E56&gt;0),L56,L55)</f>
        <v>100</v>
      </c>
      <c r="M62" s="58"/>
    </row>
    <row r="63" spans="2:18" ht="15" hidden="1" customHeight="1">
      <c r="B63" s="49" t="str">
        <f>IF(($E57&gt;0),B57,B55)</f>
        <v>per 100 youth petitioned</v>
      </c>
      <c r="C63" s="49">
        <f>IF(($E57&gt;0),C57,C56)</f>
        <v>0.12</v>
      </c>
      <c r="D63" s="49">
        <f>IF(($E57&gt;0),D57,D56)</f>
        <v>0.03</v>
      </c>
      <c r="E63" s="49">
        <f>MAX(C63:D63)</f>
        <v>0.12</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0.01</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1.7869999999999999</v>
      </c>
      <c r="D66" s="56">
        <f>D60</f>
        <v>0.27800000000000002</v>
      </c>
      <c r="E66" s="56">
        <f>MAX(C66:D66)</f>
        <v>1.7869999999999999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0.32</v>
      </c>
      <c r="D68" s="49">
        <f t="shared" si="12"/>
        <v>7.0000000000000007E-2</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0.03</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0.01</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Manistee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20</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f>'Am Indian'!L9</f>
        <v>40</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40</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#DIV/0!</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2065</v>
      </c>
      <c r="D3" s="57">
        <f>'Data Entry'!C6</f>
        <v>1787</v>
      </c>
      <c r="E3" s="57">
        <f>'Data Entry'!D6</f>
        <v>46</v>
      </c>
      <c r="F3" s="57">
        <f>'Data Entry'!E6</f>
        <v>156</v>
      </c>
      <c r="G3" s="57">
        <f>'Data Entry'!F6</f>
        <v>20</v>
      </c>
      <c r="H3" s="57">
        <f>'Data Entry'!G6</f>
        <v>0</v>
      </c>
      <c r="I3" s="57">
        <f>'Data Entry'!H6</f>
        <v>56</v>
      </c>
      <c r="J3" s="57">
        <f>'Data Entry'!I6</f>
        <v>0</v>
      </c>
      <c r="K3" s="57">
        <f>'Data Entry'!J6</f>
        <v>278</v>
      </c>
    </row>
    <row r="4" spans="2:11" ht="15" customHeight="1">
      <c r="B4" s="16" t="s">
        <v>8</v>
      </c>
      <c r="C4" s="1">
        <f>IF((C$3&gt;0),(1000*('Data Entry'!B7/'Data Entry'!B$6)), 0)</f>
        <v>9.6852300242130749</v>
      </c>
      <c r="D4" s="1">
        <f>IF((D$3&gt;0),(1000*('Data Entry'!C7/'Data Entry'!C$6)), 0)</f>
        <v>10.632344711807498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18.886198547215496</v>
      </c>
      <c r="D5" s="1">
        <f>IF((D$3&gt;0),(1000*('Data Entry'!C8/'Data Entry'!C$6)), 0)</f>
        <v>17.907106883044211</v>
      </c>
      <c r="E5" s="1">
        <f>IF((E$3&gt;0),(1000*('Data Entry'!D8/'Data Entry'!D$6)), 0)</f>
        <v>0</v>
      </c>
      <c r="F5" s="1">
        <f>IF((F$3&gt;0),(1000*('Data Entry'!E8/'Data Entry'!E$6)), 0)</f>
        <v>0</v>
      </c>
      <c r="G5" s="1">
        <f>IF((G$3&gt;0),(1000*('Data Entry'!F8/'Data Entry'!F$6)), 0)</f>
        <v>0</v>
      </c>
      <c r="H5" s="1">
        <f>IF((H$3&gt;0),(1000*('Data Entry'!G8/'Data Entry'!G$6)), 0)</f>
        <v>0</v>
      </c>
      <c r="I5" s="1">
        <f>IF((I$3&gt;0),(1000*('Data Entry'!H8/'Data Entry'!H$6)), 0)</f>
        <v>17.857142857142858</v>
      </c>
      <c r="J5" s="1">
        <f>IF((J$3&gt;0),(1000*('Data Entry'!I8/'Data Entry'!I$6)), 0)</f>
        <v>0</v>
      </c>
      <c r="K5" s="1">
        <f>IF((K$3&gt;0),(1000*('Data Entry'!J8/'Data Entry'!J$6)), 0)</f>
        <v>25.179856115107913</v>
      </c>
    </row>
    <row r="6" spans="2:11" ht="15" customHeight="1">
      <c r="B6" s="16" t="s">
        <v>10</v>
      </c>
      <c r="C6" s="1">
        <f>IF((C$3&gt;0),(1000*('Data Entry'!B9/'Data Entry'!B$6)), 0)</f>
        <v>4.8426150121065374</v>
      </c>
      <c r="D6" s="1">
        <f>IF((D$3&gt;0),(1000*('Data Entry'!C9/'Data Entry'!C$6)), 0)</f>
        <v>5.0363738108561833</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3.5971223021582737</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7.2639225181598066</v>
      </c>
      <c r="D8" s="1">
        <f>IF((D$3&gt;0),(1000*('Data Entry'!C11/'Data Entry'!C$6)), 0)</f>
        <v>6.7151650811415786</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10.791366906474821</v>
      </c>
    </row>
    <row r="9" spans="2:11" ht="15" customHeight="1">
      <c r="B9" s="16" t="s">
        <v>13</v>
      </c>
      <c r="C9" s="1">
        <f>IF((C$3&gt;0),(1000*('Data Entry'!B12/'Data Entry'!B$6)), 0)</f>
        <v>4.3583535108958831</v>
      </c>
      <c r="D9" s="1">
        <f>IF((D$3&gt;0),(1000*('Data Entry'!C12/'Data Entry'!C$6)), 0)</f>
        <v>4.4767767207610527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3.5971223021582737</v>
      </c>
    </row>
    <row r="10" spans="2:11" ht="15" customHeight="1">
      <c r="B10" s="16" t="s">
        <v>14</v>
      </c>
      <c r="C10" s="1">
        <f>IF((C$3&gt;0),(1000*('Data Entry'!B13/'Data Entry'!B$6)), 0)</f>
        <v>18.886198547215496</v>
      </c>
      <c r="D10" s="1">
        <f>IF((D$3&gt;0),(1000*('Data Entry'!C13/'Data Entry'!C$6)), 0)</f>
        <v>17.907106883044211</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17.857142857142858</v>
      </c>
      <c r="J10" s="1">
        <f>IF((J$3&gt;0),(1000*('Data Entry'!I13/'Data Entry'!I$6)), 0)</f>
        <v>0</v>
      </c>
      <c r="K10" s="1">
        <f>IF((K$3&gt;0),(1000*('Data Entry'!J13/'Data Entry'!J$6)), 0)</f>
        <v>25.179856115107913</v>
      </c>
    </row>
    <row r="11" spans="2:11" ht="25.5" customHeight="1">
      <c r="B11" s="16" t="s">
        <v>15</v>
      </c>
      <c r="C11" s="1">
        <f>IF((C$3&gt;0),(1000*('Data Entry'!B14/'Data Entry'!B$6)), 0)</f>
        <v>0.48426150121065376</v>
      </c>
      <c r="D11" s="1">
        <f>IF((D$3&gt;0),(1000*('Data Entry'!C14/'Data Entry'!C$6)), 0)</f>
        <v>0.55959709009513159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Manistee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f t="shared" si="2"/>
        <v>0.99720982142857129</v>
      </c>
      <c r="I20" s="72" t="str">
        <f t="shared" si="2"/>
        <v>--</v>
      </c>
      <c r="J20" s="73">
        <f t="shared" si="2"/>
        <v>1.4061375899280573</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f t="shared" si="2"/>
        <v>0.71422861710631502</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1.6070143884892085</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0.80350719424460426</v>
      </c>
    </row>
    <row r="25" spans="2:10" ht="15" customHeight="1">
      <c r="B25" s="71" t="s">
        <v>14</v>
      </c>
      <c r="C25" s="72">
        <f t="shared" si="2"/>
        <v>1</v>
      </c>
      <c r="D25" s="72" t="str">
        <f t="shared" si="2"/>
        <v>--</v>
      </c>
      <c r="E25" s="72" t="str">
        <f t="shared" si="2"/>
        <v>--</v>
      </c>
      <c r="F25" s="72" t="str">
        <f t="shared" si="2"/>
        <v>--</v>
      </c>
      <c r="G25" s="72" t="str">
        <f t="shared" si="2"/>
        <v>--</v>
      </c>
      <c r="H25" s="72">
        <f t="shared" si="2"/>
        <v>0.99720982142857129</v>
      </c>
      <c r="I25" s="72" t="str">
        <f t="shared" si="2"/>
        <v>--</v>
      </c>
      <c r="J25" s="73">
        <f t="shared" si="2"/>
        <v>1.4061375899280573</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Manistee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1787</v>
      </c>
      <c r="D7" s="104">
        <f>'Data Entry'!D6</f>
        <v>46</v>
      </c>
      <c r="E7" s="105"/>
      <c r="F7" s="106">
        <f>'Data Entry'!E6</f>
        <v>156</v>
      </c>
      <c r="G7" s="105"/>
      <c r="H7" s="106">
        <f>'Data Entry'!F6</f>
        <v>20</v>
      </c>
      <c r="I7" s="105"/>
      <c r="J7" s="106">
        <f>'Data Entry'!G6</f>
        <v>0</v>
      </c>
      <c r="K7" s="105"/>
      <c r="L7" s="106">
        <f>'Data Entry'!H6</f>
        <v>56</v>
      </c>
      <c r="M7" s="105"/>
      <c r="N7" s="106">
        <f>'Data Entry'!I6</f>
        <v>0</v>
      </c>
      <c r="O7" s="105"/>
      <c r="P7" s="106">
        <f>'Data Entry'!J6</f>
        <v>278</v>
      </c>
      <c r="Q7" s="107"/>
    </row>
    <row r="8" spans="2:26" s="1" customFormat="1" ht="15" customHeight="1">
      <c r="B8" s="142" t="s">
        <v>8</v>
      </c>
      <c r="C8" s="103">
        <f>'Data Entry'!C7</f>
        <v>19</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32</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1</v>
      </c>
      <c r="M9" s="109" t="str">
        <f>'Am Indian'!G8</f>
        <v>**</v>
      </c>
      <c r="N9" s="110">
        <f>'Data Entry'!I8</f>
        <v>6</v>
      </c>
      <c r="O9" s="109" t="str">
        <f>'Other - Mixed'!G8</f>
        <v>*</v>
      </c>
      <c r="P9" s="110">
        <f>'Data Entry'!J8</f>
        <v>7</v>
      </c>
      <c r="Q9" s="111" t="str">
        <f>'All Minorities'!G8</f>
        <v>**</v>
      </c>
      <c r="R9"/>
      <c r="T9" s="1">
        <f>'Black or African-American'!L8</f>
        <v>40</v>
      </c>
      <c r="U9" s="1">
        <f>Hispanic!L8</f>
        <v>40</v>
      </c>
      <c r="V9" s="1">
        <f>Asian!L8</f>
        <v>139</v>
      </c>
      <c r="W9" s="1">
        <f>Hawaiian!L8</f>
        <v>139</v>
      </c>
      <c r="X9" s="1">
        <f>'Am Indian'!L8</f>
        <v>20</v>
      </c>
      <c r="Y9" s="1">
        <f>'Other - Mixed'!L8</f>
        <v>119</v>
      </c>
      <c r="Z9" s="1">
        <f>'All Minorities'!L8</f>
        <v>20</v>
      </c>
    </row>
    <row r="10" spans="2:26" s="1" customFormat="1" ht="15" customHeight="1">
      <c r="B10" s="142" t="s">
        <v>10</v>
      </c>
      <c r="C10" s="103">
        <f>'Data Entry'!C9</f>
        <v>9</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1</v>
      </c>
      <c r="Q10" s="115" t="str">
        <f>'All Minorities'!G9</f>
        <v>**</v>
      </c>
      <c r="R10"/>
      <c r="T10" s="1" t="e">
        <f>'Black or African-American'!L9</f>
        <v>#VALUE!</v>
      </c>
      <c r="U10" s="1" t="e">
        <f>Hispanic!L9</f>
        <v>#VALUE!</v>
      </c>
      <c r="V10" s="1" t="e">
        <f>Asian!L9</f>
        <v>#VALUE!</v>
      </c>
      <c r="W10" s="1" t="e">
        <f>Hawaiian!L9</f>
        <v>#VALUE!</v>
      </c>
      <c r="X10" s="1">
        <f>'Am Indian'!L9</f>
        <v>40</v>
      </c>
      <c r="Y10" s="1">
        <f>'Other - Mixed'!L9</f>
        <v>139</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12</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3</v>
      </c>
      <c r="O12" s="113" t="str">
        <f>'Other - Mixed'!G11</f>
        <v>*</v>
      </c>
      <c r="P12" s="114">
        <f>'Data Entry'!J11</f>
        <v>3</v>
      </c>
      <c r="Q12" s="115" t="str">
        <f>'All Minorities'!G11</f>
        <v>**</v>
      </c>
      <c r="R12"/>
      <c r="T12" s="1" t="e">
        <f>'Black or African-American'!L11</f>
        <v>#VALUE!</v>
      </c>
      <c r="U12" s="1" t="e">
        <f>Hispanic!L11</f>
        <v>#VALUE!</v>
      </c>
      <c r="V12" s="1" t="e">
        <f>Asian!L11</f>
        <v>#VALUE!</v>
      </c>
      <c r="W12" s="1" t="e">
        <f>Hawaiian!L11</f>
        <v>#VALUE!</v>
      </c>
      <c r="X12" s="1">
        <f>'Am Indian'!L11</f>
        <v>40</v>
      </c>
      <c r="Y12" s="1">
        <f>'Other - Mixed'!L11</f>
        <v>139</v>
      </c>
      <c r="Z12" s="1">
        <f>'All Minorities'!L11</f>
        <v>40</v>
      </c>
    </row>
    <row r="13" spans="2:26" s="1" customFormat="1" ht="15" customHeight="1">
      <c r="B13" s="142" t="s">
        <v>13</v>
      </c>
      <c r="C13" s="103">
        <f>'Data Entry'!C12</f>
        <v>8</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1</v>
      </c>
      <c r="Q13" s="111" t="str">
        <f>'All Minorities'!G12</f>
        <v>**</v>
      </c>
      <c r="R13"/>
      <c r="T13" s="1" t="e">
        <f>'Black or African-American'!L12</f>
        <v>#VALUE!</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32</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1</v>
      </c>
      <c r="M14" s="113" t="str">
        <f>'Am Indian'!G13</f>
        <v>--</v>
      </c>
      <c r="N14" s="114">
        <f>'Data Entry'!I13</f>
        <v>6</v>
      </c>
      <c r="O14" s="113" t="str">
        <f>'Other - Mixed'!G13</f>
        <v>*</v>
      </c>
      <c r="P14" s="114">
        <f>'Data Entry'!J13</f>
        <v>7</v>
      </c>
      <c r="Q14" s="115" t="str">
        <f>'All Minorities'!G13</f>
        <v>**</v>
      </c>
      <c r="R14"/>
      <c r="T14" s="1" t="e">
        <f>'Black or African-American'!L13</f>
        <v>#VALUE!</v>
      </c>
      <c r="U14" s="1" t="e">
        <f>Hispanic!L13</f>
        <v>#VALUE!</v>
      </c>
      <c r="V14" s="1" t="e">
        <f>Asian!L13</f>
        <v>#VALUE!</v>
      </c>
      <c r="W14" s="1" t="e">
        <f>Hawaiian!L13</f>
        <v>#VALUE!</v>
      </c>
      <c r="X14" s="1" t="e">
        <f>'Am Indian'!L13</f>
        <v>#DIV/0!</v>
      </c>
      <c r="Y14" s="1">
        <f>'Other - Mixed'!L13</f>
        <v>139</v>
      </c>
      <c r="Z14" s="1">
        <f>'All Minorities'!L13</f>
        <v>40</v>
      </c>
    </row>
    <row r="15" spans="2:26" s="1" customFormat="1" ht="33">
      <c r="B15" s="144"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Manistee</v>
      </c>
    </row>
    <row r="6" spans="1:12">
      <c r="A6" s="135" t="str">
        <f>CONCATENATE("Percentage of Minorities at Stages of the Juvenile Justice System, ", A5, " 2024")</f>
        <v>Percentage of Minorities at Stages of the Juvenile Justice System, County: Manistee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6.4280575539568341</v>
      </c>
    </row>
    <row r="8" spans="1:12" ht="25.5" customHeight="1">
      <c r="A8" s="151" t="str">
        <f>CONCATENATE("Confinement, total N=", 'Data Entry'!B14)</f>
        <v>Confinement, total N=1</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v>
      </c>
      <c r="L8">
        <f>I14/(SUM(B14:G14))</f>
        <v>6.4280575539568341</v>
      </c>
    </row>
    <row r="9" spans="1:12">
      <c r="A9" s="128" t="str">
        <f>CONCATENATE("Delinquent Findings, total N=", 'Data Entry'!B12)</f>
        <v>Delinquent Findings, total N=9</v>
      </c>
      <c r="B9" s="150">
        <f>'Data Entry'!D12/'Data Entry'!B12</f>
        <v>0</v>
      </c>
      <c r="C9" s="150">
        <f>'Data Entry'!E12/'Data Entry'!B12</f>
        <v>0</v>
      </c>
      <c r="D9" s="150">
        <f>'Data Entry'!F12/'Data Entry'!B12</f>
        <v>0</v>
      </c>
      <c r="E9" s="150">
        <f>'Data Entry'!G12/'Data Entry'!B12</f>
        <v>0</v>
      </c>
      <c r="F9" s="150">
        <f>'Data Entry'!H12/'Data Entry'!B12</f>
        <v>0</v>
      </c>
      <c r="G9" s="150">
        <f>'Data Entry'!I12/'Data Entry'!B12</f>
        <v>0.1111111111111111</v>
      </c>
      <c r="H9" s="150">
        <f>SUM(D9:G9)/'Data Entry'!B12</f>
        <v>1.2345679012345678E-2</v>
      </c>
      <c r="I9" s="150">
        <f>'Data Entry'!C12/'Data Entry'!B12</f>
        <v>0.88888888888888884</v>
      </c>
      <c r="K9" s="96" t="str">
        <f t="shared" si="0"/>
        <v>Delinquent Findings, total N=9</v>
      </c>
      <c r="L9">
        <f>I14/(SUM(B14:G14))</f>
        <v>6.4280575539568341</v>
      </c>
    </row>
    <row r="10" spans="1:12">
      <c r="A10" s="128" t="str">
        <f>CONCATENATE("Petitions, total N=", 'Data Entry'!B11)</f>
        <v>Petitions, total N=15</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0.2</v>
      </c>
      <c r="H10" s="150">
        <f>SUM(D10:G10)/'Data Entry'!B11</f>
        <v>1.3333333333333334E-2</v>
      </c>
      <c r="I10" s="150">
        <f>'Data Entry'!C11/'Data Entry'!B11</f>
        <v>0.8</v>
      </c>
      <c r="K10" s="96" t="str">
        <f t="shared" si="0"/>
        <v>Petitions, total N=15</v>
      </c>
      <c r="L10">
        <f>I14/(SUM(B14:G14))</f>
        <v>6.4280575539568341</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6.4280575539568341</v>
      </c>
    </row>
    <row r="12" spans="1:12">
      <c r="A12" s="128" t="str">
        <f>CONCATENATE("Referrals, total N=", 'Data Entry'!B8)</f>
        <v>Referrals, total N=39</v>
      </c>
      <c r="B12" s="150">
        <f>'Data Entry'!D8/'Data Entry'!B8</f>
        <v>0</v>
      </c>
      <c r="C12" s="150">
        <f>'Data Entry'!E8/'Data Entry'!B8</f>
        <v>0</v>
      </c>
      <c r="D12" s="150">
        <f>'Data Entry'!F8/'Data Entry'!B8</f>
        <v>0</v>
      </c>
      <c r="E12" s="150">
        <f>'Data Entry'!G8/'Data Entry'!B8</f>
        <v>0</v>
      </c>
      <c r="F12" s="150">
        <f>'Data Entry'!H8/'Data Entry'!B8</f>
        <v>2.564102564102564E-2</v>
      </c>
      <c r="G12" s="150">
        <f>'Data Entry'!I8/'Data Entry'!B8</f>
        <v>0.15384615384615385</v>
      </c>
      <c r="H12" s="150">
        <f>SUM(D12:G12)/'Data Entry'!B8</f>
        <v>4.6022353714661405E-3</v>
      </c>
      <c r="I12" s="150">
        <f>'Data Entry'!C8/'Data Entry'!B8</f>
        <v>0.82051282051282048</v>
      </c>
      <c r="K12" s="96" t="str">
        <f t="shared" si="0"/>
        <v>Referrals, total N=39</v>
      </c>
      <c r="L12">
        <f>I14/(SUM(B14:G14))</f>
        <v>6.4280575539568341</v>
      </c>
    </row>
    <row r="13" spans="1:12">
      <c r="A13" s="128" t="str">
        <f>CONCATENATE("Arrests, total N=", 'Data Entry'!B7)</f>
        <v>Arrests, total N=20</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0.95</v>
      </c>
      <c r="K13" s="96" t="str">
        <f t="shared" si="0"/>
        <v>Arrests, total N=20</v>
      </c>
      <c r="L13">
        <f>I14/(SUM(B14:G14))</f>
        <v>6.4280575539568341</v>
      </c>
    </row>
    <row r="14" spans="1:12">
      <c r="A14" s="128" t="str">
        <f>CONCATENATE("Population, total N=", 'Data Entry'!B6)</f>
        <v>Population, total N=2065</v>
      </c>
      <c r="B14" s="150">
        <f>'Data Entry'!D6/'Data Entry'!B6</f>
        <v>2.2276029055690073E-2</v>
      </c>
      <c r="C14" s="150">
        <f>'Data Entry'!E6/'Data Entry'!B6</f>
        <v>7.554479418886198E-2</v>
      </c>
      <c r="D14" s="150">
        <f>'Data Entry'!F6/'Data Entry'!B6</f>
        <v>9.6852300242130755E-3</v>
      </c>
      <c r="E14" s="150">
        <f>'Data Entry'!G6/'Data Entry'!B6</f>
        <v>0</v>
      </c>
      <c r="F14" s="150">
        <f>'Data Entry'!H6/'Data Entry'!B6</f>
        <v>2.7118644067796609E-2</v>
      </c>
      <c r="G14" s="150">
        <f>'Data Entry'!I6/'Data Entry'!B6</f>
        <v>0</v>
      </c>
      <c r="H14" s="150">
        <f>SUM(D14:G14)/'Data Entry'!B6</f>
        <v>1.7822699318164496E-5</v>
      </c>
      <c r="I14" s="150">
        <f>'Data Entry'!C6/'Data Entry'!B6</f>
        <v>0.86537530266343821</v>
      </c>
      <c r="K14" s="96" t="str">
        <f t="shared" si="0"/>
        <v>Population, total N=2065</v>
      </c>
      <c r="L14">
        <f>I14/(SUM(B14:G14))</f>
        <v>6.4280575539568341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Manistee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1787</v>
      </c>
      <c r="D7" s="104">
        <f>'Data Entry'!D6</f>
        <v>46</v>
      </c>
      <c r="E7" s="105"/>
      <c r="F7" s="106">
        <f>'Data Entry'!E6</f>
        <v>156</v>
      </c>
      <c r="G7" s="105"/>
      <c r="H7" s="106">
        <f>'Data Entry'!F6</f>
        <v>20</v>
      </c>
      <c r="I7" s="105"/>
      <c r="J7" s="106">
        <f>'Data Entry'!J6</f>
        <v>278</v>
      </c>
      <c r="K7" s="107"/>
    </row>
    <row r="8" spans="2:30" s="1" customFormat="1" ht="15" customHeight="1">
      <c r="B8" s="121" t="s">
        <v>8</v>
      </c>
      <c r="C8" s="103">
        <f>'Data Entry'!C7</f>
        <v>19</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32</v>
      </c>
      <c r="D9" s="108">
        <f>'Data Entry'!D8</f>
        <v>0</v>
      </c>
      <c r="E9" s="109" t="str">
        <f>'Black or African-American'!$G8</f>
        <v>**</v>
      </c>
      <c r="F9" s="110">
        <f>'Data Entry'!E8</f>
        <v>0</v>
      </c>
      <c r="G9" s="109" t="str">
        <f>Hispanic!G8</f>
        <v>**</v>
      </c>
      <c r="H9" s="110">
        <f>'Data Entry'!F8</f>
        <v>0</v>
      </c>
      <c r="I9" s="109" t="str">
        <f>Asian!G8</f>
        <v>*</v>
      </c>
      <c r="J9" s="110">
        <f>'Data Entry'!J8</f>
        <v>7</v>
      </c>
      <c r="K9" s="111" t="str">
        <f>'All Minorities'!G8</f>
        <v>**</v>
      </c>
      <c r="L9"/>
      <c r="N9" s="1">
        <f>'Black or African-American'!L8</f>
        <v>40</v>
      </c>
      <c r="O9" s="1">
        <f>Hispanic!L8</f>
        <v>40</v>
      </c>
      <c r="P9" s="1">
        <f>Asian!L8</f>
        <v>139</v>
      </c>
      <c r="Q9" s="1">
        <f>Hawaiian!L8</f>
        <v>139</v>
      </c>
      <c r="R9" s="1">
        <f>'Am Indian'!L8</f>
        <v>20</v>
      </c>
      <c r="S9" s="1">
        <f>'Other - Mixed'!L8</f>
        <v>119</v>
      </c>
      <c r="T9" s="1">
        <f>'All Minorities'!L8</f>
        <v>20</v>
      </c>
    </row>
    <row r="10" spans="2:30" s="1" customFormat="1" ht="15" customHeight="1">
      <c r="B10" s="121" t="s">
        <v>10</v>
      </c>
      <c r="C10" s="103">
        <f>'Data Entry'!C9</f>
        <v>9</v>
      </c>
      <c r="D10" s="112">
        <f>'Data Entry'!D9</f>
        <v>0</v>
      </c>
      <c r="E10" s="113" t="str">
        <f>'Black or African-American'!$G9</f>
        <v>--</v>
      </c>
      <c r="F10" s="114">
        <f>'Data Entry'!E9</f>
        <v>0</v>
      </c>
      <c r="G10" s="113" t="str">
        <f>Hispanic!G9</f>
        <v>--</v>
      </c>
      <c r="H10" s="114">
        <f>'Data Entry'!F9</f>
        <v>0</v>
      </c>
      <c r="I10" s="113" t="str">
        <f>Asian!G9</f>
        <v>*</v>
      </c>
      <c r="J10" s="114">
        <f>'Data Entry'!J9</f>
        <v>1</v>
      </c>
      <c r="K10" s="115" t="str">
        <f>'All Minorities'!G9</f>
        <v>**</v>
      </c>
      <c r="L10"/>
      <c r="N10" s="1" t="e">
        <f>'Black or African-American'!L9</f>
        <v>#VALUE!</v>
      </c>
      <c r="O10" s="1" t="e">
        <f>Hispanic!L9</f>
        <v>#VALUE!</v>
      </c>
      <c r="P10" s="1" t="e">
        <f>Asian!L9</f>
        <v>#VALUE!</v>
      </c>
      <c r="Q10" s="1" t="e">
        <f>Hawaiian!L9</f>
        <v>#VALUE!</v>
      </c>
      <c r="R10" s="1">
        <f>'Am Indian'!L9</f>
        <v>40</v>
      </c>
      <c r="S10" s="1">
        <f>'Other - Mixed'!L9</f>
        <v>139</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12</v>
      </c>
      <c r="D12" s="112">
        <f>'Data Entry'!D11</f>
        <v>0</v>
      </c>
      <c r="E12" s="113" t="str">
        <f>'Black or African-American'!$G11</f>
        <v>--</v>
      </c>
      <c r="F12" s="114">
        <f>'Data Entry'!E11</f>
        <v>0</v>
      </c>
      <c r="G12" s="113" t="str">
        <f>Hispanic!G11</f>
        <v>--</v>
      </c>
      <c r="H12" s="114">
        <f>'Data Entry'!F11</f>
        <v>0</v>
      </c>
      <c r="I12" s="113" t="str">
        <f>Asian!G11</f>
        <v>*</v>
      </c>
      <c r="J12" s="114">
        <f>'Data Entry'!J11</f>
        <v>3</v>
      </c>
      <c r="K12" s="115" t="str">
        <f>'All Minorities'!G11</f>
        <v>**</v>
      </c>
      <c r="L12"/>
      <c r="N12" s="1" t="e">
        <f>'Black or African-American'!L11</f>
        <v>#VALUE!</v>
      </c>
      <c r="O12" s="1" t="e">
        <f>Hispanic!L11</f>
        <v>#VALUE!</v>
      </c>
      <c r="P12" s="1" t="e">
        <f>Asian!L11</f>
        <v>#VALUE!</v>
      </c>
      <c r="Q12" s="1" t="e">
        <f>Hawaiian!L11</f>
        <v>#VALUE!</v>
      </c>
      <c r="R12" s="1">
        <f>'Am Indian'!L11</f>
        <v>40</v>
      </c>
      <c r="S12" s="1">
        <f>'Other - Mixed'!L11</f>
        <v>139</v>
      </c>
      <c r="T12" s="1">
        <f>'All Minorities'!L11</f>
        <v>40</v>
      </c>
    </row>
    <row r="13" spans="2:30" s="1" customFormat="1" ht="15" customHeight="1">
      <c r="B13" s="121" t="s">
        <v>13</v>
      </c>
      <c r="C13" s="103">
        <f>'Data Entry'!C12</f>
        <v>8</v>
      </c>
      <c r="D13" s="108">
        <f>'Data Entry'!D12</f>
        <v>0</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t="e">
        <f>'Black or African-American'!L12</f>
        <v>#VALUE!</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32</v>
      </c>
      <c r="D14" s="112">
        <f>'Data Entry'!D13</f>
        <v>0</v>
      </c>
      <c r="E14" s="113" t="str">
        <f>'Black or African-American'!$G13</f>
        <v>--</v>
      </c>
      <c r="F14" s="114">
        <f>'Data Entry'!E13</f>
        <v>0</v>
      </c>
      <c r="G14" s="113" t="str">
        <f>Hispanic!G13</f>
        <v>--</v>
      </c>
      <c r="H14" s="114">
        <f>'Data Entry'!F13</f>
        <v>0</v>
      </c>
      <c r="I14" s="113" t="str">
        <f>Asian!G13</f>
        <v>*</v>
      </c>
      <c r="J14" s="114">
        <f>'Data Entry'!J13</f>
        <v>7</v>
      </c>
      <c r="K14" s="115" t="str">
        <f>'All Minorities'!G13</f>
        <v>**</v>
      </c>
      <c r="L14"/>
      <c r="N14" s="1" t="e">
        <f>'Black or African-American'!L13</f>
        <v>#VALUE!</v>
      </c>
      <c r="O14" s="1" t="e">
        <f>Hispanic!L13</f>
        <v>#VALUE!</v>
      </c>
      <c r="P14" s="1" t="e">
        <f>Asian!L13</f>
        <v>#VALUE!</v>
      </c>
      <c r="Q14" s="1" t="e">
        <f>Hawaiian!L13</f>
        <v>#VALUE!</v>
      </c>
      <c r="R14" s="1" t="e">
        <f>'Am Indian'!L13</f>
        <v>#DIV/0!</v>
      </c>
      <c r="S14" s="1">
        <f>'Other - Mixed'!L13</f>
        <v>139</v>
      </c>
      <c r="T14" s="1">
        <f>'All Minorities'!L13</f>
        <v>40</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1787</v>
      </c>
      <c r="D6" s="34"/>
      <c r="E6" s="33">
        <f>'Data Entry'!D6</f>
        <v>46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10.6323447118075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46</v>
      </c>
      <c r="P7" s="42">
        <f t="shared" ref="P7:P15" si="2">C7</f>
        <v>19</v>
      </c>
      <c r="Q7" s="42">
        <f>C6-C7</f>
        <v>1768</v>
      </c>
      <c r="R7" s="42">
        <f t="shared" ref="R7:R15" si="3">SUM(N7:Q7)</f>
        <v>1833</v>
      </c>
      <c r="S7" s="30">
        <f t="shared" ref="S7:S15" si="4">R7*((((N7*Q7)-(O7*P7))^2))</f>
        <v>1400184708</v>
      </c>
      <c r="T7" s="30">
        <f t="shared" ref="T7:T15" si="5">(N7+O7)*(P7+Q7)*(N7+P7)*(O7+Q7)</f>
        <v>2833174132</v>
      </c>
      <c r="U7" s="31">
        <f t="shared" ref="U7:U15" si="6">IF((S7&gt;0),S7/T7,"- -")</f>
        <v>0.49421060717209742</v>
      </c>
    </row>
    <row r="8" spans="2:21" ht="18" customHeight="1">
      <c r="B8" s="32" t="str">
        <f>'Data Entry'!A8</f>
        <v>3. Refer to Juvenile Court</v>
      </c>
      <c r="C8" s="33">
        <f>'Data Entry'!C8</f>
        <v>32</v>
      </c>
      <c r="D8" s="34">
        <f>IF((AND(C67&gt;0,C8&gt;0)),(C8/C67),0)</f>
        <v>168.42105263157896</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32</v>
      </c>
      <c r="Q8" s="42">
        <f>(C$67*L67)-C8</f>
        <v>-13</v>
      </c>
      <c r="R8" s="42">
        <f t="shared" si="3"/>
        <v>19.049999999999997</v>
      </c>
      <c r="S8" s="30">
        <f t="shared" si="4"/>
        <v>48.768000000000001</v>
      </c>
      <c r="T8" s="30">
        <f t="shared" si="5"/>
        <v>-393.68</v>
      </c>
      <c r="U8" s="31">
        <f t="shared" si="6"/>
        <v>-0.12387726071936599</v>
      </c>
    </row>
    <row r="9" spans="2:21" ht="18" customHeight="1">
      <c r="B9" s="32" t="str">
        <f>'Data Entry'!A9</f>
        <v xml:space="preserve">4. Cases Diverted </v>
      </c>
      <c r="C9" s="33">
        <f>'Data Entry'!C9</f>
        <v>9</v>
      </c>
      <c r="D9" s="34">
        <f>IF((AND(C68&gt;0,C9&gt;0)),((C9/C68)),0)</f>
        <v>28.125</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9</v>
      </c>
      <c r="Q9" s="42">
        <f>(C$68*L68)-C9</f>
        <v>23</v>
      </c>
      <c r="R9" s="42">
        <f t="shared" si="3"/>
        <v>32</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32</v>
      </c>
      <c r="R10" s="42">
        <f t="shared" si="3"/>
        <v>32</v>
      </c>
      <c r="S10" s="30">
        <f t="shared" si="4"/>
        <v>0</v>
      </c>
      <c r="T10" s="30">
        <f t="shared" si="5"/>
        <v>0</v>
      </c>
      <c r="U10" s="31" t="str">
        <f t="shared" si="6"/>
        <v>- -</v>
      </c>
    </row>
    <row r="11" spans="2:21" ht="18" customHeight="1">
      <c r="B11" s="32" t="str">
        <f>'Data Entry'!A11</f>
        <v>6. Cases Petitioned (Charge Filed)</v>
      </c>
      <c r="C11" s="33">
        <f>'Data Entry'!C11</f>
        <v>12</v>
      </c>
      <c r="D11" s="34">
        <f>IF(((AND(C68&gt;0,C11&gt;0))),(C11/(C68)),0)</f>
        <v>37.5</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12</v>
      </c>
      <c r="Q11" s="42">
        <f>(C$68*L68)-C11</f>
        <v>20</v>
      </c>
      <c r="R11" s="42">
        <f t="shared" si="3"/>
        <v>32</v>
      </c>
      <c r="S11" s="30">
        <f t="shared" si="4"/>
        <v>0</v>
      </c>
      <c r="T11" s="30">
        <f t="shared" si="5"/>
        <v>0</v>
      </c>
      <c r="U11" s="31" t="str">
        <f t="shared" si="6"/>
        <v>- -</v>
      </c>
    </row>
    <row r="12" spans="2:21" ht="18" customHeight="1">
      <c r="B12" s="32" t="str">
        <f>'Data Entry'!A12</f>
        <v>7. Cases Resulting in Delinquent Findings</v>
      </c>
      <c r="C12" s="33">
        <f>'Data Entry'!C12</f>
        <v>8</v>
      </c>
      <c r="D12" s="34">
        <f>IF(((AND(C69&gt;0,C12&gt;0))),(C12/(C69)),0)</f>
        <v>66.666666666666671</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8</v>
      </c>
      <c r="Q12" s="42">
        <f>(C69*L69)-C12</f>
        <v>4</v>
      </c>
      <c r="R12" s="42">
        <f t="shared" si="3"/>
        <v>12</v>
      </c>
      <c r="S12" s="30">
        <f t="shared" si="4"/>
        <v>0</v>
      </c>
      <c r="T12" s="30">
        <f t="shared" si="5"/>
        <v>0</v>
      </c>
      <c r="U12" s="31" t="str">
        <f t="shared" si="6"/>
        <v>- -</v>
      </c>
    </row>
    <row r="13" spans="2:21" ht="18" customHeight="1">
      <c r="B13" s="32" t="str">
        <f>'Data Entry'!A13</f>
        <v>8. Cases Resulting in Probation Placement</v>
      </c>
      <c r="C13" s="33">
        <f>'Data Entry'!C13</f>
        <v>32</v>
      </c>
      <c r="D13" s="34">
        <f>IF(((AND(C70&gt;0,C13&gt;0))),(C13/(C70)),0)</f>
        <v>400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32</v>
      </c>
      <c r="Q13" s="42">
        <f>(C70*L70)-C13</f>
        <v>-24</v>
      </c>
      <c r="R13" s="42">
        <f t="shared" si="3"/>
        <v>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7</v>
      </c>
      <c r="R14" s="42">
        <f t="shared" si="3"/>
        <v>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12</v>
      </c>
      <c r="R15" s="42">
        <f t="shared" si="3"/>
        <v>12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1.7869999999999999</v>
      </c>
      <c r="D42" s="56">
        <f>E6/1000</f>
        <v>4.5999999999999999E-2</v>
      </c>
      <c r="E42" s="56">
        <f>MAX(C42:D42)</f>
        <v>1.7869999999999999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1.7869999999999999</v>
      </c>
      <c r="D48" s="56">
        <f>D42</f>
        <v>4.5999999999999999E-2</v>
      </c>
      <c r="E48" s="56">
        <f>MAX(C48:D48)</f>
        <v>1.7869999999999999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1.7869999999999999</v>
      </c>
      <c r="D54" s="56">
        <f>D48</f>
        <v>4.5999999999999999E-2</v>
      </c>
      <c r="E54" s="56">
        <f>MAX(C54:D54)</f>
        <v>1.7869999999999999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1.7869999999999999</v>
      </c>
      <c r="D60" s="56">
        <f>D54</f>
        <v>4.5999999999999999E-2</v>
      </c>
      <c r="E60" s="56">
        <f>MAX(C60:D60)</f>
        <v>1.7869999999999999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1.7869999999999999</v>
      </c>
      <c r="D66" s="56">
        <f>D60</f>
        <v>4.5999999999999999E-2</v>
      </c>
      <c r="E66" s="56">
        <f>MAX(C66:D66)</f>
        <v>1.7869999999999999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1787</v>
      </c>
      <c r="D6" s="34"/>
      <c r="E6" s="33">
        <f>'Data Entry'!F6</f>
        <v>20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10.6323447118075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20</v>
      </c>
      <c r="P7" s="42">
        <f t="shared" ref="P7:P15" si="4">C7</f>
        <v>19</v>
      </c>
      <c r="Q7" s="42">
        <f>C6-C7</f>
        <v>1768</v>
      </c>
      <c r="R7" s="42">
        <f t="shared" ref="R7:R15" si="5">SUM(N7:Q7)</f>
        <v>1807</v>
      </c>
      <c r="S7" s="30">
        <f t="shared" ref="S7:S15" si="6">R7*((((N7*Q7)-(O7*P7))^2))</f>
        <v>260930800</v>
      </c>
      <c r="T7" s="30">
        <f t="shared" ref="T7:T15" si="7">(N7+O7)*(P7+Q7)*(N7+P7)*(O7+Q7)</f>
        <v>1214159280</v>
      </c>
      <c r="U7" s="31">
        <f t="shared" ref="U7:U15" si="8">IF((S7&gt;0),S7/T7,"- -")</f>
        <v>0.21490656481248491</v>
      </c>
    </row>
    <row r="8" spans="2:21" ht="18" customHeight="1">
      <c r="B8" s="32" t="str">
        <f>'Data Entry'!A8</f>
        <v>3. Refer to Juvenile Court</v>
      </c>
      <c r="C8" s="33">
        <f>'Data Entry'!C8</f>
        <v>32</v>
      </c>
      <c r="D8" s="34">
        <f>IF((AND(C67&gt;0,C8&gt;0)),(C8/C67),0)</f>
        <v>168.42105263157896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32</v>
      </c>
      <c r="Q8" s="42">
        <f>(C$67*L67)-C8</f>
        <v>-13</v>
      </c>
      <c r="R8" s="42">
        <f t="shared" si="5"/>
        <v>19.049999999999997</v>
      </c>
      <c r="S8" s="30">
        <f t="shared" si="6"/>
        <v>48.768000000000001</v>
      </c>
      <c r="T8" s="30">
        <f t="shared" si="7"/>
        <v>-393.68</v>
      </c>
      <c r="U8" s="31">
        <f t="shared" si="8"/>
        <v>-0.12387726071936599</v>
      </c>
    </row>
    <row r="9" spans="2:21" ht="18" customHeight="1">
      <c r="B9" s="32" t="str">
        <f>'Data Entry'!A9</f>
        <v xml:space="preserve">4. Cases Diverted </v>
      </c>
      <c r="C9" s="33">
        <f>'Data Entry'!C9</f>
        <v>9</v>
      </c>
      <c r="D9" s="34">
        <f>IF((AND(C68&gt;0,C9&gt;0)),((C9/C68)),0)</f>
        <v>28.125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23</v>
      </c>
      <c r="R9" s="42">
        <f t="shared" si="5"/>
        <v>32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32</v>
      </c>
      <c r="R10" s="42">
        <f t="shared" si="5"/>
        <v>32</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37.5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20</v>
      </c>
      <c r="R11" s="42">
        <f t="shared" si="5"/>
        <v>32</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66.666666666666671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4</v>
      </c>
      <c r="R12" s="42">
        <f t="shared" si="5"/>
        <v>12</v>
      </c>
      <c r="S12" s="30">
        <f t="shared" si="6"/>
        <v>0</v>
      </c>
      <c r="T12" s="30">
        <f t="shared" si="7"/>
        <v>0</v>
      </c>
      <c r="U12" s="31" t="str">
        <f t="shared" si="8"/>
        <v>- -</v>
      </c>
    </row>
    <row r="13" spans="2:21" ht="18" customHeight="1">
      <c r="B13" s="32" t="str">
        <f>'Data Entry'!A13</f>
        <v>8. Cases Resulting in Probation Placement</v>
      </c>
      <c r="C13" s="33">
        <f>'Data Entry'!C13</f>
        <v>32</v>
      </c>
      <c r="D13" s="34">
        <f>IF(((AND(C70&gt;0,C13&gt;0))),(C13/(C70)),0)</f>
        <v>400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32</v>
      </c>
      <c r="Q13" s="42">
        <f>(C70*L70)-C13</f>
        <v>-24</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7</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1.7869999999999999</v>
      </c>
      <c r="D42" s="56">
        <f>E6/1000</f>
        <v>0.02</v>
      </c>
      <c r="E42" s="56">
        <f>MAX(C42:D42)</f>
        <v>1.7869999999999999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1.7869999999999999</v>
      </c>
      <c r="D48" s="56">
        <f>D42</f>
        <v>0.02</v>
      </c>
      <c r="E48" s="56">
        <f>MAX(C48:D48)</f>
        <v>1.7869999999999999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1.7869999999999999</v>
      </c>
      <c r="D54" s="56">
        <f>D48</f>
        <v>0.02</v>
      </c>
      <c r="E54" s="56">
        <f>MAX(C54:D54)</f>
        <v>1.7869999999999999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1.7869999999999999</v>
      </c>
      <c r="D60" s="56">
        <f>D54</f>
        <v>0.02</v>
      </c>
      <c r="E60" s="56">
        <f>MAX(C60:D60)</f>
        <v>1.7869999999999999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1.7869999999999999</v>
      </c>
      <c r="D66" s="56">
        <f>D60</f>
        <v>0.02</v>
      </c>
      <c r="E66" s="56">
        <f>MAX(C66:D66)</f>
        <v>1.7869999999999999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1787</v>
      </c>
      <c r="D6" s="34"/>
      <c r="E6" s="33">
        <f>'Data Entry'!E6</f>
        <v>156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10.6323447118075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156</v>
      </c>
      <c r="P7" s="42">
        <f t="shared" ref="P7:P15" si="4">C7</f>
        <v>19</v>
      </c>
      <c r="Q7" s="42">
        <f>C6-C7</f>
        <v>1768</v>
      </c>
      <c r="R7" s="42">
        <f t="shared" ref="R7:R15" si="5">SUM(N7:Q7)</f>
        <v>1943</v>
      </c>
      <c r="S7" s="30">
        <f t="shared" ref="S7:S15" si="6">R7*((((N7*Q7)-(O7*P7))^2))</f>
        <v>17069830128</v>
      </c>
      <c r="T7" s="30">
        <f t="shared" ref="T7:T15" si="7">(N7+O7)*(P7+Q7)*(N7+P7)*(O7+Q7)</f>
        <v>10190789232</v>
      </c>
      <c r="U7" s="31">
        <f t="shared" ref="U7:U15" si="8">IF((S7&gt;0),S7/T7,"- -")</f>
        <v>1.675025333111511</v>
      </c>
    </row>
    <row r="8" spans="2:21" ht="18" customHeight="1">
      <c r="B8" s="32" t="str">
        <f>'Data Entry'!A8</f>
        <v>3. Refer to Juvenile Court</v>
      </c>
      <c r="C8" s="33">
        <f>'Data Entry'!C8</f>
        <v>32</v>
      </c>
      <c r="D8" s="34">
        <f>IF((AND(C67&gt;0,C8&gt;0)),(C8/C67),0)</f>
        <v>168.42105263157896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32</v>
      </c>
      <c r="Q8" s="42">
        <f>(C$67*L67)-C8</f>
        <v>-13</v>
      </c>
      <c r="R8" s="42">
        <f t="shared" si="5"/>
        <v>19.049999999999997</v>
      </c>
      <c r="S8" s="30">
        <f t="shared" si="6"/>
        <v>48.768000000000001</v>
      </c>
      <c r="T8" s="30">
        <f t="shared" si="7"/>
        <v>-393.68</v>
      </c>
      <c r="U8" s="31">
        <f t="shared" si="8"/>
        <v>-0.12387726071936599</v>
      </c>
    </row>
    <row r="9" spans="2:21" ht="18" customHeight="1">
      <c r="B9" s="32" t="str">
        <f>'Data Entry'!A9</f>
        <v xml:space="preserve">4. Cases Diverted </v>
      </c>
      <c r="C9" s="33">
        <f>'Data Entry'!C9</f>
        <v>9</v>
      </c>
      <c r="D9" s="34">
        <f>IF((AND(C68&gt;0,C9&gt;0)),((C9/C68)),0)</f>
        <v>28.125</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23</v>
      </c>
      <c r="R9" s="42">
        <f t="shared" si="5"/>
        <v>32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32</v>
      </c>
      <c r="R10" s="42">
        <f t="shared" si="5"/>
        <v>32</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37.5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20</v>
      </c>
      <c r="R11" s="42">
        <f t="shared" si="5"/>
        <v>32</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66.666666666666671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4</v>
      </c>
      <c r="R12" s="42">
        <f t="shared" si="5"/>
        <v>12</v>
      </c>
      <c r="S12" s="30">
        <f t="shared" si="6"/>
        <v>0</v>
      </c>
      <c r="T12" s="30">
        <f t="shared" si="7"/>
        <v>0</v>
      </c>
      <c r="U12" s="31" t="str">
        <f t="shared" si="8"/>
        <v>- -</v>
      </c>
    </row>
    <row r="13" spans="2:21" ht="18" customHeight="1">
      <c r="B13" s="32" t="str">
        <f>'Data Entry'!A13</f>
        <v>8. Cases Resulting in Probation Placement</v>
      </c>
      <c r="C13" s="33">
        <f>'Data Entry'!C13</f>
        <v>32</v>
      </c>
      <c r="D13" s="34">
        <f>IF(((AND(C70&gt;0,C13&gt;0))),(C13/(C70)),0)</f>
        <v>400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32</v>
      </c>
      <c r="Q13" s="42">
        <f>(C70*L70)-C13</f>
        <v>-24</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7</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1.7869999999999999</v>
      </c>
      <c r="D42" s="56">
        <f>E6/1000</f>
        <v>0.156</v>
      </c>
      <c r="E42" s="56">
        <f>MAX(C42:D42)</f>
        <v>1.7869999999999999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1.7869999999999999</v>
      </c>
      <c r="D48" s="56">
        <f>D42</f>
        <v>0.156</v>
      </c>
      <c r="E48" s="56">
        <f>MAX(C48:D48)</f>
        <v>1.7869999999999999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1.7869999999999999</v>
      </c>
      <c r="D54" s="56">
        <f>D48</f>
        <v>0.156</v>
      </c>
      <c r="E54" s="56">
        <f>MAX(C54:D54)</f>
        <v>1.7869999999999999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1.7869999999999999</v>
      </c>
      <c r="D60" s="56">
        <f>D54</f>
        <v>0.156</v>
      </c>
      <c r="E60" s="56">
        <f>MAX(C60:D60)</f>
        <v>1.7869999999999999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1.7869999999999999</v>
      </c>
      <c r="D66" s="56">
        <f>D60</f>
        <v>0.156</v>
      </c>
      <c r="E66" s="56">
        <f>MAX(C66:D66)</f>
        <v>1.7869999999999999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1787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10.6323447118075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19</v>
      </c>
      <c r="Q7" s="42">
        <f>C6-C7</f>
        <v>1768</v>
      </c>
      <c r="R7" s="42">
        <f t="shared" ref="R7:R15" si="5">SUM(N7:Q7)</f>
        <v>1787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32</v>
      </c>
      <c r="D8" s="34">
        <f>IF((AND(C67&gt;0,C8&gt;0)),(C8/C67),0)</f>
        <v>168.42105263157896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32</v>
      </c>
      <c r="Q8" s="42">
        <f>(C$67*L67)-C8</f>
        <v>-13</v>
      </c>
      <c r="R8" s="42">
        <f t="shared" si="5"/>
        <v>19.049999999999997</v>
      </c>
      <c r="S8" s="30">
        <f t="shared" si="6"/>
        <v>48.768000000000001</v>
      </c>
      <c r="T8" s="30">
        <f t="shared" si="7"/>
        <v>-393.68</v>
      </c>
      <c r="U8" s="31">
        <f t="shared" si="8"/>
        <v>-0.12387726071936599</v>
      </c>
    </row>
    <row r="9" spans="2:21" ht="18" customHeight="1">
      <c r="B9" s="32" t="str">
        <f>'Data Entry'!A9</f>
        <v xml:space="preserve">4. Cases Diverted </v>
      </c>
      <c r="C9" s="33">
        <f>'Data Entry'!C9</f>
        <v>9</v>
      </c>
      <c r="D9" s="34">
        <f>IF((AND(C68&gt;0,C9&gt;0)),((C9/C68)),0)</f>
        <v>28.125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23</v>
      </c>
      <c r="R9" s="42">
        <f t="shared" si="5"/>
        <v>32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32</v>
      </c>
      <c r="R10" s="42">
        <f t="shared" si="5"/>
        <v>32</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37.5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20</v>
      </c>
      <c r="R11" s="42">
        <f t="shared" si="5"/>
        <v>32</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66.666666666666671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4</v>
      </c>
      <c r="R12" s="42">
        <f t="shared" si="5"/>
        <v>12</v>
      </c>
      <c r="S12" s="30">
        <f t="shared" si="6"/>
        <v>0</v>
      </c>
      <c r="T12" s="30">
        <f t="shared" si="7"/>
        <v>0</v>
      </c>
      <c r="U12" s="31" t="str">
        <f t="shared" si="8"/>
        <v>- -</v>
      </c>
    </row>
    <row r="13" spans="2:21" ht="18" customHeight="1">
      <c r="B13" s="32" t="str">
        <f>'Data Entry'!A13</f>
        <v>8. Cases Resulting in Probation Placement</v>
      </c>
      <c r="C13" s="33">
        <f>'Data Entry'!C13</f>
        <v>32</v>
      </c>
      <c r="D13" s="34">
        <f>IF(((AND(C70&gt;0,C13&gt;0))),(C13/(C70)),0)</f>
        <v>400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32</v>
      </c>
      <c r="Q13" s="42">
        <f>(C70*L70)-C13</f>
        <v>-24</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7</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1.7869999999999999</v>
      </c>
      <c r="D42" s="56">
        <f>E6/1000</f>
        <v>0</v>
      </c>
      <c r="E42" s="56">
        <f>MAX(C42:D42)</f>
        <v>1.7869999999999999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1.7869999999999999</v>
      </c>
      <c r="D48" s="56">
        <f>D42</f>
        <v>0</v>
      </c>
      <c r="E48" s="56">
        <f>MAX(C48:D48)</f>
        <v>1.7869999999999999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1.7869999999999999</v>
      </c>
      <c r="D54" s="56">
        <f>D48</f>
        <v>0</v>
      </c>
      <c r="E54" s="56">
        <f>MAX(C54:D54)</f>
        <v>1.7869999999999999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1.7869999999999999</v>
      </c>
      <c r="D60" s="56">
        <f>D54</f>
        <v>0</v>
      </c>
      <c r="E60" s="56">
        <f>MAX(C60:D60)</f>
        <v>1.7869999999999999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1.7869999999999999</v>
      </c>
      <c r="D66" s="56">
        <f>D60</f>
        <v>0</v>
      </c>
      <c r="E66" s="56">
        <f>MAX(C66:D66)</f>
        <v>1.7869999999999999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1787</v>
      </c>
      <c r="D6" s="34"/>
      <c r="E6" s="33">
        <f>'Data Entry'!H6</f>
        <v>56</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10.6323447118075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56</v>
      </c>
      <c r="P7" s="42">
        <f t="shared" ref="P7:P15" si="4">C7</f>
        <v>19</v>
      </c>
      <c r="Q7" s="42">
        <f>C6-C7</f>
        <v>1768</v>
      </c>
      <c r="R7" s="42">
        <f t="shared" ref="R7:R15" si="5">SUM(N7:Q7)</f>
        <v>1843</v>
      </c>
      <c r="S7" s="30">
        <f t="shared" ref="S7:S15" si="6">R7*((((N7*Q7)-(O7*P7))^2))</f>
        <v>2086452928</v>
      </c>
      <c r="T7" s="30">
        <f t="shared" ref="T7:T15" si="7">(N7+O7)*(P7+Q7)*(N7+P7)*(O7+Q7)</f>
        <v>3468095232</v>
      </c>
      <c r="U7" s="31">
        <f t="shared" ref="U7:U15" si="8">IF((S7&gt;0),S7/T7,"- -")</f>
        <v>0.60161350494310761</v>
      </c>
    </row>
    <row r="8" spans="2:21" ht="18" customHeight="1">
      <c r="B8" s="32" t="str">
        <f>'Data Entry'!A8</f>
        <v>3. Refer to Juvenile Court</v>
      </c>
      <c r="C8" s="33">
        <f>'Data Entry'!C8</f>
        <v>32</v>
      </c>
      <c r="D8" s="34">
        <f>IF((AND(C67&gt;0,C8&gt;0)),(C8/C67),0)</f>
        <v>168.42105263157896</v>
      </c>
      <c r="E8" s="33">
        <f>'Data Entry'!H8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32</v>
      </c>
      <c r="Q8" s="42">
        <f>(C$67*L67)-C8</f>
        <v>-13</v>
      </c>
      <c r="R8" s="42">
        <f t="shared" si="5"/>
        <v>19.049999999999997</v>
      </c>
      <c r="S8" s="30">
        <f t="shared" si="6"/>
        <v>5767.5779999999977</v>
      </c>
      <c r="T8" s="30">
        <f t="shared" si="7"/>
        <v>-437.33250000000032</v>
      </c>
      <c r="U8" s="31">
        <f t="shared" si="8"/>
        <v>-13.188084580953836</v>
      </c>
    </row>
    <row r="9" spans="2:21" ht="18" customHeight="1">
      <c r="B9" s="32" t="str">
        <f>'Data Entry'!A9</f>
        <v xml:space="preserve">4. Cases Diverted </v>
      </c>
      <c r="C9" s="33">
        <f>'Data Entry'!C9</f>
        <v>9</v>
      </c>
      <c r="D9" s="34">
        <f>IF((AND(C68&gt;0,C9&gt;0)),((C9/C68)),0)</f>
        <v>28.125</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9</v>
      </c>
      <c r="Q9" s="42">
        <f>(C$68*L68)-C9</f>
        <v>23</v>
      </c>
      <c r="R9" s="42">
        <f t="shared" si="5"/>
        <v>33</v>
      </c>
      <c r="S9" s="30">
        <f t="shared" si="6"/>
        <v>2673</v>
      </c>
      <c r="T9" s="30">
        <f t="shared" si="7"/>
        <v>6912</v>
      </c>
      <c r="U9" s="31">
        <f t="shared" si="8"/>
        <v>0.38671875</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32</v>
      </c>
      <c r="R10" s="42">
        <f t="shared" si="5"/>
        <v>33</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37.5</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12</v>
      </c>
      <c r="Q11" s="42">
        <f>(C$68*L68)-C11</f>
        <v>20</v>
      </c>
      <c r="R11" s="42">
        <f t="shared" si="5"/>
        <v>33</v>
      </c>
      <c r="S11" s="30">
        <f t="shared" si="6"/>
        <v>4752</v>
      </c>
      <c r="T11" s="30">
        <f t="shared" si="7"/>
        <v>8064</v>
      </c>
      <c r="U11" s="31">
        <f t="shared" si="8"/>
        <v>0.5892857142857143</v>
      </c>
    </row>
    <row r="12" spans="2:21" ht="18" customHeight="1">
      <c r="B12" s="32" t="str">
        <f>'Data Entry'!A12</f>
        <v>7. Cases Resulting in Delinquent Findings</v>
      </c>
      <c r="C12" s="33">
        <f>'Data Entry'!C12</f>
        <v>8</v>
      </c>
      <c r="D12" s="34">
        <f>IF(((AND(C69&gt;0,C12&gt;0))),(C12/(C69)),0)</f>
        <v>66.666666666666671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4</v>
      </c>
      <c r="R12" s="42">
        <f t="shared" si="5"/>
        <v>12</v>
      </c>
      <c r="S12" s="30">
        <f t="shared" si="6"/>
        <v>0</v>
      </c>
      <c r="T12" s="30">
        <f t="shared" si="7"/>
        <v>0</v>
      </c>
      <c r="U12" s="31" t="str">
        <f t="shared" si="8"/>
        <v>- -</v>
      </c>
    </row>
    <row r="13" spans="2:21" ht="18" customHeight="1">
      <c r="B13" s="32" t="str">
        <f>'Data Entry'!A13</f>
        <v>8. Cases Resulting in Probation Placement</v>
      </c>
      <c r="C13" s="33">
        <f>'Data Entry'!C13</f>
        <v>32</v>
      </c>
      <c r="D13" s="34">
        <f>IF(((AND(C70&gt;0,C13&gt;0))),(C13/(C70)),0)</f>
        <v>400</v>
      </c>
      <c r="E13" s="33">
        <f>'Data Entry'!H13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32</v>
      </c>
      <c r="Q13" s="42">
        <f>(C70*L70)-C13</f>
        <v>-24</v>
      </c>
      <c r="R13" s="42">
        <f t="shared" si="5"/>
        <v>8</v>
      </c>
      <c r="S13" s="30">
        <f t="shared" si="6"/>
        <v>512</v>
      </c>
      <c r="T13" s="30">
        <f t="shared" si="7"/>
        <v>0</v>
      </c>
      <c r="U13" s="31" t="e">
        <f t="shared" si="8"/>
        <v>#DIV/0!</v>
      </c>
    </row>
    <row r="14" spans="2:21" ht="30.75" customHeight="1">
      <c r="B14" s="32" t="str">
        <f>'Data Entry'!A14</f>
        <v xml:space="preserve">9. Cases Resulting in Confinement in Secure Juvenile Correctional Facilities </v>
      </c>
      <c r="C14" s="33">
        <f>'Data Entry'!C14</f>
        <v>1</v>
      </c>
      <c r="D14" s="34">
        <f>IF(((AND(C70&gt;0,C14&gt;0))), ((C14/(C70))),0)</f>
        <v>12.5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7</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1.7869999999999999</v>
      </c>
      <c r="D42" s="56">
        <f>E6/1000</f>
        <v>5.6000000000000001E-2</v>
      </c>
      <c r="E42" s="56">
        <f>MAX(C42:D42)</f>
        <v>1.7869999999999999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0.32</v>
      </c>
      <c r="D44" s="56">
        <f>E8/100</f>
        <v>0.01</v>
      </c>
      <c r="E44" s="56">
        <f>MAX(C44:D44,0)</f>
        <v>0.32</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1.7869999999999999</v>
      </c>
      <c r="D48" s="56">
        <f>D42</f>
        <v>5.6000000000000001E-2</v>
      </c>
      <c r="E48" s="56">
        <f>MAX(C48:D48)</f>
        <v>1.7869999999999999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0.01</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1.7869999999999999</v>
      </c>
      <c r="D54" s="56">
        <f>D48</f>
        <v>5.6000000000000001E-2</v>
      </c>
      <c r="E54" s="56">
        <f>MAX(C54:D54)</f>
        <v>1.7869999999999999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0.32</v>
      </c>
      <c r="D56" s="49">
        <f t="shared" si="10"/>
        <v>0.01</v>
      </c>
      <c r="E56" s="49">
        <f>MAX(C56:D56)</f>
        <v>0.32</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1.7869999999999999</v>
      </c>
      <c r="D60" s="56">
        <f>D54</f>
        <v>5.6000000000000001E-2</v>
      </c>
      <c r="E60" s="56">
        <f>MAX(C60:D60)</f>
        <v>1.7869999999999999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0.32</v>
      </c>
      <c r="D62" s="49">
        <f t="shared" si="11"/>
        <v>0.01</v>
      </c>
      <c r="E62" s="49">
        <f>MAX(C62:D62)</f>
        <v>0.32</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1.7869999999999999</v>
      </c>
      <c r="D66" s="56">
        <f>D60</f>
        <v>5.6000000000000001E-2</v>
      </c>
      <c r="E66" s="56">
        <f>MAX(C66:D66)</f>
        <v>1.7869999999999999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0.32</v>
      </c>
      <c r="D68" s="49">
        <f t="shared" si="12"/>
        <v>0.01</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U47JMPN4QEAR-1806752177-35369</_dlc_DocId>
    <_dlc_DocIdUrl xmlns="ac3811b5-0f3e-49e2-ba69-f2ffa0c782af">
      <Url>https://michiganphi.sharepoint.com/sites/CMDMC/_layouts/15/DocIdRedir.aspx?ID=U47JMPN4QEAR-1806752177-35369</Url>
      <Description>U47JMPN4QEAR-1806752177-35369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3D2A8DF-A6B7-4DD3-B63C-385E27051FF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70B01A81-B422-40F2-97A2-9B4BA0FA4588}">
  <ds:schemaRefs>
    <ds:schemaRef ds:uri="http://schemas.microsoft.com/sharepoint/v3/contenttype/forms"/>
  </ds:schemaRefs>
</ds:datastoreItem>
</file>

<file path=customXml/itemProps3.xml><?xml version="1.0" encoding="utf-8"?>
<ds:datastoreItem xmlns:ds="http://schemas.openxmlformats.org/officeDocument/2006/customXml" ds:itemID="{CACB70E1-364D-4E2E-A095-7D9F2FEC69A4}"/>
</file>

<file path=customXml/itemProps4.xml><?xml version="1.0" encoding="utf-8"?>
<ds:datastoreItem xmlns:ds="http://schemas.openxmlformats.org/officeDocument/2006/customXml" ds:itemID="{6DA19BD0-5D57-47E8-89DD-27AF924BA2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6af9257a-dd6a-465e-9912-0d48b9b94b8c</vt:lpwstr>
  </property>
</Properties>
</file>