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3" documentId="8_{A3337DAB-B9FA-4B02-BC68-037288D38701}" xr6:coauthVersionLast="47" xr6:coauthVersionMax="47" xr10:uidLastSave="{AADD9A8D-F40D-4015-A0CF-2EEF3AD21E58}"/>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5"/>
  <c r="M66" i="5"/>
  <c r="F27" i="4"/>
  <c r="M66" i="4"/>
  <c r="F27" i="8"/>
  <c r="M66"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D64" i="8" s="1"/>
  <c r="D64" i="5"/>
  <c r="E64" i="5" s="1"/>
  <c r="L64" i="3"/>
  <c r="B56" i="8"/>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L64" i="8"/>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L69" i="7"/>
  <c r="D63" i="8"/>
  <c r="D70" i="6"/>
  <c r="F13" i="6" s="1"/>
  <c r="C69" i="7"/>
  <c r="D12" i="7" s="1"/>
  <c r="C63" i="8"/>
  <c r="E63" i="3"/>
  <c r="C69" i="3" s="1"/>
  <c r="D15" i="3" s="1"/>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F33" i="3"/>
  <c r="E69" i="7"/>
  <c r="O13" i="6"/>
  <c r="D15" i="7"/>
  <c r="B69" i="6"/>
  <c r="M69" i="6" s="1"/>
  <c r="Q15" i="7"/>
  <c r="O14" i="6"/>
  <c r="F14" i="6"/>
  <c r="E70" i="6"/>
  <c r="E63" i="8"/>
  <c r="D69" i="8" s="1"/>
  <c r="F15" i="8" s="1"/>
  <c r="L69" i="3"/>
  <c r="Q12" i="3" s="1"/>
  <c r="D13" i="6"/>
  <c r="Q13" i="8"/>
  <c r="F14" i="3"/>
  <c r="O13" i="3"/>
  <c r="D13" i="3"/>
  <c r="D12" i="3"/>
  <c r="D69" i="3"/>
  <c r="E69" i="3" s="1"/>
  <c r="Q12" i="7"/>
  <c r="E70" i="3"/>
  <c r="B69" i="3"/>
  <c r="M69" i="3" s="1"/>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9" i="4" l="1"/>
  <c r="J9" i="4" s="1"/>
  <c r="M9" i="4" s="1"/>
  <c r="G9" i="4" s="1"/>
  <c r="G10" i="16" s="1"/>
  <c r="Q15" i="3"/>
  <c r="U14" i="4"/>
  <c r="J14" i="4" s="1"/>
  <c r="U10" i="4"/>
  <c r="J10" i="4" s="1"/>
  <c r="M10" i="4" s="1"/>
  <c r="G10" i="4" s="1"/>
  <c r="G11" i="16" s="1"/>
  <c r="F12" i="8"/>
  <c r="T13" i="6"/>
  <c r="F32" i="3"/>
  <c r="F32" i="6"/>
  <c r="U13" i="4"/>
  <c r="J13" i="4" s="1"/>
  <c r="M13" i="4" s="1"/>
  <c r="G13" i="4" s="1"/>
  <c r="G14" i="16" s="1"/>
  <c r="F35" i="6"/>
  <c r="R14" i="3"/>
  <c r="S14" i="3" s="1"/>
  <c r="U14" i="3" s="1"/>
  <c r="J14" i="3" s="1"/>
  <c r="M14" i="3" s="1"/>
  <c r="G14" i="3" s="1"/>
  <c r="I15" i="16" s="1"/>
  <c r="B69" i="8"/>
  <c r="M69" i="8" s="1"/>
  <c r="K14" i="6"/>
  <c r="F15" i="3"/>
  <c r="O12" i="3"/>
  <c r="R12" i="3" s="1"/>
  <c r="S12" i="3" s="1"/>
  <c r="U12" i="3" s="1"/>
  <c r="J12" i="3" s="1"/>
  <c r="T15" i="7"/>
  <c r="F35" i="3"/>
  <c r="R13" i="8"/>
  <c r="S13" i="8" s="1"/>
  <c r="C69" i="8"/>
  <c r="D15" i="8" s="1"/>
  <c r="L69" i="8"/>
  <c r="O15" i="8" s="1"/>
  <c r="R14" i="6"/>
  <c r="S14" i="6" s="1"/>
  <c r="U14" i="6" s="1"/>
  <c r="J14" i="6" s="1"/>
  <c r="M14" i="6" s="1"/>
  <c r="G14" i="6" s="1"/>
  <c r="M15" i="13" s="1"/>
  <c r="O15" i="3"/>
  <c r="K15" i="3" s="1"/>
  <c r="D15" i="6"/>
  <c r="F12" i="3"/>
  <c r="R12" i="7"/>
  <c r="S12" i="7" s="1"/>
  <c r="U12" i="7" s="1"/>
  <c r="J12" i="7" s="1"/>
  <c r="M12" i="7" s="1"/>
  <c r="T12" i="7"/>
  <c r="K13" i="3"/>
  <c r="K12" i="7"/>
  <c r="T14" i="6"/>
  <c r="K13" i="6"/>
  <c r="R13" i="6"/>
  <c r="S13" i="6" s="1"/>
  <c r="R14" i="8"/>
  <c r="S14" i="8" s="1"/>
  <c r="O12" i="6"/>
  <c r="R15" i="7"/>
  <c r="S15" i="7" s="1"/>
  <c r="U15" i="7" s="1"/>
  <c r="J15" i="7" s="1"/>
  <c r="T13" i="8"/>
  <c r="E69" i="6"/>
  <c r="T13" i="3"/>
  <c r="K14" i="3"/>
  <c r="T14" i="3"/>
  <c r="K15" i="7"/>
  <c r="R13" i="3"/>
  <c r="S13" i="3" s="1"/>
  <c r="U13" i="3" s="1"/>
  <c r="J13" i="3" s="1"/>
  <c r="M13" i="3" s="1"/>
  <c r="G13" i="3" s="1"/>
  <c r="O15" i="6"/>
  <c r="Q12" i="6"/>
  <c r="Q15" i="6"/>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L9" i="4"/>
  <c r="O10" i="16" s="1"/>
  <c r="R13" i="7"/>
  <c r="S13" i="7" s="1"/>
  <c r="Q13" i="2"/>
  <c r="U9" i="3"/>
  <c r="J9" i="3" s="1"/>
  <c r="L9" i="3" s="1"/>
  <c r="T15" i="3"/>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N30" i="3" l="1"/>
  <c r="U13" i="7"/>
  <c r="J13" i="7" s="1"/>
  <c r="M13" i="7" s="1"/>
  <c r="U13" i="6"/>
  <c r="J13" i="6" s="1"/>
  <c r="M13" i="6" s="1"/>
  <c r="G13" i="6" s="1"/>
  <c r="G13" i="9" s="1"/>
  <c r="I15" i="13"/>
  <c r="E14" i="9"/>
  <c r="D12" i="8"/>
  <c r="D10" i="9"/>
  <c r="L10" i="4"/>
  <c r="O11" i="16" s="1"/>
  <c r="G11" i="13"/>
  <c r="L13" i="4"/>
  <c r="O14" i="16" s="1"/>
  <c r="R15" i="3"/>
  <c r="S15" i="3" s="1"/>
  <c r="U15" i="3" s="1"/>
  <c r="J15" i="3" s="1"/>
  <c r="M15" i="3" s="1"/>
  <c r="G15" i="3" s="1"/>
  <c r="I16" i="16" s="1"/>
  <c r="E69" i="8"/>
  <c r="F32" i="8"/>
  <c r="F35" i="8"/>
  <c r="L14" i="3"/>
  <c r="P15" i="16" s="1"/>
  <c r="K12" i="3"/>
  <c r="L12" i="3" s="1"/>
  <c r="P13" i="16" s="1"/>
  <c r="T12" i="3"/>
  <c r="U13" i="8"/>
  <c r="J13" i="8" s="1"/>
  <c r="M13" i="8" s="1"/>
  <c r="G13" i="8" s="1"/>
  <c r="K14" i="16" s="1"/>
  <c r="L12" i="7"/>
  <c r="S13" i="16" s="1"/>
  <c r="Q15" i="8"/>
  <c r="R15" i="8" s="1"/>
  <c r="S15" i="8" s="1"/>
  <c r="U15" i="8" s="1"/>
  <c r="J15" i="8" s="1"/>
  <c r="Q12" i="8"/>
  <c r="U14" i="8"/>
  <c r="J14" i="8" s="1"/>
  <c r="N30" i="8" s="1"/>
  <c r="O12" i="8"/>
  <c r="K15" i="6"/>
  <c r="L15" i="7"/>
  <c r="S16" i="16" s="1"/>
  <c r="T12" i="6"/>
  <c r="L13" i="6"/>
  <c r="R14" i="16" s="1"/>
  <c r="L13" i="3"/>
  <c r="P14" i="16" s="1"/>
  <c r="K12" i="6"/>
  <c r="R12" i="6"/>
  <c r="S12" i="6" s="1"/>
  <c r="M15" i="7"/>
  <c r="R15" i="6"/>
  <c r="S15" i="6" s="1"/>
  <c r="U15" i="6" s="1"/>
  <c r="J15" i="6" s="1"/>
  <c r="T15" i="6"/>
  <c r="U12" i="13"/>
  <c r="M11" i="9"/>
  <c r="T13" i="2"/>
  <c r="U8" i="6"/>
  <c r="J8" i="6" s="1"/>
  <c r="M8" i="6" s="1"/>
  <c r="G8" i="6" s="1"/>
  <c r="M9" i="13" s="1"/>
  <c r="R13" i="2"/>
  <c r="S13" i="2" s="1"/>
  <c r="V11" i="13"/>
  <c r="G14" i="9"/>
  <c r="R10" i="7"/>
  <c r="S10" i="7" s="1"/>
  <c r="U10" i="7" s="1"/>
  <c r="J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E15" i="9" l="1"/>
  <c r="M14" i="13"/>
  <c r="Y16" i="13"/>
  <c r="Y13" i="13"/>
  <c r="I16" i="13"/>
  <c r="L15" i="3"/>
  <c r="P16" i="16" s="1"/>
  <c r="Q12" i="9"/>
  <c r="M13" i="9"/>
  <c r="U11" i="7"/>
  <c r="J11" i="7" s="1"/>
  <c r="L11" i="7" s="1"/>
  <c r="S12" i="16" s="1"/>
  <c r="U14" i="13"/>
  <c r="U11" i="13"/>
  <c r="K15" i="8"/>
  <c r="L15" i="8" s="1"/>
  <c r="T16" i="16" s="1"/>
  <c r="T15" i="8"/>
  <c r="V15" i="13"/>
  <c r="N14" i="9"/>
  <c r="Q15" i="9"/>
  <c r="U12" i="6"/>
  <c r="J12" i="6" s="1"/>
  <c r="M12" i="6" s="1"/>
  <c r="G12" i="6" s="1"/>
  <c r="L13" i="8"/>
  <c r="T14" i="16" s="1"/>
  <c r="L15" i="6"/>
  <c r="R16" i="16" s="1"/>
  <c r="M14" i="8"/>
  <c r="G14" i="8" s="1"/>
  <c r="K15" i="16" s="1"/>
  <c r="T12" i="8"/>
  <c r="K12" i="8"/>
  <c r="L14" i="8"/>
  <c r="T15" i="16" s="1"/>
  <c r="R12" i="8"/>
  <c r="S12" i="8" s="1"/>
  <c r="X14" i="13"/>
  <c r="P13" i="9"/>
  <c r="I13" i="9"/>
  <c r="Q14" i="13"/>
  <c r="U14" i="2"/>
  <c r="J14" i="2" s="1"/>
  <c r="M14" i="2" s="1"/>
  <c r="G14" i="2" s="1"/>
  <c r="E15" i="16" s="1"/>
  <c r="U13" i="2"/>
  <c r="J13" i="2" s="1"/>
  <c r="M13" i="2" s="1"/>
  <c r="G13" i="2" s="1"/>
  <c r="E14" i="16" s="1"/>
  <c r="V14" i="13"/>
  <c r="N13" i="9"/>
  <c r="M15" i="6"/>
  <c r="G15" i="6" s="1"/>
  <c r="G15" i="9" s="1"/>
  <c r="L8" i="6"/>
  <c r="R9" i="16" s="1"/>
  <c r="L10" i="7"/>
  <c r="S11" i="16" s="1"/>
  <c r="L15" i="5"/>
  <c r="Q16" i="16" s="1"/>
  <c r="T9" i="13"/>
  <c r="L8" i="9"/>
  <c r="X15" i="13"/>
  <c r="P14" i="9"/>
  <c r="G8" i="9"/>
  <c r="Q14" i="9"/>
  <c r="Y15" i="13"/>
  <c r="Y14" i="13"/>
  <c r="E9" i="13"/>
  <c r="Q13" i="9"/>
  <c r="L10" i="2"/>
  <c r="N11" i="16" s="1"/>
  <c r="M10" i="7"/>
  <c r="L11" i="6"/>
  <c r="R12" i="16" s="1"/>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6" i="13" l="1"/>
  <c r="M11" i="7"/>
  <c r="N15" i="9"/>
  <c r="V16" i="13"/>
  <c r="Z14" i="13"/>
  <c r="R13" i="9"/>
  <c r="Q15" i="13"/>
  <c r="G12" i="9"/>
  <c r="M13" i="13"/>
  <c r="L12" i="6"/>
  <c r="U12" i="8"/>
  <c r="J12" i="8" s="1"/>
  <c r="L12" i="8" s="1"/>
  <c r="I14" i="9"/>
  <c r="P15" i="9"/>
  <c r="M16" i="13"/>
  <c r="R14" i="9"/>
  <c r="Z15" i="13"/>
  <c r="E15" i="13"/>
  <c r="L13" i="2"/>
  <c r="N14" i="16" s="1"/>
  <c r="E14" i="13"/>
  <c r="C14" i="9"/>
  <c r="L14" i="2"/>
  <c r="N15" i="16" s="1"/>
  <c r="N30" i="2"/>
  <c r="C13"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M12" i="8" l="1"/>
  <c r="G12" i="8" s="1"/>
  <c r="K13" i="16" s="1"/>
  <c r="T13" i="16"/>
  <c r="R12" i="9"/>
  <c r="Z13" i="13"/>
  <c r="R13" i="16"/>
  <c r="X13" i="13"/>
  <c r="P12" i="9"/>
  <c r="T14" i="13"/>
  <c r="L13" i="9"/>
  <c r="L14" i="9"/>
  <c r="T15" i="13"/>
  <c r="R9" i="9"/>
  <c r="Z10" i="13"/>
  <c r="R10" i="9"/>
  <c r="Z11" i="13"/>
  <c r="I11" i="9"/>
  <c r="Q12" i="13"/>
  <c r="I10" i="9"/>
  <c r="Q11" i="13"/>
  <c r="R11" i="9"/>
  <c r="Z12" i="13"/>
  <c r="I12" i="9" l="1"/>
  <c r="Q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<sst xmlns="http://schemas.openxmlformats.org/spreadsheetml/2006/main" count="654" uniqueCount="141">
  <si>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</si>
  <si>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</si>
  <si>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</si>
  <si>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</si>
  <si>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</si>
  <si>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</si>
  <si>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</si>
  <si>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</si>
  <si>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</si>
  <si>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</si>
  <si>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</si>
  <si>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</si>
  <si>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</si>
  <si>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</si>
  <si>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</si>
  <si>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</si>
  <si>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</si>
  <si>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</si>
  <si>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</si>
  <si>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</si>
  <si>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</si>
  <si>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</si>
  <si>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</si>
  <si>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</si>
  <si>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</si>
  <si>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</si>
  <si>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</si>
  <si>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</si>
  <si>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</si>
  <si>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</si>
  <si>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</si>
  <si>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</si>
  <si>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</si>
  <si>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</si>
  <si>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</si>
  <si>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</si>
  <si>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</si>
  <si>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</si>
  <si>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</si>
  <si>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</si>
  <si>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</si>
  <si>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</si>
  <si>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</si>
  <si>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</si>
  <si>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</si>
  <si>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</si>
  <si>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</si>
  <si>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</si>
  <si>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</si>
  <si>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</si>
  <si>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</si>
  <si>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</si>
  <si>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</si>
  <si>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</si>
  <si>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</si>
  <si>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</si>
  <si>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</si>
  <si>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</si>
  <si>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</si>
  <si>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</si>
  <si>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</si>
  <si>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</si>
  <si>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</si>
  <si>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</si>
  <si>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</si>
  <si>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</si>
  <si>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</si>
  <si>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</si>
  <si>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</si>
  <si>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</si>
  <si>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</si>
  <si>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</si>
  <si>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</si>
  <si>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</si>
  <si>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</si>
  <si>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</si>
  <si>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</si>
  <si>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</si>
  <si>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</si>
  <si>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</si>
  <si>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</si>
  <si>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</si>
  <si>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</si>
  <si>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</si>
  <si>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</si>
  <si>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</si>
  <si>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</si>
  <si>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</si>
  <si>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</si>
  <si>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</si>
  <si>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</si>
  <si>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</si>
  <si>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</si>
  <si>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</si>
  <si>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</si>
  <si>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</si>
  <si>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</si>
  <si>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</si>
  <si>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</si>
  <si>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</si>
  <si>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</si>
  <si>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</si>
  <si>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</si>
  <si>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</si>
  <si>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</si>
  <si>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</si>
  <si>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</si>
  <si>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</si>
  <si>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</si>
  <si>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</si>
  <si>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</si>
  <si>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</si>
  <si>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</si>
  <si>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</si>
  <si>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</si>
  <si>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</si>
  <si>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</si>
  <si>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</si>
  <si>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</si>
  <si>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</si>
  <si>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</si>
  <si>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</si>
  <si>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</si>
  <si>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</si>
  <si>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</si>
  <si>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</si>
  <si>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</si>
  <si>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</si>
  <si>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</si>
  <si>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</si>
  <si>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</si>
  <si>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</si>
  <si>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</si>
  <si>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</si>
  <si>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</si>
  <si>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</si>
  <si>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Manistee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</si>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</sst>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Manistee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N=12</c:v>
                </c:pt>
                <c:pt idx="3">
                  <c:v>Petitions, total N=21</c:v>
                </c:pt>
                <c:pt idx="4">
                  <c:v>Detentions, total N=1</c:v>
                </c:pt>
                <c:pt idx="5">
                  <c:v>Referrals, total N=50</c:v>
                </c:pt>
                <c:pt idx="6">
                  <c:v>Arrests, total N=22</c:v>
                </c:pt>
                <c:pt idx="7">
                  <c:v>Population, total N=2121</c:v>
                </c:pt>
              </c:strCache>
            </c:strRef>
          </c:cat>
          <c:val>
            <c:numRef>
              <c:f>'Stacked 100%'!$B$7:$B$14</c:f>
              <c:numCache>
                <c:formatCode>0%</c:formatCode>
                <c:ptCount val="8"/>
                <c:pt idx="0">
                  <c:v>0</c:v>
                </c:pt>
                <c:pt idx="1">
                  <c:v>0</c:v>
                </c:pt>
                <c:pt idx="2">
                  <c:v>0</c:v>
                </c:pt>
                <c:pt idx="3">
                  <c:v>0</c:v>
                </c:pt>
                <c:pt idx="4">
                  <c:v>0</c:v>
                </c:pt>
                <c:pt idx="5">
                  <c:v>0.02</c:v>
                </c:pt>
                <c:pt idx="6">
                  <c:v>4.5454545454545456E-2</c:v>
                </c:pt>
                <c:pt idx="7">
                  <c:v>2.2630834512022632E-2</c:v>
                </c:pt>
              </c:numCache>
            </c:numRef>
          </c:val>
          <c:extLst>
            <c:ext xmlns:c16="http://schemas.microsoft.com/office/drawing/2014/chart" uri="{C3380CC4-5D6E-409C-BE32-E72D297353CC}">
              <c16:uniqueId val="{00000000-56EF-4501-8794-15F9E8DB392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N=12</c:v>
                </c:pt>
                <c:pt idx="3">
                  <c:v>Petitions, total N=21</c:v>
                </c:pt>
                <c:pt idx="4">
                  <c:v>Detentions, total N=1</c:v>
                </c:pt>
                <c:pt idx="5">
                  <c:v>Referrals, total N=50</c:v>
                </c:pt>
                <c:pt idx="6">
                  <c:v>Arrests, total N=22</c:v>
                </c:pt>
                <c:pt idx="7">
                  <c:v>Population, total N=2121</c:v>
                </c:pt>
              </c:strCache>
            </c:strRef>
          </c:cat>
          <c:val>
            <c:numRef>
              <c:f>'Stacked 100%'!$C$7:$C$14</c:f>
              <c:numCache>
                <c:formatCode>0%</c:formatCode>
                <c:ptCount val="8"/>
                <c:pt idx="0">
                  <c:v>0</c:v>
                </c:pt>
                <c:pt idx="1">
                  <c:v>0</c:v>
                </c:pt>
                <c:pt idx="2">
                  <c:v>0</c:v>
                </c:pt>
                <c:pt idx="3">
                  <c:v>9.5238095238095233E-2</c:v>
                </c:pt>
                <c:pt idx="4">
                  <c:v>0</c:v>
                </c:pt>
                <c:pt idx="5">
                  <c:v>0.04</c:v>
                </c:pt>
                <c:pt idx="6">
                  <c:v>0</c:v>
                </c:pt>
                <c:pt idx="7">
                  <c:v>8.0622347949080617E-2</c:v>
                </c:pt>
              </c:numCache>
            </c:numRef>
          </c:val>
          <c:extLst>
            <c:ext xmlns:c16="http://schemas.microsoft.com/office/drawing/2014/chart" uri="{C3380CC4-5D6E-409C-BE32-E72D297353CC}">
              <c16:uniqueId val="{00000001-56EF-4501-8794-15F9E8DB392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N=12</c:v>
                </c:pt>
                <c:pt idx="3">
                  <c:v>Petitions, total N=21</c:v>
                </c:pt>
                <c:pt idx="4">
                  <c:v>Detentions, total N=1</c:v>
                </c:pt>
                <c:pt idx="5">
                  <c:v>Referrals, total N=50</c:v>
                </c:pt>
                <c:pt idx="6">
                  <c:v>Arrests, total N=22</c:v>
                </c:pt>
                <c:pt idx="7">
                  <c:v>Population, total N=2121</c:v>
                </c:pt>
              </c:strCache>
            </c:strRef>
          </c:cat>
          <c:val>
            <c:numRef>
              <c:f>'Stacked 100%'!$H$7:$H$14</c:f>
              <c:numCache>
                <c:formatCode>0%</c:formatCode>
                <c:ptCount val="8"/>
                <c:pt idx="0">
                  <c:v>0</c:v>
                </c:pt>
                <c:pt idx="1">
                  <c:v>0</c:v>
                </c:pt>
                <c:pt idx="2">
                  <c:v>0</c:v>
                </c:pt>
                <c:pt idx="3">
                  <c:v>0</c:v>
                </c:pt>
                <c:pt idx="4">
                  <c:v>0</c:v>
                </c:pt>
                <c:pt idx="5">
                  <c:v>0</c:v>
                </c:pt>
                <c:pt idx="6">
                  <c:v>0</c:v>
                </c:pt>
                <c:pt idx="7">
                  <c:v>1.889459505659598E-5</c:v>
                </c:pt>
              </c:numCache>
            </c:numRef>
          </c:val>
          <c:extLst>
            <c:ext xmlns:c16="http://schemas.microsoft.com/office/drawing/2014/chart" uri="{C3380CC4-5D6E-409C-BE32-E72D297353CC}">
              <c16:uniqueId val="{00000002-56EF-4501-8794-15F9E8DB392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N=12</c:v>
                </c:pt>
                <c:pt idx="3">
                  <c:v>Petitions, total N=21</c:v>
                </c:pt>
                <c:pt idx="4">
                  <c:v>Detentions, total N=1</c:v>
                </c:pt>
                <c:pt idx="5">
                  <c:v>Referrals, total N=50</c:v>
                </c:pt>
                <c:pt idx="6">
                  <c:v>Arrests, total N=22</c:v>
                </c:pt>
                <c:pt idx="7">
                  <c:v>Population, total N=2121</c:v>
                </c:pt>
              </c:strCache>
            </c:strRef>
          </c:cat>
          <c:val>
            <c:numRef>
              <c:f>'Stacked 100%'!$I$7:$I$14</c:f>
              <c:numCache>
                <c:formatCode>0%</c:formatCode>
                <c:ptCount val="8"/>
                <c:pt idx="0">
                  <c:v>0</c:v>
                </c:pt>
                <c:pt idx="1">
                  <c:v>0</c:v>
                </c:pt>
                <c:pt idx="2">
                  <c:v>1</c:v>
                </c:pt>
                <c:pt idx="3">
                  <c:v>0.90476190476190477</c:v>
                </c:pt>
                <c:pt idx="4">
                  <c:v>1</c:v>
                </c:pt>
                <c:pt idx="5">
                  <c:v>0.94</c:v>
                </c:pt>
                <c:pt idx="6">
                  <c:v>0.77272727272727271</c:v>
                </c:pt>
                <c:pt idx="7">
                  <c:v>0.85667138142385668</c:v>
                </c:pt>
              </c:numCache>
            </c:numRef>
          </c:val>
          <c:extLst>
            <c:ext xmlns:c16="http://schemas.microsoft.com/office/drawing/2014/chart" uri="{C3380CC4-5D6E-409C-BE32-E72D297353CC}">
              <c16:uniqueId val="{00000003-56EF-4501-8794-15F9E8DB392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N=12</c:v>
                </c:pt>
                <c:pt idx="3">
                  <c:v>Petitions, total N=21</c:v>
                </c:pt>
                <c:pt idx="4">
                  <c:v>Detentions, total N=1</c:v>
                </c:pt>
                <c:pt idx="5">
                  <c:v>Referrals, total N=50</c:v>
                </c:pt>
                <c:pt idx="6">
                  <c:v>Arrests, total N=22</c:v>
                </c:pt>
                <c:pt idx="7">
                  <c:v>Population, total N=2121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56EF-4501-8794-15F9E8DB392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4" sqref="E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2121</v>
      </c>
      <c r="C6" s="11">
        <v>1817</v>
      </c>
      <c r="D6" s="11">
        <v>48</v>
      </c>
      <c r="E6" s="11">
        <v>171</v>
      </c>
      <c r="F6" s="11">
        <v>19</v>
      </c>
      <c r="G6" s="11"/>
      <c r="H6" s="11">
        <v>66</v>
      </c>
      <c r="I6" s="11"/>
      <c r="J6" s="91">
        <f>SUM(D6:I6)</f>
        <v>304</v>
      </c>
      <c r="K6" s="92"/>
    </row>
    <row r="7" spans="1:11" ht="15.75" customHeight="1" thickBot="1">
      <c r="A7" s="10" t="s">
        <v>8</v>
      </c>
      <c r="B7" s="11">
        <f t="shared" ref="B7:B15" si="0">SUM(C7:I7)+K7</f>
        <v>22</v>
      </c>
      <c r="C7" s="11">
        <v>17</v>
      </c>
      <c r="D7" s="11">
        <v>1</v>
      </c>
      <c r="E7" s="11"/>
      <c r="F7" s="11"/>
      <c r="G7" s="11"/>
      <c r="H7" s="11"/>
      <c r="I7" s="11"/>
      <c r="J7" s="91">
        <f t="shared" ref="J7:J15" si="1">SUM(D7:I7)</f>
        <v>1</v>
      </c>
      <c r="K7" s="92">
        <v>4</v>
      </c>
    </row>
    <row r="8" spans="1:11" ht="15.75" customHeight="1" thickBot="1">
      <c r="A8" s="10" t="s">
        <v>9</v>
      </c>
      <c r="B8" s="11">
        <f t="shared" si="0"/>
        <v>50</v>
      </c>
      <c r="C8" s="11">
        <v>47</v>
      </c>
      <c r="D8" s="11">
        <v>1</v>
      </c>
      <c r="E8" s="11">
        <v>2</v>
      </c>
      <c r="F8" s="11"/>
      <c r="G8" s="11"/>
      <c r="H8" s="11"/>
      <c r="I8" s="11"/>
      <c r="J8" s="91">
        <f t="shared" si="1"/>
        <v>3</v>
      </c>
      <c r="K8" s="92"/>
    </row>
    <row r="9" spans="1:11" ht="15.75" customHeight="1" thickBot="1">
      <c r="A9" s="10" t="s">
        <v>10</v>
      </c>
      <c r="B9" s="11">
        <f t="shared" si="0"/>
        <v>1</v>
      </c>
      <c r="C9" s="11">
        <v>1</v>
      </c>
      <c r="D9" s="11"/>
      <c r="E9" s="11"/>
      <c r="F9" s="11"/>
      <c r="G9" s="11"/>
      <c r="H9" s="11"/>
      <c r="I9" s="11"/>
      <c r="J9" s="91">
        <f t="shared" si="1"/>
        <v>0</v>
      </c>
      <c r="K9" s="92"/>
    </row>
    <row r="10" spans="1:11" ht="15.75" customHeight="1" thickBot="1">
      <c r="A10" s="10" t="s">
        <v>11</v>
      </c>
      <c r="B10" s="11">
        <f t="shared" si="0"/>
        <v>1</v>
      </c>
      <c r="C10" s="11">
        <v>1</v>
      </c>
      <c r="D10" s="11"/>
      <c r="E10" s="11"/>
      <c r="F10" s="11"/>
      <c r="G10" s="11"/>
      <c r="H10" s="11"/>
      <c r="I10" s="11"/>
      <c r="J10" s="91">
        <f t="shared" si="1"/>
        <v>0</v>
      </c>
      <c r="K10" s="92"/>
    </row>
    <row r="11" spans="1:11" ht="15.75" customHeight="1" thickBot="1">
      <c r="A11" s="10" t="s">
        <v>12</v>
      </c>
      <c r="B11" s="11">
        <f t="shared" si="0"/>
        <v>21</v>
      </c>
      <c r="C11" s="11">
        <v>19</v>
      </c>
      <c r="D11" s="11"/>
      <c r="E11" s="11">
        <v>2</v>
      </c>
      <c r="F11" s="11"/>
      <c r="G11" s="11"/>
      <c r="H11" s="11"/>
      <c r="I11" s="11"/>
      <c r="J11" s="91">
        <f t="shared" si="1"/>
        <v>2</v>
      </c>
      <c r="K11" s="92"/>
    </row>
    <row r="12" spans="1:11" ht="15.75" customHeight="1" thickBot="1">
      <c r="A12" s="10" t="s">
        <v>13</v>
      </c>
      <c r="B12" s="11">
        <f t="shared" si="0"/>
        <v>12</v>
      </c>
      <c r="C12" s="11">
        <v>12</v>
      </c>
      <c r="D12" s="11"/>
      <c r="E12" s="11"/>
      <c r="F12" s="11"/>
      <c r="G12" s="11"/>
      <c r="H12" s="11"/>
      <c r="I12" s="11"/>
      <c r="J12" s="91">
        <f t="shared" si="1"/>
        <v>0</v>
      </c>
      <c r="K12" s="92"/>
    </row>
    <row r="13" spans="1:11" ht="15.75" customHeight="1" thickBot="1">
      <c r="A13" s="10" t="s">
        <v>133</v>
      </c>
      <c r="B13" s="11">
        <f t="shared" si="0"/>
        <v>21</v>
      </c>
      <c r="C13" s="11">
        <v>19</v>
      </c>
      <c r="D13" s="11"/>
      <c r="E13" s="11">
        <v>2</v>
      </c>
      <c r="F13" s="11"/>
      <c r="G13" s="11"/>
      <c r="H13" s="11"/>
      <c r="I13" s="11"/>
      <c r="J13" s="91">
        <f t="shared" si="1"/>
        <v>2</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9.3560814529444141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1800</v>
      </c>
      <c r="R7" s="42">
        <f t="shared" ref="R7:R15" si="5">SUM(N7:Q7)</f>
        <v>1817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47</v>
      </c>
      <c r="D8" s="34">
        <f>IF((AND(C67&gt;0,C8&gt;0)),(C8/C67),0)</f>
        <v>276.47058823529409</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47</v>
      </c>
      <c r="Q8" s="42">
        <f>(C$67*L67)-C8</f>
        <v>-30</v>
      </c>
      <c r="R8" s="42">
        <f t="shared" si="5"/>
        <v>17.049999999999997</v>
      </c>
      <c r="S8" s="30">
        <f t="shared" si="6"/>
        <v>94.158625000000001</v>
      </c>
      <c r="T8" s="30">
        <f t="shared" si="7"/>
        <v>-1196.5025000000001</v>
      </c>
      <c r="U8" s="31">
        <f t="shared" si="8"/>
        <v>-7.8694883629578702E-2</v>
      </c>
    </row>
    <row r="9" spans="2:21" ht="18" customHeight="1">
      <c r="B9" s="32" t="str">
        <f>'Data Entry'!A9</f>
        <v xml:space="preserve">4. Cases Diverted </v>
      </c>
      <c r="C9" s="33">
        <f>'Data Entry'!C9</f>
        <v>1</v>
      </c>
      <c r="D9" s="34">
        <f>IF((AND(C68&gt;0,C9&gt;0)),((C9/C68)),0)</f>
        <v>2.1276595744680851</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46</v>
      </c>
      <c r="R9" s="42">
        <f t="shared" si="5"/>
        <v>47</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2.1276595744680851</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46</v>
      </c>
      <c r="R10" s="42">
        <f t="shared" si="5"/>
        <v>47</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40.425531914893618</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28</v>
      </c>
      <c r="R11" s="42">
        <f t="shared" si="5"/>
        <v>47</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63.157894736842103</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7</v>
      </c>
      <c r="R12" s="42">
        <f t="shared" si="5"/>
        <v>19</v>
      </c>
      <c r="S12" s="30">
        <f t="shared" si="6"/>
        <v>0</v>
      </c>
      <c r="T12" s="30">
        <f t="shared" si="7"/>
        <v>0</v>
      </c>
      <c r="U12" s="31" t="str">
        <f t="shared" si="8"/>
        <v>- -</v>
      </c>
    </row>
    <row r="13" spans="2:21" ht="18" customHeight="1">
      <c r="B13" s="32" t="str">
        <f>'Data Entry'!A13</f>
        <v>8. Cases Resulting in Probation Placement</v>
      </c>
      <c r="C13" s="33">
        <f>'Data Entry'!C13</f>
        <v>19</v>
      </c>
      <c r="D13" s="34">
        <f>IF(((AND(C70&gt;0,C13&gt;0))),(C13/(C70)),0)</f>
        <v>158.33333333333334</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19</v>
      </c>
      <c r="Q13" s="42">
        <f>(C70*L70)-C13</f>
        <v>-7</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1.8169999999999999</v>
      </c>
      <c r="D42" s="56">
        <f>E6/1000</f>
        <v>0</v>
      </c>
      <c r="E42" s="56">
        <f>MAX(C42:D42)</f>
        <v>1.8169999999999999</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0.47</v>
      </c>
      <c r="D44" s="56">
        <f>E8/100</f>
        <v>0</v>
      </c>
      <c r="E44" s="56">
        <f>MAX(C44:D44,0)</f>
        <v>0.47</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1.8169999999999999</v>
      </c>
      <c r="D48" s="56">
        <f>D42</f>
        <v>0</v>
      </c>
      <c r="E48" s="56">
        <f>MAX(C48:D48)</f>
        <v>1.8169999999999999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1.8169999999999999</v>
      </c>
      <c r="D54" s="56">
        <f>D48</f>
        <v>0</v>
      </c>
      <c r="E54" s="56">
        <f>MAX(C54:D54)</f>
        <v>1.8169999999999999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0.47</v>
      </c>
      <c r="D56" s="49">
        <f t="shared" si="10"/>
        <v>0</v>
      </c>
      <c r="E56" s="49">
        <f>MAX(C56:D56)</f>
        <v>0.47</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1.8169999999999999</v>
      </c>
      <c r="D60" s="56">
        <f>D54</f>
        <v>0</v>
      </c>
      <c r="E60" s="56">
        <f>MAX(C60:D60)</f>
        <v>1.8169999999999999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0.47</v>
      </c>
      <c r="D62" s="49">
        <f t="shared" si="11"/>
        <v>0</v>
      </c>
      <c r="E62" s="49">
        <f>MAX(C62:D62)</f>
        <v>0.47</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1.8169999999999999</v>
      </c>
      <c r="D66" s="56">
        <f>D60</f>
        <v>0</v>
      </c>
      <c r="E66" s="56">
        <f>MAX(C66:D66)</f>
        <v>1.8169999999999999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0.47</v>
      </c>
      <c r="D68" s="49">
        <f t="shared" si="12"/>
        <v>0</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v>
      </c>
      <c r="D6" s="34"/>
      <c r="E6" s="33">
        <f>'Data Entry'!J6</f>
        <v>304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9.3560814529444141</v>
      </c>
      <c r="E7" s="33">
        <f>'Data Entry'!J7</f>
        <v>1</v>
      </c>
      <c r="F7" s="34">
        <f>IF((AND($E$7&gt;0,$D$66&gt;0)),($E$7/$D$66),0)</f>
        <v>3.2894736842105265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303</v>
      </c>
      <c r="P7" s="42">
        <f t="shared" ref="P7:P15" si="4">C7</f>
        <v>17</v>
      </c>
      <c r="Q7" s="42">
        <f>C6-C7</f>
        <v>1800</v>
      </c>
      <c r="R7" s="42">
        <f t="shared" ref="R7:R15" si="5">SUM(N7:Q7)</f>
        <v>2121</v>
      </c>
      <c r="S7" s="30">
        <f t="shared" ref="S7:S15" si="6">R7*((((N7*Q7)-(O7*P7))^2))</f>
        <v>23817135321</v>
      </c>
      <c r="T7" s="30">
        <f t="shared" ref="T7:T15" si="7">(N7+O7)*(P7+Q7)*(N7+P7)*(O7+Q7)</f>
        <v>20909338272</v>
      </c>
      <c r="U7" s="31">
        <f t="shared" ref="U7:U15" si="8">IF((S7&gt;0),S7/T7,"- -")</f>
        <v>1.1390669093002275</v>
      </c>
    </row>
    <row r="8" spans="2:21" ht="18" customHeight="1">
      <c r="B8" s="32" t="str">
        <f>'Data Entry'!A8</f>
        <v>3. Refer to Juvenile Court</v>
      </c>
      <c r="C8" s="33">
        <f>'Data Entry'!C8</f>
        <v>47</v>
      </c>
      <c r="D8" s="34">
        <f>IF((AND(C67&gt;0,C8&gt;0)),(C8/C67),0)</f>
        <v>276.47058823529409</v>
      </c>
      <c r="E8" s="33">
        <f>'Data Entry'!J8</f>
        <v>3</v>
      </c>
      <c r="F8" s="34">
        <f>IF((AND($E$8&gt;0,$D$67&gt;0)),($E8/$D67),0)</f>
        <v>300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-1.95</v>
      </c>
      <c r="P8" s="42">
        <f t="shared" si="4"/>
        <v>47</v>
      </c>
      <c r="Q8" s="42">
        <f>(C$67*L67)-C8</f>
        <v>-30</v>
      </c>
      <c r="R8" s="42">
        <f t="shared" si="5"/>
        <v>18.049999999999997</v>
      </c>
      <c r="S8" s="30">
        <f t="shared" si="6"/>
        <v>49.141124999999484</v>
      </c>
      <c r="T8" s="30">
        <f t="shared" si="7"/>
        <v>-28515.375000000004</v>
      </c>
      <c r="U8" s="31">
        <f t="shared" si="8"/>
        <v>-1.7233203140410911E-3</v>
      </c>
    </row>
    <row r="9" spans="2:21" ht="18" customHeight="1">
      <c r="B9" s="32" t="str">
        <f>'Data Entry'!A9</f>
        <v xml:space="preserve">4. Cases Diverted </v>
      </c>
      <c r="C9" s="33">
        <f>'Data Entry'!C9</f>
        <v>1</v>
      </c>
      <c r="D9" s="34">
        <f>IF((AND(C68&gt;0,C9&gt;0)),((C9/C68)),0)</f>
        <v>2.1276595744680851</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3</v>
      </c>
      <c r="P9" s="42">
        <f t="shared" si="4"/>
        <v>1</v>
      </c>
      <c r="Q9" s="42">
        <f>(C$68*L68)-C9</f>
        <v>46</v>
      </c>
      <c r="R9" s="42">
        <f t="shared" si="5"/>
        <v>50</v>
      </c>
      <c r="S9" s="30">
        <f t="shared" si="6"/>
        <v>450</v>
      </c>
      <c r="T9" s="30">
        <f t="shared" si="7"/>
        <v>6909</v>
      </c>
      <c r="U9" s="31">
        <f t="shared" si="8"/>
        <v>6.5132435953104639E-2</v>
      </c>
    </row>
    <row r="10" spans="2:21" ht="18" customHeight="1">
      <c r="B10" s="32" t="str">
        <f>'Data Entry'!A10</f>
        <v>5. Cases Involving Secure Detention</v>
      </c>
      <c r="C10" s="33">
        <f>'Data Entry'!C10</f>
        <v>1</v>
      </c>
      <c r="D10" s="34">
        <f>IF(((AND(C68&gt;0,C10&gt;0))),(C10/(C68)),0)</f>
        <v>2.1276595744680851</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1</v>
      </c>
      <c r="Q10" s="42">
        <f>(C$68*L68)-C10</f>
        <v>46</v>
      </c>
      <c r="R10" s="42">
        <f t="shared" si="5"/>
        <v>50</v>
      </c>
      <c r="S10" s="30">
        <f t="shared" si="6"/>
        <v>450</v>
      </c>
      <c r="T10" s="30">
        <f t="shared" si="7"/>
        <v>6909</v>
      </c>
      <c r="U10" s="31">
        <f t="shared" si="8"/>
        <v>6.5132435953104639E-2</v>
      </c>
    </row>
    <row r="11" spans="2:21" ht="18" customHeight="1">
      <c r="B11" s="32" t="str">
        <f>'Data Entry'!A11</f>
        <v>6. Cases Petitioned (Charge Filed)</v>
      </c>
      <c r="C11" s="33">
        <f>'Data Entry'!C11</f>
        <v>19</v>
      </c>
      <c r="D11" s="34">
        <f>IF(((AND(C68&gt;0,C11&gt;0))),(C11/(C68)),0)</f>
        <v>40.425531914893618</v>
      </c>
      <c r="E11" s="33">
        <f>'Data Entry'!J11</f>
        <v>2</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v>
      </c>
      <c r="P11" s="42">
        <f t="shared" si="4"/>
        <v>19</v>
      </c>
      <c r="Q11" s="42">
        <f>(C$68*L68)-C11</f>
        <v>28</v>
      </c>
      <c r="R11" s="42">
        <f t="shared" si="5"/>
        <v>50</v>
      </c>
      <c r="S11" s="30">
        <f t="shared" si="6"/>
        <v>68450</v>
      </c>
      <c r="T11" s="30">
        <f t="shared" si="7"/>
        <v>85869</v>
      </c>
      <c r="U11" s="31">
        <f t="shared" si="8"/>
        <v>0.79714448753333567</v>
      </c>
    </row>
    <row r="12" spans="2:21" ht="18" customHeight="1">
      <c r="B12" s="32" t="str">
        <f>'Data Entry'!A12</f>
        <v>7. Cases Resulting in Delinquent Findings</v>
      </c>
      <c r="C12" s="33">
        <f>'Data Entry'!C12</f>
        <v>12</v>
      </c>
      <c r="D12" s="34">
        <f>IF(((AND(C69&gt;0,C12&gt;0))),(C12/(C69)),0)</f>
        <v>63.157894736842103</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2</v>
      </c>
      <c r="P12" s="42">
        <f t="shared" si="4"/>
        <v>12</v>
      </c>
      <c r="Q12" s="42">
        <f>(C69*L69)-C12</f>
        <v>7</v>
      </c>
      <c r="R12" s="42">
        <f t="shared" si="5"/>
        <v>21</v>
      </c>
      <c r="S12" s="30">
        <f t="shared" si="6"/>
        <v>12096</v>
      </c>
      <c r="T12" s="30">
        <f t="shared" si="7"/>
        <v>4104</v>
      </c>
      <c r="U12" s="31">
        <f t="shared" si="8"/>
        <v>2.9473684210526314</v>
      </c>
    </row>
    <row r="13" spans="2:21" ht="18" customHeight="1">
      <c r="B13" s="32" t="str">
        <f>'Data Entry'!A13</f>
        <v>8. Cases Resulting in Probation Placement</v>
      </c>
      <c r="C13" s="33">
        <f>'Data Entry'!C13</f>
        <v>19</v>
      </c>
      <c r="D13" s="34">
        <f>IF(((AND(C70&gt;0,C13&gt;0))),(C13/(C70)),0)</f>
        <v>158.33333333333334</v>
      </c>
      <c r="E13" s="33">
        <f>'Data Entry'!J13</f>
        <v>2</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2</v>
      </c>
      <c r="O13" s="42">
        <f>(D70*L70)-E13</f>
        <v>-2</v>
      </c>
      <c r="P13" s="42">
        <f t="shared" si="4"/>
        <v>19</v>
      </c>
      <c r="Q13" s="42">
        <f>(C70*L70)-C13</f>
        <v>-7</v>
      </c>
      <c r="R13" s="42">
        <f t="shared" si="5"/>
        <v>12</v>
      </c>
      <c r="S13" s="30">
        <f t="shared" si="6"/>
        <v>6912</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19</v>
      </c>
      <c r="R15" s="42">
        <f t="shared" si="5"/>
        <v>21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1.8169999999999999</v>
      </c>
      <c r="D42" s="56">
        <f>E6/1000</f>
        <v>0.30399999999999999</v>
      </c>
      <c r="E42" s="56">
        <f>MAX(C42:D42)</f>
        <v>1.8169999999999999</v>
      </c>
      <c r="G42" s="1" t="str">
        <f>B42</f>
        <v>per 1000 youth</v>
      </c>
      <c r="L42" s="57">
        <v>1000</v>
      </c>
      <c r="M42" s="57"/>
      <c r="R42" s="49"/>
    </row>
    <row r="43" spans="2:18" ht="15" hidden="1" customHeight="1">
      <c r="B43" s="49" t="s">
        <v>87</v>
      </c>
      <c r="C43" s="56">
        <f>C7/100</f>
        <v>0.17</v>
      </c>
      <c r="D43" s="56">
        <f>E7/100</f>
        <v>0.01</v>
      </c>
      <c r="E43" s="56">
        <f>MAX(C43:D43,0)</f>
        <v>0.17</v>
      </c>
      <c r="G43" s="1" t="str">
        <f>B43</f>
        <v>per 100 arrests</v>
      </c>
      <c r="L43" s="57">
        <v>100</v>
      </c>
      <c r="M43" s="57"/>
      <c r="R43" s="49"/>
    </row>
    <row r="44" spans="2:18" ht="15" hidden="1" customHeight="1">
      <c r="B44" s="49" t="s">
        <v>88</v>
      </c>
      <c r="C44" s="56">
        <f>C8/100</f>
        <v>0.47</v>
      </c>
      <c r="D44" s="56">
        <f>E8/100</f>
        <v>0.03</v>
      </c>
      <c r="E44" s="56">
        <f>MAX(C44:D44,0)</f>
        <v>0.47</v>
      </c>
      <c r="G44" s="1" t="str">
        <f>B44</f>
        <v>per 100 referrals</v>
      </c>
      <c r="L44" s="57">
        <v>100</v>
      </c>
      <c r="M44" s="57"/>
      <c r="R44" s="49"/>
    </row>
    <row r="45" spans="2:18" ht="15" hidden="1" customHeight="1">
      <c r="B45" s="49" t="s">
        <v>89</v>
      </c>
      <c r="C45" s="49">
        <f>C11/100</f>
        <v>0.19</v>
      </c>
      <c r="D45" s="49">
        <f>E11/100</f>
        <v>0.02</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1.8169999999999999</v>
      </c>
      <c r="D48" s="56">
        <f>D42</f>
        <v>0.30399999999999999</v>
      </c>
      <c r="E48" s="56">
        <f>MAX(C48:D48)</f>
        <v>1.8169999999999999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0.01</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0.03</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0.02</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1.8169999999999999</v>
      </c>
      <c r="D54" s="56">
        <f>D48</f>
        <v>0.30399999999999999</v>
      </c>
      <c r="E54" s="56">
        <f>MAX(C54:D54)</f>
        <v>1.8169999999999999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0.01</v>
      </c>
      <c r="E55" s="49">
        <f>MAX(C55:D55)</f>
        <v>0.17</v>
      </c>
      <c r="G55" s="1" t="str">
        <f>G49</f>
        <v>per 100 arrests</v>
      </c>
      <c r="L55" s="58">
        <f>IF(($E49&gt;0),L49,L48)</f>
        <v>100</v>
      </c>
      <c r="M55" s="58"/>
    </row>
    <row r="56" spans="2:18" ht="15" hidden="1" customHeight="1">
      <c r="B56" s="49" t="str">
        <f t="shared" si="10"/>
        <v>per 100 referrals</v>
      </c>
      <c r="C56" s="49">
        <f t="shared" si="10"/>
        <v>0.47</v>
      </c>
      <c r="D56" s="49">
        <f t="shared" si="10"/>
        <v>0.03</v>
      </c>
      <c r="E56" s="49">
        <f>MAX(C56:D56)</f>
        <v>0.47</v>
      </c>
      <c r="G56" s="1" t="str">
        <f>G50</f>
        <v>per 100 referrals</v>
      </c>
      <c r="L56" s="58">
        <f>IF(($E50&gt;0),L50,L49)</f>
        <v>100</v>
      </c>
      <c r="M56" s="58"/>
    </row>
    <row r="57" spans="2:18" ht="15" hidden="1" customHeight="1">
      <c r="B57" s="49" t="str">
        <f>IF(($E51&gt;0),B51,B49)</f>
        <v>per 100 youth petitioned</v>
      </c>
      <c r="C57" s="49">
        <f>IF(($E51&gt;0),C51,C50)</f>
        <v>0.19</v>
      </c>
      <c r="D57" s="49">
        <f>IF(($E51&gt;0),D51,D50)</f>
        <v>0.02</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1.8169999999999999</v>
      </c>
      <c r="D60" s="56">
        <f>D54</f>
        <v>0.30399999999999999</v>
      </c>
      <c r="E60" s="56">
        <f>MAX(C60:D60)</f>
        <v>1.8169999999999999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0.01</v>
      </c>
      <c r="E61" s="49">
        <f>MAX(C61:D61)</f>
        <v>0.17</v>
      </c>
      <c r="G61" s="1" t="str">
        <f>G55</f>
        <v>per 100 arrests</v>
      </c>
      <c r="L61" s="58">
        <f>IF(($E55&gt;0),L55,L54)</f>
        <v>100</v>
      </c>
      <c r="M61" s="58"/>
    </row>
    <row r="62" spans="2:18" ht="15" hidden="1" customHeight="1">
      <c r="B62" s="49" t="str">
        <f t="shared" si="11"/>
        <v>per 100 referrals</v>
      </c>
      <c r="C62" s="49">
        <f t="shared" si="11"/>
        <v>0.47</v>
      </c>
      <c r="D62" s="49">
        <f t="shared" si="11"/>
        <v>0.03</v>
      </c>
      <c r="E62" s="49">
        <f>MAX(C62:D62)</f>
        <v>0.47</v>
      </c>
      <c r="G62" s="1" t="str">
        <f>G56</f>
        <v>per 100 referrals</v>
      </c>
      <c r="L62" s="58">
        <f>IF(($E56&gt;0),L56,L55)</f>
        <v>100</v>
      </c>
      <c r="M62" s="58"/>
    </row>
    <row r="63" spans="2:18" ht="15" hidden="1" customHeight="1">
      <c r="B63" s="49" t="str">
        <f>IF(($E57&gt;0),B57,B55)</f>
        <v>per 100 youth petitioned</v>
      </c>
      <c r="C63" s="49">
        <f>IF(($E57&gt;0),C57,C56)</f>
        <v>0.19</v>
      </c>
      <c r="D63" s="49">
        <f>IF(($E57&gt;0),D57,D56)</f>
        <v>0.02</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1.8169999999999999</v>
      </c>
      <c r="D66" s="56">
        <f>D60</f>
        <v>0.30399999999999999</v>
      </c>
      <c r="E66" s="56">
        <f>MAX(C66:D66)</f>
        <v>1.8169999999999999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0.01</v>
      </c>
      <c r="E67" s="49">
        <f>MAX(C67:D67)</f>
        <v>0.17</v>
      </c>
      <c r="G67" s="1" t="str">
        <f>G61</f>
        <v>per 100 arrests</v>
      </c>
      <c r="L67" s="58">
        <f>IF(($E61&gt;0),L61,L60)</f>
        <v>100</v>
      </c>
      <c r="M67" s="58">
        <f>IF((B67=G67),1,2)</f>
        <v>1</v>
      </c>
    </row>
    <row r="68" spans="2:13" ht="15" hidden="1" customHeight="1">
      <c r="B68" s="49" t="str">
        <f t="shared" si="12"/>
        <v>per 100 referrals</v>
      </c>
      <c r="C68" s="49">
        <f t="shared" si="12"/>
        <v>0.47</v>
      </c>
      <c r="D68" s="49">
        <f t="shared" si="12"/>
        <v>0.03</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0.02</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Manistee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f>Hispanic!L12</f>
        <v>40</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#DIV/0!</v>
      </c>
      <c r="N13" s="1" t="e">
        <f>Asian!L13</f>
        <v>#VALUE!</v>
      </c>
      <c r="O13" s="1" t="e">
        <f>Hawaiian!L13</f>
        <v>#VALUE!</v>
      </c>
      <c r="P13" s="1" t="e">
        <f>'Am Indian'!L13</f>
        <v>#VALUE!</v>
      </c>
      <c r="Q13" s="1" t="e">
        <f>'Other - Mixed'!L13</f>
        <v>#VALUE!</v>
      </c>
      <c r="R13" s="1" t="e">
        <f>'All Minorities'!L13</f>
        <v>#DIV/0!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2121</v>
      </c>
      <c r="D3" s="57">
        <f>'Data Entry'!C6</f>
        <v>1817</v>
      </c>
      <c r="E3" s="57">
        <f>'Data Entry'!D6</f>
        <v>48</v>
      </c>
      <c r="F3" s="57">
        <f>'Data Entry'!E6</f>
        <v>171</v>
      </c>
      <c r="G3" s="57">
        <f>'Data Entry'!F6</f>
        <v>19</v>
      </c>
      <c r="H3" s="57">
        <f>'Data Entry'!G6</f>
        <v>0</v>
      </c>
      <c r="I3" s="57">
        <f>'Data Entry'!H6</f>
        <v>66</v>
      </c>
      <c r="J3" s="57">
        <f>'Data Entry'!I6</f>
        <v>0</v>
      </c>
      <c r="K3" s="57">
        <f>'Data Entry'!J6</f>
        <v>304</v>
      </c>
    </row>
    <row r="4" spans="2:11" ht="15" customHeight="1">
      <c r="B4" s="16" t="s">
        <v>8</v>
      </c>
      <c r="C4" s="1">
        <f>IF((C$3&gt;0),(1000*('Data Entry'!B7/'Data Entry'!B$6)), 0)</f>
        <v>10.372465818010372</v>
      </c>
      <c r="D4" s="1">
        <f>IF((D$3&gt;0),(1000*('Data Entry'!C7/'Data Entry'!C$6)), 0)</f>
        <v>9.3560814529444141</v>
      </c>
      <c r="E4" s="1">
        <f>IF((E$3&gt;0),(1000*('Data Entry'!D7/'Data Entry'!D$6)), 0)</f>
        <v>20.833333333333332</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3.2894736842105261</v>
      </c>
    </row>
    <row r="5" spans="2:11" ht="15" customHeight="1">
      <c r="B5" s="16" t="s">
        <v>9</v>
      </c>
      <c r="C5" s="1">
        <f>IF((C$3&gt;0),(1000*('Data Entry'!B8/'Data Entry'!B$6)), 0)</f>
        <v>23.573785950023574</v>
      </c>
      <c r="D5" s="1">
        <f>IF((D$3&gt;0),(1000*('Data Entry'!C8/'Data Entry'!C$6)), 0)</f>
        <v>25.866813428728673</v>
      </c>
      <c r="E5" s="1">
        <f>IF((E$3&gt;0),(1000*('Data Entry'!D8/'Data Entry'!D$6)), 0)</f>
        <v>20.833333333333332</v>
      </c>
      <c r="F5" s="1">
        <f>IF((F$3&gt;0),(1000*('Data Entry'!E8/'Data Entry'!E$6)), 0)</f>
        <v>11.695906432748536</v>
      </c>
      <c r="G5" s="1">
        <f>IF((G$3&gt;0),(1000*('Data Entry'!F8/'Data Entry'!F$6)), 0)</f>
        <v>0</v>
      </c>
      <c r="H5" s="1">
        <f>IF((H$3&gt;0),(1000*('Data Entry'!G8/'Data Entry'!G$6)), 0)</f>
        <v>0</v>
      </c>
      <c r="I5" s="1">
        <f>IF((I$3&gt;0),(1000*('Data Entry'!H8/'Data Entry'!H$6)), 0)</f>
        <v>0</v>
      </c>
      <c r="J5" s="1">
        <f>IF((J$3&gt;0),(1000*('Data Entry'!I8/'Data Entry'!I$6)), 0)</f>
        <v>0</v>
      </c>
      <c r="K5" s="1">
        <f>IF((K$3&gt;0),(1000*('Data Entry'!J8/'Data Entry'!J$6)), 0)</f>
        <v>9.8684210526315788</v>
      </c>
    </row>
    <row r="6" spans="2:11" ht="15" customHeight="1">
      <c r="B6" s="16" t="s">
        <v>10</v>
      </c>
      <c r="C6" s="1">
        <f>IF((C$3&gt;0),(1000*('Data Entry'!B9/'Data Entry'!B$6)), 0)</f>
        <v>0.47147571900047147</v>
      </c>
      <c r="D6" s="1">
        <f>IF((D$3&gt;0),(1000*('Data Entry'!C9/'Data Entry'!C$6)), 0)</f>
        <v>0.55035773252614195</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0.47147571900047147</v>
      </c>
      <c r="D7" s="1">
        <f>IF((D$3&gt;0),(1000*('Data Entry'!C10/'Data Entry'!C$6)), 0)</f>
        <v>0.55035773252614195</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9.9009900990099009</v>
      </c>
      <c r="D8" s="1">
        <f>IF((D$3&gt;0),(1000*('Data Entry'!C11/'Data Entry'!C$6)), 0)</f>
        <v>10.456796917996698</v>
      </c>
      <c r="E8" s="1">
        <f>IF((E$3&gt;0),(1000*('Data Entry'!D11/'Data Entry'!D$6)), 0)</f>
        <v>0</v>
      </c>
      <c r="F8" s="1">
        <f>IF((F$3&gt;0),(1000*('Data Entry'!E11/'Data Entry'!E$6)), 0)</f>
        <v>11.695906432748536</v>
      </c>
      <c r="G8" s="1">
        <f>IF((G$3&gt;0),(1000*('Data Entry'!F11/'Data Entry'!F$6)), 0)</f>
        <v>0</v>
      </c>
      <c r="H8" s="1">
        <f>IF((H$3&gt;0),(1000*('Data Entry'!G11/'Data Entry'!G$6)), 0)</f>
        <v>0</v>
      </c>
      <c r="I8" s="1">
        <f>IF((I$3&gt;0),(1000*('Data Entry'!H11/'Data Entry'!H$6)), 0)</f>
        <v>0</v>
      </c>
      <c r="J8" s="1">
        <f>IF((J$3&gt;0),(1000*('Data Entry'!I11/'Data Entry'!I$6)), 0)</f>
        <v>0</v>
      </c>
      <c r="K8" s="1">
        <f>IF((K$3&gt;0),(1000*('Data Entry'!J11/'Data Entry'!J$6)), 0)</f>
        <v>6.5789473684210522</v>
      </c>
    </row>
    <row r="9" spans="2:11" ht="15" customHeight="1">
      <c r="B9" s="16" t="s">
        <v>13</v>
      </c>
      <c r="C9" s="1">
        <f>IF((C$3&gt;0),(1000*('Data Entry'!B12/'Data Entry'!B$6)), 0)</f>
        <v>5.6577086280056577</v>
      </c>
      <c r="D9" s="1">
        <f>IF((D$3&gt;0),(1000*('Data Entry'!C12/'Data Entry'!C$6)), 0)</f>
        <v>6.6042927903137034</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9.9009900990099009</v>
      </c>
      <c r="D10" s="1">
        <f>IF((D$3&gt;0),(1000*('Data Entry'!C13/'Data Entry'!C$6)), 0)</f>
        <v>10.456796917996698</v>
      </c>
      <c r="E10" s="1">
        <f>IF((E$3&gt;0),(1000*('Data Entry'!D13/'Data Entry'!D$6)), 0)</f>
        <v>0</v>
      </c>
      <c r="F10" s="1">
        <f>IF((F$3&gt;0),(1000*('Data Entry'!E13/'Data Entry'!E$6)), 0)</f>
        <v>11.695906432748536</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6.5789473684210522</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Manistee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2.2267156862745097</v>
      </c>
      <c r="E19" s="72" t="str">
        <f t="shared" si="1"/>
        <v>--</v>
      </c>
      <c r="F19" s="72" t="str">
        <f t="shared" si="1"/>
        <v>--</v>
      </c>
      <c r="G19" s="72" t="str">
        <f t="shared" si="1"/>
        <v>--</v>
      </c>
      <c r="H19" s="72" t="str">
        <f t="shared" si="1"/>
        <v>--</v>
      </c>
      <c r="I19" s="72" t="str">
        <f t="shared" si="1"/>
        <v>--</v>
      </c>
      <c r="J19" s="73">
        <f t="shared" si="1"/>
        <v>0.3515866873065015</v>
      </c>
    </row>
    <row r="20" spans="2:10" ht="15" customHeight="1">
      <c r="B20" s="71" t="s">
        <v>9</v>
      </c>
      <c r="C20" s="72">
        <f t="shared" ref="C20:J27" si="2">IF(AND(($D5&gt;0),(D5&gt;0)), (D5/$D5),"--")</f>
        <v>1</v>
      </c>
      <c r="D20" s="72">
        <f t="shared" si="2"/>
        <v>0.80540780141843971</v>
      </c>
      <c r="E20" s="72">
        <f t="shared" si="2"/>
        <v>0.4521587657085977</v>
      </c>
      <c r="F20" s="72" t="str">
        <f t="shared" si="2"/>
        <v>--</v>
      </c>
      <c r="G20" s="72" t="str">
        <f t="shared" si="2"/>
        <v>--</v>
      </c>
      <c r="H20" s="72" t="str">
        <f t="shared" si="2"/>
        <v>--</v>
      </c>
      <c r="I20" s="72" t="str">
        <f t="shared" si="2"/>
        <v>--</v>
      </c>
      <c r="J20" s="73">
        <f t="shared" si="2"/>
        <v>0.38150895856662936</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f t="shared" si="2"/>
        <v>1.1184979993844257</v>
      </c>
      <c r="F23" s="72" t="str">
        <f t="shared" si="2"/>
        <v>--</v>
      </c>
      <c r="G23" s="72" t="str">
        <f t="shared" si="2"/>
        <v>--</v>
      </c>
      <c r="H23" s="72" t="str">
        <f t="shared" si="2"/>
        <v>--</v>
      </c>
      <c r="I23" s="72" t="str">
        <f t="shared" si="2"/>
        <v>--</v>
      </c>
      <c r="J23" s="73">
        <f t="shared" si="2"/>
        <v>0.62915512465373957</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f t="shared" si="2"/>
        <v>1.1184979993844257</v>
      </c>
      <c r="F25" s="72" t="str">
        <f t="shared" si="2"/>
        <v>--</v>
      </c>
      <c r="G25" s="72" t="str">
        <f t="shared" si="2"/>
        <v>--</v>
      </c>
      <c r="H25" s="72" t="str">
        <f t="shared" si="2"/>
        <v>--</v>
      </c>
      <c r="I25" s="72" t="str">
        <f t="shared" si="2"/>
        <v>--</v>
      </c>
      <c r="J25" s="73">
        <f t="shared" si="2"/>
        <v>0.62915512465373957</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Manistee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1817</v>
      </c>
      <c r="D7" s="104">
        <f>'Data Entry'!D6</f>
        <v>48</v>
      </c>
      <c r="E7" s="105"/>
      <c r="F7" s="106">
        <f>'Data Entry'!E6</f>
        <v>171</v>
      </c>
      <c r="G7" s="105"/>
      <c r="H7" s="106">
        <f>'Data Entry'!F6</f>
        <v>19</v>
      </c>
      <c r="I7" s="105"/>
      <c r="J7" s="106">
        <f>'Data Entry'!G6</f>
        <v>0</v>
      </c>
      <c r="K7" s="105"/>
      <c r="L7" s="106">
        <f>'Data Entry'!H6</f>
        <v>66</v>
      </c>
      <c r="M7" s="105"/>
      <c r="N7" s="106">
        <f>'Data Entry'!I6</f>
        <v>0</v>
      </c>
      <c r="O7" s="105"/>
      <c r="P7" s="106">
        <f>'Data Entry'!J6</f>
        <v>304</v>
      </c>
      <c r="Q7" s="107"/>
    </row>
    <row r="8" spans="2:26" s="1" customFormat="1" ht="15" customHeight="1">
      <c r="B8" s="142" t="s">
        <v>8</v>
      </c>
      <c r="C8" s="103">
        <f>'Data Entry'!C7</f>
        <v>17</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47</v>
      </c>
      <c r="D9" s="108">
        <f>'Data Entry'!D8</f>
        <v>1</v>
      </c>
      <c r="E9" s="109" t="str">
        <f>'Black or African-American'!$G8</f>
        <v>**</v>
      </c>
      <c r="F9" s="110">
        <f>'Data Entry'!E8</f>
        <v>2</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3</v>
      </c>
      <c r="Q9" s="111" t="str">
        <f>'All Minorities'!G8</f>
        <v>**</v>
      </c>
      <c r="R9"/>
      <c r="T9" s="1">
        <f>'Black or African-American'!L8</f>
        <v>40</v>
      </c>
      <c r="U9" s="1">
        <f>Hispanic!L8</f>
        <v>20</v>
      </c>
      <c r="V9" s="1">
        <f>Asian!L8</f>
        <v>139</v>
      </c>
      <c r="W9" s="1">
        <f>Hawaiian!L8</f>
        <v>139</v>
      </c>
      <c r="X9" s="1">
        <f>'Am Indian'!L8</f>
        <v>40</v>
      </c>
      <c r="Y9" s="1">
        <f>'Other - Mixed'!L8</f>
        <v>139</v>
      </c>
      <c r="Z9" s="1">
        <f>'All Minorities'!L8</f>
        <v>40</v>
      </c>
    </row>
    <row r="10" spans="2:26" s="1" customFormat="1" ht="15" customHeight="1">
      <c r="B10" s="142"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f>Hispanic!L9</f>
        <v>40</v>
      </c>
      <c r="V10" s="1" t="e">
        <f>Asian!L9</f>
        <v>#VALUE!</v>
      </c>
      <c r="W10" s="1" t="e">
        <f>Hawaiian!L9</f>
        <v>#VALUE!</v>
      </c>
      <c r="X10" s="1" t="e">
        <f>'Am Indian'!L9</f>
        <v>#VALUE!</v>
      </c>
      <c r="Y10" s="1" t="e">
        <f>'Other - Mixed'!L9</f>
        <v>#VALUE!</v>
      </c>
      <c r="Z10" s="1">
        <f>'All Minorities'!L9</f>
        <v>40</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19</v>
      </c>
      <c r="D12" s="112">
        <f>'Data Entry'!D11</f>
        <v>0</v>
      </c>
      <c r="E12" s="113" t="str">
        <f>'Black or African-American'!$G11</f>
        <v>**</v>
      </c>
      <c r="F12" s="114">
        <f>'Data Entry'!E11</f>
        <v>2</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2</v>
      </c>
      <c r="Q12" s="115" t="str">
        <f>'All Minorities'!G11</f>
        <v>**</v>
      </c>
      <c r="R12"/>
      <c r="T12" s="1">
        <f>'Black or African-American'!L11</f>
        <v>40</v>
      </c>
      <c r="U12" s="1">
        <f>Hispanic!L11</f>
        <v>40</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12</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f>Hispanic!L12</f>
        <v>40</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19</v>
      </c>
      <c r="D14" s="112">
        <f>'Data Entry'!D13</f>
        <v>0</v>
      </c>
      <c r="E14" s="113" t="str">
        <f>'Black or African-American'!$G13</f>
        <v>--</v>
      </c>
      <c r="F14" s="114">
        <f>'Data Entry'!E13</f>
        <v>2</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2</v>
      </c>
      <c r="Q14" s="115" t="str">
        <f>'All Minorities'!G13</f>
        <v>--</v>
      </c>
      <c r="R14"/>
      <c r="T14" s="1" t="e">
        <f>'Black or African-American'!L13</f>
        <v>#VALUE!</v>
      </c>
      <c r="U14" s="1" t="e">
        <f>Hispanic!L13</f>
        <v>#DIV/0!</v>
      </c>
      <c r="V14" s="1" t="e">
        <f>Asian!L13</f>
        <v>#VALUE!</v>
      </c>
      <c r="W14" s="1" t="e">
        <f>Hawaiian!L13</f>
        <v>#VALUE!</v>
      </c>
      <c r="X14" s="1" t="e">
        <f>'Am Indian'!L13</f>
        <v>#VALUE!</v>
      </c>
      <c r="Y14" s="1" t="e">
        <f>'Other - Mixed'!L13</f>
        <v>#VALUE!</v>
      </c>
      <c r="Z14" s="1" t="e">
        <f>'All Minorities'!L13</f>
        <v>#DIV/0!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Manistee</v>
      </c>
    </row>
    <row r="6" spans="1:12">
      <c r="A6" s="135" t="str">
        <f>CONCATENATE("Percentage of Minorities at Stages of the Juvenile Justice System, ", A5, " 2022")</f>
        <v>Percentage of Minorities at Stages of the Juvenile Justice System, County: Manistee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5.9769736842105265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5.9769736842105265</v>
      </c>
    </row>
    <row r="9" spans="1:12">
      <c r="A9" s="128" t="str">
        <f>CONCATENATE("Delinquent Findings, total N=", 'Data Entry'!B12)</f>
        <v>Delinquent Findings, total N=12</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N=12</v>
      </c>
      <c r="L9">
        <f>I14/(SUM(B14:G14))</f>
        <v>5.9769736842105265</v>
      </c>
    </row>
    <row r="10" spans="1:12">
      <c r="A10" s="128" t="str">
        <f>CONCATENATE("Petitions, total N=", 'Data Entry'!B11)</f>
        <v>Petitions, total N=21</v>
      </c>
      <c r="B10" s="150">
        <f>'Data Entry'!D11/'Data Entry'!B11</f>
        <v>0</v>
      </c>
      <c r="C10" s="150">
        <f>'Data Entry'!E11/'Data Entry'!B11</f>
        <v>9.5238095238095233E-2</v>
      </c>
      <c r="D10" s="150">
        <f>'Data Entry'!F11/'Data Entry'!B11</f>
        <v>0</v>
      </c>
      <c r="E10" s="150">
        <f>'Data Entry'!G11/'Data Entry'!B11</f>
        <v>0</v>
      </c>
      <c r="F10" s="150">
        <f>'Data Entry'!H11/'Data Entry'!B11</f>
        <v>0</v>
      </c>
      <c r="G10" s="150">
        <f>'Data Entry'!I11/'Data Entry'!B11</f>
        <v>0</v>
      </c>
      <c r="H10" s="150">
        <f>SUM(D10:G10)/'Data Entry'!B11</f>
        <v>0</v>
      </c>
      <c r="I10" s="150">
        <f>'Data Entry'!C11/'Data Entry'!B11</f>
        <v>0.90476190476190477</v>
      </c>
      <c r="K10" s="96" t="str">
        <f t="shared" si="0"/>
        <v>Petitions, total N=21</v>
      </c>
      <c r="L10">
        <f>I14/(SUM(B14:G14))</f>
        <v>5.9769736842105265</v>
      </c>
    </row>
    <row r="11" spans="1:1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5.9769736842105265</v>
      </c>
    </row>
    <row r="12" spans="1:12">
      <c r="A12" s="128" t="str">
        <f>CONCATENATE("Referrals, total N=", 'Data Entry'!B8)</f>
        <v>Referrals, total N=50</v>
      </c>
      <c r="B12" s="150">
        <f>'Data Entry'!D8/'Data Entry'!B8</f>
        <v>0.02</v>
      </c>
      <c r="C12" s="150">
        <f>'Data Entry'!E8/'Data Entry'!B8</f>
        <v>0.04</v>
      </c>
      <c r="D12" s="150">
        <f>'Data Entry'!F8/'Data Entry'!B8</f>
        <v>0</v>
      </c>
      <c r="E12" s="150">
        <f>'Data Entry'!G8/'Data Entry'!B8</f>
        <v>0</v>
      </c>
      <c r="F12" s="150">
        <f>'Data Entry'!H8/'Data Entry'!B8</f>
        <v>0</v>
      </c>
      <c r="G12" s="150">
        <f>'Data Entry'!I8/'Data Entry'!B8</f>
        <v>0</v>
      </c>
      <c r="H12" s="150">
        <f>SUM(D12:G12)/'Data Entry'!B8</f>
        <v>0</v>
      </c>
      <c r="I12" s="150">
        <f>'Data Entry'!C8/'Data Entry'!B8</f>
        <v>0.94</v>
      </c>
      <c r="K12" s="96" t="str">
        <f t="shared" si="0"/>
        <v>Referrals, total N=50</v>
      </c>
      <c r="L12">
        <f>I14/(SUM(B14:G14))</f>
        <v>5.9769736842105265</v>
      </c>
    </row>
    <row r="13" spans="1:12">
      <c r="A13" s="128" t="str">
        <f>CONCATENATE("Arrests, total N=", 'Data Entry'!B7)</f>
        <v>Arrests, total N=22</v>
      </c>
      <c r="B13" s="150">
        <f>'Data Entry'!D7/'Data Entry'!B7</f>
        <v>4.5454545454545456E-2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0.77272727272727271</v>
      </c>
      <c r="K13" s="96" t="str">
        <f t="shared" si="0"/>
        <v>Arrests, total N=22</v>
      </c>
      <c r="L13">
        <f>I14/(SUM(B14:G14))</f>
        <v>5.9769736842105265</v>
      </c>
    </row>
    <row r="14" spans="1:12">
      <c r="A14" s="128" t="str">
        <f>CONCATENATE("Population, total N=", 'Data Entry'!B6)</f>
        <v>Population, total N=2121</v>
      </c>
      <c r="B14" s="150">
        <f>'Data Entry'!D6/'Data Entry'!B6</f>
        <v>2.2630834512022632E-2</v>
      </c>
      <c r="C14" s="150">
        <f>'Data Entry'!E6/'Data Entry'!B6</f>
        <v>8.0622347949080617E-2</v>
      </c>
      <c r="D14" s="150">
        <f>'Data Entry'!F6/'Data Entry'!B6</f>
        <v>8.9580386610089574E-3</v>
      </c>
      <c r="E14" s="150">
        <f>'Data Entry'!G6/'Data Entry'!B6</f>
        <v>0</v>
      </c>
      <c r="F14" s="150">
        <f>'Data Entry'!H6/'Data Entry'!B6</f>
        <v>3.1117397454031116E-2</v>
      </c>
      <c r="G14" s="150">
        <f>'Data Entry'!I6/'Data Entry'!B6</f>
        <v>0</v>
      </c>
      <c r="H14" s="150">
        <f>SUM(D14:G14)/'Data Entry'!B6</f>
        <v>1.889459505659598E-5</v>
      </c>
      <c r="I14" s="150">
        <f>'Data Entry'!C6/'Data Entry'!B6</f>
        <v>0.85667138142385668</v>
      </c>
      <c r="K14" s="96" t="str">
        <f t="shared" si="0"/>
        <v>Population, total N=2121</v>
      </c>
      <c r="L14">
        <f>I14/(SUM(B14:G14))</f>
        <v>5.9769736842105265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Manistee</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1817</v>
      </c>
      <c r="D7" s="104">
        <f>'Data Entry'!D6</f>
        <v>48</v>
      </c>
      <c r="E7" s="105"/>
      <c r="F7" s="106">
        <f>'Data Entry'!E6</f>
        <v>171</v>
      </c>
      <c r="G7" s="105"/>
      <c r="H7" s="106">
        <f>'Data Entry'!F6</f>
        <v>19</v>
      </c>
      <c r="I7" s="105"/>
      <c r="J7" s="106">
        <f>'Data Entry'!J6</f>
        <v>304</v>
      </c>
      <c r="K7" s="107"/>
    </row>
    <row r="8" spans="2:30" s="1" customFormat="1" ht="15" customHeight="1">
      <c r="B8" s="121" t="s">
        <v>8</v>
      </c>
      <c r="C8" s="103">
        <f>'Data Entry'!C7</f>
        <v>17</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47</v>
      </c>
      <c r="D9" s="108">
        <f>'Data Entry'!D8</f>
        <v>1</v>
      </c>
      <c r="E9" s="109" t="str">
        <f>'Black or African-American'!$G8</f>
        <v>**</v>
      </c>
      <c r="F9" s="110">
        <f>'Data Entry'!E8</f>
        <v>2</v>
      </c>
      <c r="G9" s="109" t="str">
        <f>Hispanic!G8</f>
        <v>**</v>
      </c>
      <c r="H9" s="110">
        <f>'Data Entry'!F8</f>
        <v>0</v>
      </c>
      <c r="I9" s="109" t="str">
        <f>Asian!G8</f>
        <v>*</v>
      </c>
      <c r="J9" s="110">
        <f>'Data Entry'!J8</f>
        <v>3</v>
      </c>
      <c r="K9" s="111" t="str">
        <f>'All Minorities'!G8</f>
        <v>**</v>
      </c>
      <c r="L9"/>
      <c r="N9" s="1">
        <f>'Black or African-American'!L8</f>
        <v>40</v>
      </c>
      <c r="O9" s="1">
        <f>Hispanic!L8</f>
        <v>20</v>
      </c>
      <c r="P9" s="1">
        <f>Asian!L8</f>
        <v>139</v>
      </c>
      <c r="Q9" s="1">
        <f>Hawaiian!L8</f>
        <v>139</v>
      </c>
      <c r="R9" s="1">
        <f>'Am Indian'!L8</f>
        <v>40</v>
      </c>
      <c r="S9" s="1">
        <f>'Other - Mixed'!L8</f>
        <v>139</v>
      </c>
      <c r="T9" s="1">
        <f>'All Minorities'!L8</f>
        <v>40</v>
      </c>
    </row>
    <row r="10" spans="2:30" s="1" customFormat="1" ht="15" customHeight="1">
      <c r="B10" s="121"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f>Hispanic!L9</f>
        <v>40</v>
      </c>
      <c r="P10" s="1" t="e">
        <f>Asian!L9</f>
        <v>#VALUE!</v>
      </c>
      <c r="Q10" s="1" t="e">
        <f>Hawaiian!L9</f>
        <v>#VALUE!</v>
      </c>
      <c r="R10" s="1" t="e">
        <f>'Am Indian'!L9</f>
        <v>#VALUE!</v>
      </c>
      <c r="S10" s="1" t="e">
        <f>'Other - Mixed'!L9</f>
        <v>#VALUE!</v>
      </c>
      <c r="T10" s="1">
        <f>'All Minorities'!L9</f>
        <v>40</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19</v>
      </c>
      <c r="D12" s="112">
        <f>'Data Entry'!D11</f>
        <v>0</v>
      </c>
      <c r="E12" s="113" t="str">
        <f>'Black or African-American'!$G11</f>
        <v>**</v>
      </c>
      <c r="F12" s="114">
        <f>'Data Entry'!E11</f>
        <v>2</v>
      </c>
      <c r="G12" s="113" t="str">
        <f>Hispanic!G11</f>
        <v>**</v>
      </c>
      <c r="H12" s="114">
        <f>'Data Entry'!F11</f>
        <v>0</v>
      </c>
      <c r="I12" s="113" t="str">
        <f>Asian!G11</f>
        <v>*</v>
      </c>
      <c r="J12" s="114">
        <f>'Data Entry'!J11</f>
        <v>2</v>
      </c>
      <c r="K12" s="115" t="str">
        <f>'All Minorities'!G11</f>
        <v>**</v>
      </c>
      <c r="L12"/>
      <c r="N12" s="1">
        <f>'Black or African-American'!L11</f>
        <v>40</v>
      </c>
      <c r="O12" s="1">
        <f>Hispanic!L11</f>
        <v>40</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12</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f>Hispanic!L12</f>
        <v>40</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19</v>
      </c>
      <c r="D14" s="112">
        <f>'Data Entry'!D13</f>
        <v>0</v>
      </c>
      <c r="E14" s="113" t="str">
        <f>'Black or African-American'!$G13</f>
        <v>--</v>
      </c>
      <c r="F14" s="114">
        <f>'Data Entry'!E13</f>
        <v>2</v>
      </c>
      <c r="G14" s="113" t="str">
        <f>Hispanic!G13</f>
        <v>--</v>
      </c>
      <c r="H14" s="114">
        <f>'Data Entry'!F13</f>
        <v>0</v>
      </c>
      <c r="I14" s="113" t="str">
        <f>Asian!G13</f>
        <v>*</v>
      </c>
      <c r="J14" s="114">
        <f>'Data Entry'!J13</f>
        <v>2</v>
      </c>
      <c r="K14" s="115" t="str">
        <f>'All Minorities'!G13</f>
        <v>--</v>
      </c>
      <c r="L14"/>
      <c r="N14" s="1" t="e">
        <f>'Black or African-American'!L13</f>
        <v>#VALUE!</v>
      </c>
      <c r="O14" s="1" t="e">
        <f>Hispanic!L13</f>
        <v>#DIV/0!</v>
      </c>
      <c r="P14" s="1" t="e">
        <f>Asian!L13</f>
        <v>#VALUE!</v>
      </c>
      <c r="Q14" s="1" t="e">
        <f>Hawaiian!L13</f>
        <v>#VALUE!</v>
      </c>
      <c r="R14" s="1" t="e">
        <f>'Am Indian'!L13</f>
        <v>#VALUE!</v>
      </c>
      <c r="S14" s="1" t="e">
        <f>'Other - Mixed'!L13</f>
        <v>#VALUE!</v>
      </c>
      <c r="T14" s="1" t="e">
        <f>'All Minorities'!L13</f>
        <v>#DIV/0!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v>
      </c>
      <c r="D6" s="34"/>
      <c r="E6" s="33">
        <f>'Data Entry'!D6</f>
        <v>48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9.3560814529444141</v>
      </c>
      <c r="E7" s="33">
        <f>'Data Entry'!D7</f>
        <v>1</v>
      </c>
      <c r="F7" s="34">
        <f>IF((AND($E$7&gt;0,$D$66&gt;0)),($E$7/$D$66),0)</f>
        <v>20.833333333333332</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47</v>
      </c>
      <c r="P7" s="42">
        <f t="shared" ref="P7:P15" si="2">C7</f>
        <v>17</v>
      </c>
      <c r="Q7" s="42">
        <f>C6-C7</f>
        <v>1800</v>
      </c>
      <c r="R7" s="42">
        <f t="shared" ref="R7:R15" si="3">SUM(N7:Q7)</f>
        <v>1865</v>
      </c>
      <c r="S7" s="30">
        <f t="shared" ref="S7:S15" si="4">R7*((((N7*Q7)-(O7*P7))^2))</f>
        <v>1868731865</v>
      </c>
      <c r="T7" s="30">
        <f t="shared" ref="T7:T15" si="5">(N7+O7)*(P7+Q7)*(N7+P7)*(O7+Q7)</f>
        <v>2899583136</v>
      </c>
      <c r="U7" s="31">
        <f t="shared" ref="U7:U15" si="6">IF((S7&gt;0),S7/T7,"- -")</f>
        <v>0.64448294025393316</v>
      </c>
    </row>
    <row r="8" spans="2:21" ht="18" customHeight="1">
      <c r="B8" s="32" t="str">
        <f>'Data Entry'!A8</f>
        <v>3. Refer to Juvenile Court</v>
      </c>
      <c r="C8" s="33">
        <f>'Data Entry'!C8</f>
        <v>47</v>
      </c>
      <c r="D8" s="34">
        <f>IF((AND(C67&gt;0,C8&gt;0)),(C8/C67),0)</f>
        <v>276.47058823529409</v>
      </c>
      <c r="E8" s="33">
        <f>'Data Entry'!D8</f>
        <v>1</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0.05</v>
      </c>
      <c r="P8" s="42">
        <f t="shared" si="2"/>
        <v>47</v>
      </c>
      <c r="Q8" s="42">
        <f>(C$67*L67)-C8</f>
        <v>-30</v>
      </c>
      <c r="R8" s="42">
        <f t="shared" si="3"/>
        <v>18.049999999999997</v>
      </c>
      <c r="S8" s="30">
        <f t="shared" si="4"/>
        <v>18889.731124999998</v>
      </c>
      <c r="T8" s="30">
        <f t="shared" si="5"/>
        <v>-25661.16</v>
      </c>
      <c r="U8" s="31">
        <f t="shared" si="6"/>
        <v>-0.73612148184259785</v>
      </c>
    </row>
    <row r="9" spans="2:21" ht="18" customHeight="1">
      <c r="B9" s="32" t="str">
        <f>'Data Entry'!A9</f>
        <v xml:space="preserve">4. Cases Diverted </v>
      </c>
      <c r="C9" s="33">
        <f>'Data Entry'!C9</f>
        <v>1</v>
      </c>
      <c r="D9" s="34">
        <f>IF((AND(C68&gt;0,C9&gt;0)),((C9/C68)),0)</f>
        <v>2.1276595744680851</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1</v>
      </c>
      <c r="P9" s="42">
        <f t="shared" si="2"/>
        <v>1</v>
      </c>
      <c r="Q9" s="42">
        <f>(C$68*L68)-C9</f>
        <v>46</v>
      </c>
      <c r="R9" s="42">
        <f t="shared" si="3"/>
        <v>48</v>
      </c>
      <c r="S9" s="30">
        <f t="shared" si="4"/>
        <v>48</v>
      </c>
      <c r="T9" s="30">
        <f t="shared" si="5"/>
        <v>2209</v>
      </c>
      <c r="U9" s="31">
        <f t="shared" si="6"/>
        <v>2.1729289271163424E-2</v>
      </c>
    </row>
    <row r="10" spans="2:21" ht="18" customHeight="1">
      <c r="B10" s="32" t="str">
        <f>'Data Entry'!A10</f>
        <v>5. Cases Involving Secure Detention</v>
      </c>
      <c r="C10" s="33">
        <f>'Data Entry'!C10</f>
        <v>1</v>
      </c>
      <c r="D10" s="34">
        <f>IF(((AND(C68&gt;0,C10&gt;0))),(C10/(C68)),0)</f>
        <v>2.1276595744680851</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1</v>
      </c>
      <c r="Q10" s="42">
        <f>(C$68*L68)-C10</f>
        <v>46</v>
      </c>
      <c r="R10" s="42">
        <f t="shared" si="3"/>
        <v>48</v>
      </c>
      <c r="S10" s="30">
        <f t="shared" si="4"/>
        <v>48</v>
      </c>
      <c r="T10" s="30">
        <f t="shared" si="5"/>
        <v>2209</v>
      </c>
      <c r="U10" s="31">
        <f t="shared" si="6"/>
        <v>2.1729289271163424E-2</v>
      </c>
    </row>
    <row r="11" spans="2:21" ht="18" customHeight="1">
      <c r="B11" s="32" t="str">
        <f>'Data Entry'!A11</f>
        <v>6. Cases Petitioned (Charge Filed)</v>
      </c>
      <c r="C11" s="33">
        <f>'Data Entry'!C11</f>
        <v>19</v>
      </c>
      <c r="D11" s="34">
        <f>IF(((AND(C68&gt;0,C11&gt;0))),(C11/(C68)),0)</f>
        <v>40.425531914893618</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1</v>
      </c>
      <c r="P11" s="42">
        <f t="shared" si="2"/>
        <v>19</v>
      </c>
      <c r="Q11" s="42">
        <f>(C$68*L68)-C11</f>
        <v>28</v>
      </c>
      <c r="R11" s="42">
        <f t="shared" si="3"/>
        <v>48</v>
      </c>
      <c r="S11" s="30">
        <f t="shared" si="4"/>
        <v>17328</v>
      </c>
      <c r="T11" s="30">
        <f t="shared" si="5"/>
        <v>25897</v>
      </c>
      <c r="U11" s="31">
        <f t="shared" si="6"/>
        <v>0.66911225238444605</v>
      </c>
    </row>
    <row r="12" spans="2:21" ht="18" customHeight="1">
      <c r="B12" s="32" t="str">
        <f>'Data Entry'!A12</f>
        <v>7. Cases Resulting in Delinquent Findings</v>
      </c>
      <c r="C12" s="33">
        <f>'Data Entry'!C12</f>
        <v>12</v>
      </c>
      <c r="D12" s="34">
        <f>IF(((AND(C69&gt;0,C12&gt;0))),(C12/(C69)),0)</f>
        <v>63.157894736842103</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12</v>
      </c>
      <c r="Q12" s="42">
        <f>(C69*L69)-C12</f>
        <v>7</v>
      </c>
      <c r="R12" s="42">
        <f t="shared" si="3"/>
        <v>19</v>
      </c>
      <c r="S12" s="30">
        <f t="shared" si="4"/>
        <v>0</v>
      </c>
      <c r="T12" s="30">
        <f t="shared" si="5"/>
        <v>0</v>
      </c>
      <c r="U12" s="31" t="str">
        <f t="shared" si="6"/>
        <v>- -</v>
      </c>
    </row>
    <row r="13" spans="2:21" ht="18" customHeight="1">
      <c r="B13" s="32" t="str">
        <f>'Data Entry'!A13</f>
        <v>8. Cases Resulting in Probation Placement</v>
      </c>
      <c r="C13" s="33">
        <f>'Data Entry'!C13</f>
        <v>19</v>
      </c>
      <c r="D13" s="34">
        <f>IF(((AND(C70&gt;0,C13&gt;0))),(C13/(C70)),0)</f>
        <v>158.33333333333334</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19</v>
      </c>
      <c r="Q13" s="42">
        <f>(C70*L70)-C13</f>
        <v>-7</v>
      </c>
      <c r="R13" s="42">
        <f t="shared" si="3"/>
        <v>12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12</v>
      </c>
      <c r="R14" s="42">
        <f t="shared" si="3"/>
        <v>12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19</v>
      </c>
      <c r="R15" s="42">
        <f t="shared" si="3"/>
        <v>19</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1.8169999999999999</v>
      </c>
      <c r="D42" s="56">
        <f>E6/1000</f>
        <v>4.8000000000000001E-2</v>
      </c>
      <c r="E42" s="56">
        <f>MAX(C42:D42)</f>
        <v>1.8169999999999999</v>
      </c>
      <c r="G42" s="1" t="str">
        <f>B42</f>
        <v>per 1000 youth</v>
      </c>
      <c r="L42" s="57">
        <v>1000</v>
      </c>
      <c r="M42" s="57"/>
      <c r="R42" s="49"/>
    </row>
    <row r="43" spans="2:18" ht="15" hidden="1" customHeight="1">
      <c r="B43" s="49" t="s">
        <v>87</v>
      </c>
      <c r="C43" s="56">
        <f>C7/100</f>
        <v>0.17</v>
      </c>
      <c r="D43" s="56">
        <f>E7/100</f>
        <v>0.01</v>
      </c>
      <c r="E43" s="56">
        <f>MAX(C43:D43,0)</f>
        <v>0.17</v>
      </c>
      <c r="G43" s="1" t="str">
        <f>B43</f>
        <v>per 100 arrests</v>
      </c>
      <c r="L43" s="57">
        <v>100</v>
      </c>
      <c r="M43" s="57"/>
      <c r="R43" s="49"/>
    </row>
    <row r="44" spans="2:18" ht="15" hidden="1" customHeight="1">
      <c r="B44" s="49" t="s">
        <v>88</v>
      </c>
      <c r="C44" s="56">
        <f>C8/100</f>
        <v>0.47</v>
      </c>
      <c r="D44" s="56">
        <f>E8/100</f>
        <v>0.01</v>
      </c>
      <c r="E44" s="56">
        <f>MAX(C44:D44,0)</f>
        <v>0.47</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1.8169999999999999</v>
      </c>
      <c r="D48" s="56">
        <f>D42</f>
        <v>4.8000000000000001E-2</v>
      </c>
      <c r="E48" s="56">
        <f>MAX(C48:D48)</f>
        <v>1.8169999999999999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0.17</v>
      </c>
      <c r="D49" s="49">
        <f t="shared" si="9"/>
        <v>0.01</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0.01</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1.8169999999999999</v>
      </c>
      <c r="D54" s="56">
        <f>D48</f>
        <v>4.8000000000000001E-2</v>
      </c>
      <c r="E54" s="56">
        <f>MAX(C54:D54)</f>
        <v>1.8169999999999999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0.01</v>
      </c>
      <c r="E55" s="49">
        <f>MAX(C55:D55)</f>
        <v>0.17</v>
      </c>
      <c r="G55" s="1" t="str">
        <f>G49</f>
        <v>per 100 arrests</v>
      </c>
      <c r="L55" s="58">
        <f>IF(($E49&gt;0),L49,L48)</f>
        <v>100</v>
      </c>
      <c r="M55" s="58"/>
    </row>
    <row r="56" spans="2:18" ht="15" hidden="1" customHeight="1">
      <c r="B56" s="49" t="str">
        <f t="shared" si="10"/>
        <v>per 100 referrals</v>
      </c>
      <c r="C56" s="49">
        <f t="shared" si="10"/>
        <v>0.47</v>
      </c>
      <c r="D56" s="49">
        <f t="shared" si="10"/>
        <v>0.01</v>
      </c>
      <c r="E56" s="49">
        <f>MAX(C56:D56)</f>
        <v>0.47</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1.8169999999999999</v>
      </c>
      <c r="D60" s="56">
        <f>D54</f>
        <v>4.8000000000000001E-2</v>
      </c>
      <c r="E60" s="56">
        <f>MAX(C60:D60)</f>
        <v>1.8169999999999999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0.01</v>
      </c>
      <c r="E61" s="49">
        <f>MAX(C61:D61)</f>
        <v>0.17</v>
      </c>
      <c r="G61" s="1" t="str">
        <f>G55</f>
        <v>per 100 arrests</v>
      </c>
      <c r="L61" s="58">
        <f>IF(($E55&gt;0),L55,L54)</f>
        <v>100</v>
      </c>
      <c r="M61" s="58"/>
    </row>
    <row r="62" spans="2:18" ht="15" hidden="1" customHeight="1">
      <c r="B62" s="49" t="str">
        <f t="shared" si="11"/>
        <v>per 100 referrals</v>
      </c>
      <c r="C62" s="49">
        <f t="shared" si="11"/>
        <v>0.47</v>
      </c>
      <c r="D62" s="49">
        <f t="shared" si="11"/>
        <v>0.01</v>
      </c>
      <c r="E62" s="49">
        <f>MAX(C62:D62)</f>
        <v>0.47</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1.8169999999999999</v>
      </c>
      <c r="D66" s="56">
        <f>D60</f>
        <v>4.8000000000000001E-2</v>
      </c>
      <c r="E66" s="56">
        <f>MAX(C66:D66)</f>
        <v>1.8169999999999999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0.01</v>
      </c>
      <c r="E67" s="49">
        <f>MAX(C67:D67)</f>
        <v>0.17</v>
      </c>
      <c r="G67" s="1" t="str">
        <f>G61</f>
        <v>per 100 arrests</v>
      </c>
      <c r="L67" s="58">
        <f>IF(($E61&gt;0),L61,L60)</f>
        <v>100</v>
      </c>
      <c r="M67" s="58">
        <f>IF((B67=G67),1,2)</f>
        <v>1</v>
      </c>
    </row>
    <row r="68" spans="2:13" ht="15" hidden="1" customHeight="1">
      <c r="B68" s="49" t="str">
        <f t="shared" si="12"/>
        <v>per 100 referrals</v>
      </c>
      <c r="C68" s="49">
        <f t="shared" si="12"/>
        <v>0.47</v>
      </c>
      <c r="D68" s="49">
        <f t="shared" si="12"/>
        <v>0.01</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v>
      </c>
      <c r="D6" s="34"/>
      <c r="E6" s="33">
        <f>'Data Entry'!F6</f>
        <v>19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9.3560814529444141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19</v>
      </c>
      <c r="P7" s="42">
        <f t="shared" ref="P7:P15" si="4">C7</f>
        <v>17</v>
      </c>
      <c r="Q7" s="42">
        <f>C6-C7</f>
        <v>1800</v>
      </c>
      <c r="R7" s="42">
        <f t="shared" ref="R7:R15" si="5">SUM(N7:Q7)</f>
        <v>1836</v>
      </c>
      <c r="S7" s="30">
        <f t="shared" ref="S7:S15" si="6">R7*((((N7*Q7)-(O7*P7))^2))</f>
        <v>191548044</v>
      </c>
      <c r="T7" s="30">
        <f t="shared" ref="T7:T15" si="7">(N7+O7)*(P7+Q7)*(N7+P7)*(O7+Q7)</f>
        <v>1067554729</v>
      </c>
      <c r="U7" s="31">
        <f t="shared" ref="U7:U15" si="8">IF((S7&gt;0),S7/T7,"- -")</f>
        <v>0.17942690786394333</v>
      </c>
    </row>
    <row r="8" spans="2:21" ht="18" customHeight="1">
      <c r="B8" s="32" t="str">
        <f>'Data Entry'!A8</f>
        <v>3. Refer to Juvenile Court</v>
      </c>
      <c r="C8" s="33">
        <f>'Data Entry'!C8</f>
        <v>47</v>
      </c>
      <c r="D8" s="34">
        <f>IF((AND(C67&gt;0,C8&gt;0)),(C8/C67),0)</f>
        <v>276.47058823529409</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47</v>
      </c>
      <c r="Q8" s="42">
        <f>(C$67*L67)-C8</f>
        <v>-30</v>
      </c>
      <c r="R8" s="42">
        <f t="shared" si="5"/>
        <v>17.049999999999997</v>
      </c>
      <c r="S8" s="30">
        <f t="shared" si="6"/>
        <v>94.158625000000001</v>
      </c>
      <c r="T8" s="30">
        <f t="shared" si="7"/>
        <v>-1196.5025000000001</v>
      </c>
      <c r="U8" s="31">
        <f t="shared" si="8"/>
        <v>-7.8694883629578702E-2</v>
      </c>
    </row>
    <row r="9" spans="2:21" ht="18" customHeight="1">
      <c r="B9" s="32" t="str">
        <f>'Data Entry'!A9</f>
        <v xml:space="preserve">4. Cases Diverted </v>
      </c>
      <c r="C9" s="33">
        <f>'Data Entry'!C9</f>
        <v>1</v>
      </c>
      <c r="D9" s="34">
        <f>IF((AND(C68&gt;0,C9&gt;0)),((C9/C68)),0)</f>
        <v>2.1276595744680851</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46</v>
      </c>
      <c r="R9" s="42">
        <f t="shared" si="5"/>
        <v>47</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2.1276595744680851</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46</v>
      </c>
      <c r="R10" s="42">
        <f t="shared" si="5"/>
        <v>47</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40.425531914893618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28</v>
      </c>
      <c r="R11" s="42">
        <f t="shared" si="5"/>
        <v>47</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63.157894736842103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7</v>
      </c>
      <c r="R12" s="42">
        <f t="shared" si="5"/>
        <v>19</v>
      </c>
      <c r="S12" s="30">
        <f t="shared" si="6"/>
        <v>0</v>
      </c>
      <c r="T12" s="30">
        <f t="shared" si="7"/>
        <v>0</v>
      </c>
      <c r="U12" s="31" t="str">
        <f t="shared" si="8"/>
        <v>- -</v>
      </c>
    </row>
    <row r="13" spans="2:21" ht="18" customHeight="1">
      <c r="B13" s="32" t="str">
        <f>'Data Entry'!A13</f>
        <v>8. Cases Resulting in Probation Placement</v>
      </c>
      <c r="C13" s="33">
        <f>'Data Entry'!C13</f>
        <v>19</v>
      </c>
      <c r="D13" s="34">
        <f>IF(((AND(C70&gt;0,C13&gt;0))),(C13/(C70)),0)</f>
        <v>158.33333333333334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19</v>
      </c>
      <c r="Q13" s="42">
        <f>(C70*L70)-C13</f>
        <v>-7</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1.8169999999999999</v>
      </c>
      <c r="D42" s="56">
        <f>E6/1000</f>
        <v>1.9E-2</v>
      </c>
      <c r="E42" s="56">
        <f>MAX(C42:D42)</f>
        <v>1.8169999999999999</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0.47</v>
      </c>
      <c r="D44" s="56">
        <f>E8/100</f>
        <v>0</v>
      </c>
      <c r="E44" s="56">
        <f>MAX(C44:D44,0)</f>
        <v>0.47</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1.8169999999999999</v>
      </c>
      <c r="D48" s="56">
        <f>D42</f>
        <v>1.9E-2</v>
      </c>
      <c r="E48" s="56">
        <f>MAX(C48:D48)</f>
        <v>1.8169999999999999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1.8169999999999999</v>
      </c>
      <c r="D54" s="56">
        <f>D48</f>
        <v>1.9E-2</v>
      </c>
      <c r="E54" s="56">
        <f>MAX(C54:D54)</f>
        <v>1.8169999999999999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0.47</v>
      </c>
      <c r="D56" s="49">
        <f t="shared" si="10"/>
        <v>0</v>
      </c>
      <c r="E56" s="49">
        <f>MAX(C56:D56)</f>
        <v>0.47</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1.8169999999999999</v>
      </c>
      <c r="D60" s="56">
        <f>D54</f>
        <v>1.9E-2</v>
      </c>
      <c r="E60" s="56">
        <f>MAX(C60:D60)</f>
        <v>1.8169999999999999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0.47</v>
      </c>
      <c r="D62" s="49">
        <f t="shared" si="11"/>
        <v>0</v>
      </c>
      <c r="E62" s="49">
        <f>MAX(C62:D62)</f>
        <v>0.47</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1.8169999999999999</v>
      </c>
      <c r="D66" s="56">
        <f>D60</f>
        <v>1.9E-2</v>
      </c>
      <c r="E66" s="56">
        <f>MAX(C66:D66)</f>
        <v>1.8169999999999999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0.47</v>
      </c>
      <c r="D68" s="49">
        <f t="shared" si="12"/>
        <v>0</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v>
      </c>
      <c r="D6" s="34"/>
      <c r="E6" s="33">
        <f>'Data Entry'!E6</f>
        <v>171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9.3560814529444141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171</v>
      </c>
      <c r="P7" s="42">
        <f t="shared" ref="P7:P15" si="4">C7</f>
        <v>17</v>
      </c>
      <c r="Q7" s="42">
        <f>C6-C7</f>
        <v>1800</v>
      </c>
      <c r="R7" s="42">
        <f t="shared" ref="R7:R15" si="5">SUM(N7:Q7)</f>
        <v>1988</v>
      </c>
      <c r="S7" s="30">
        <f t="shared" ref="S7:S15" si="6">R7*((((N7*Q7)-(O7*P7))^2))</f>
        <v>16799890212</v>
      </c>
      <c r="T7" s="30">
        <f t="shared" ref="T7:T15" si="7">(N7+O7)*(P7+Q7)*(N7+P7)*(O7+Q7)</f>
        <v>10410859449</v>
      </c>
      <c r="U7" s="31">
        <f t="shared" ref="U7:U15" si="8">IF((S7&gt;0),S7/T7,"- -")</f>
        <v>1.6136890805507598</v>
      </c>
    </row>
    <row r="8" spans="2:21" ht="18" customHeight="1">
      <c r="B8" s="32" t="str">
        <f>'Data Entry'!A8</f>
        <v>3. Refer to Juvenile Court</v>
      </c>
      <c r="C8" s="33">
        <f>'Data Entry'!C8</f>
        <v>47</v>
      </c>
      <c r="D8" s="34">
        <f>IF((AND(C67&gt;0,C8&gt;0)),(C8/C67),0)</f>
        <v>276.47058823529409</v>
      </c>
      <c r="E8" s="33">
        <f>'Data Entry'!E8</f>
        <v>2</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v>
      </c>
      <c r="O8" s="42">
        <f>((D67*L67)-E8)+0.05</f>
        <v>-1.95</v>
      </c>
      <c r="P8" s="42">
        <f t="shared" si="4"/>
        <v>47</v>
      </c>
      <c r="Q8" s="42">
        <f>(C$67*L67)-C8</f>
        <v>-30</v>
      </c>
      <c r="R8" s="42">
        <f t="shared" si="5"/>
        <v>17.049999999999997</v>
      </c>
      <c r="S8" s="30">
        <f t="shared" si="6"/>
        <v>17079.368624999988</v>
      </c>
      <c r="T8" s="30">
        <f t="shared" si="7"/>
        <v>-1330.7175000000011</v>
      </c>
      <c r="U8" s="31">
        <f t="shared" si="8"/>
        <v>-12.834706558679791</v>
      </c>
    </row>
    <row r="9" spans="2:21" ht="18" customHeight="1">
      <c r="B9" s="32" t="str">
        <f>'Data Entry'!A9</f>
        <v xml:space="preserve">4. Cases Diverted </v>
      </c>
      <c r="C9" s="33">
        <f>'Data Entry'!C9</f>
        <v>1</v>
      </c>
      <c r="D9" s="34">
        <f>IF((AND(C68&gt;0,C9&gt;0)),((C9/C68)),0)</f>
        <v>2.1276595744680851</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1</v>
      </c>
      <c r="Q9" s="42">
        <f>(C$68*L68)-C9</f>
        <v>46</v>
      </c>
      <c r="R9" s="42">
        <f t="shared" si="5"/>
        <v>49</v>
      </c>
      <c r="S9" s="30">
        <f t="shared" si="6"/>
        <v>196</v>
      </c>
      <c r="T9" s="30">
        <f t="shared" si="7"/>
        <v>4512</v>
      </c>
      <c r="U9" s="31">
        <f t="shared" si="8"/>
        <v>4.3439716312056738E-2</v>
      </c>
    </row>
    <row r="10" spans="2:21" ht="18" customHeight="1">
      <c r="B10" s="32" t="str">
        <f>'Data Entry'!A10</f>
        <v>5. Cases Involving Secure Detention</v>
      </c>
      <c r="C10" s="33">
        <f>'Data Entry'!C10</f>
        <v>1</v>
      </c>
      <c r="D10" s="34">
        <f>IF(((AND(C68&gt;0,C10&gt;0))),(C10/(C68)),0)</f>
        <v>2.1276595744680851</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1</v>
      </c>
      <c r="Q10" s="42">
        <f>(C$68*L68)-C10</f>
        <v>46</v>
      </c>
      <c r="R10" s="42">
        <f t="shared" si="5"/>
        <v>49</v>
      </c>
      <c r="S10" s="30">
        <f t="shared" si="6"/>
        <v>196</v>
      </c>
      <c r="T10" s="30">
        <f t="shared" si="7"/>
        <v>4512</v>
      </c>
      <c r="U10" s="31">
        <f t="shared" si="8"/>
        <v>4.3439716312056738E-2</v>
      </c>
    </row>
    <row r="11" spans="2:21" ht="18" customHeight="1">
      <c r="B11" s="32" t="str">
        <f>'Data Entry'!A11</f>
        <v>6. Cases Petitioned (Charge Filed)</v>
      </c>
      <c r="C11" s="33">
        <f>'Data Entry'!C11</f>
        <v>19</v>
      </c>
      <c r="D11" s="34">
        <f>IF(((AND(C68&gt;0,C11&gt;0))),(C11/(C68)),0)</f>
        <v>40.425531914893618</v>
      </c>
      <c r="E11" s="33">
        <f>'Data Entry'!E11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0</v>
      </c>
      <c r="P11" s="42">
        <f t="shared" si="4"/>
        <v>19</v>
      </c>
      <c r="Q11" s="42">
        <f>(C$68*L68)-C11</f>
        <v>28</v>
      </c>
      <c r="R11" s="42">
        <f t="shared" si="5"/>
        <v>49</v>
      </c>
      <c r="S11" s="30">
        <f t="shared" si="6"/>
        <v>153664</v>
      </c>
      <c r="T11" s="30">
        <f t="shared" si="7"/>
        <v>55272</v>
      </c>
      <c r="U11" s="31">
        <f t="shared" si="8"/>
        <v>2.7801418439716312</v>
      </c>
    </row>
    <row r="12" spans="2:21" ht="18" customHeight="1">
      <c r="B12" s="32" t="str">
        <f>'Data Entry'!A12</f>
        <v>7. Cases Resulting in Delinquent Findings</v>
      </c>
      <c r="C12" s="33">
        <f>'Data Entry'!C12</f>
        <v>12</v>
      </c>
      <c r="D12" s="34">
        <f>IF(((AND(C69&gt;0,C12&gt;0))),(C12/(C69)),0)</f>
        <v>63.157894736842103</v>
      </c>
      <c r="E12" s="33">
        <f>'Data Entry'!E12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2</v>
      </c>
      <c r="P12" s="42">
        <f t="shared" si="4"/>
        <v>12</v>
      </c>
      <c r="Q12" s="42">
        <f>(C69*L69)-C12</f>
        <v>7</v>
      </c>
      <c r="R12" s="42">
        <f t="shared" si="5"/>
        <v>21</v>
      </c>
      <c r="S12" s="30">
        <f t="shared" si="6"/>
        <v>12096</v>
      </c>
      <c r="T12" s="30">
        <f t="shared" si="7"/>
        <v>4104</v>
      </c>
      <c r="U12" s="31">
        <f t="shared" si="8"/>
        <v>2.9473684210526314</v>
      </c>
    </row>
    <row r="13" spans="2:21" ht="18" customHeight="1">
      <c r="B13" s="32" t="str">
        <f>'Data Entry'!A13</f>
        <v>8. Cases Resulting in Probation Placement</v>
      </c>
      <c r="C13" s="33">
        <f>'Data Entry'!C13</f>
        <v>19</v>
      </c>
      <c r="D13" s="34">
        <f>IF(((AND(C70&gt;0,C13&gt;0))),(C13/(C70)),0)</f>
        <v>158.33333333333334</v>
      </c>
      <c r="E13" s="33">
        <f>'Data Entry'!E13</f>
        <v>2</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2</v>
      </c>
      <c r="O13" s="42">
        <f>(D70*L70)-E13</f>
        <v>-2</v>
      </c>
      <c r="P13" s="42">
        <f t="shared" si="4"/>
        <v>19</v>
      </c>
      <c r="Q13" s="42">
        <f>(C70*L70)-C13</f>
        <v>-7</v>
      </c>
      <c r="R13" s="42">
        <f t="shared" si="5"/>
        <v>12</v>
      </c>
      <c r="S13" s="30">
        <f t="shared" si="6"/>
        <v>6912</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19</v>
      </c>
      <c r="R15" s="42">
        <f t="shared" si="5"/>
        <v>21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1.8169999999999999</v>
      </c>
      <c r="D42" s="56">
        <f>E6/1000</f>
        <v>0.17100000000000001</v>
      </c>
      <c r="E42" s="56">
        <f>MAX(C42:D42)</f>
        <v>1.8169999999999999</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0.47</v>
      </c>
      <c r="D44" s="56">
        <f>E8/100</f>
        <v>0.02</v>
      </c>
      <c r="E44" s="56">
        <f>MAX(C44:D44,0)</f>
        <v>0.47</v>
      </c>
      <c r="G44" s="1" t="str">
        <f>B44</f>
        <v>per 100 referrals</v>
      </c>
      <c r="L44" s="57">
        <v>100</v>
      </c>
      <c r="M44" s="57"/>
      <c r="R44" s="49"/>
    </row>
    <row r="45" spans="2:18" ht="15" hidden="1" customHeight="1">
      <c r="B45" s="49" t="s">
        <v>89</v>
      </c>
      <c r="C45" s="49">
        <f>C11/100</f>
        <v>0.19</v>
      </c>
      <c r="D45" s="49">
        <f>E11/100</f>
        <v>0.02</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1.8169999999999999</v>
      </c>
      <c r="D48" s="56">
        <f>D42</f>
        <v>0.17100000000000001</v>
      </c>
      <c r="E48" s="56">
        <f>MAX(C48:D48)</f>
        <v>1.8169999999999999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0.02</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0.02</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1.8169999999999999</v>
      </c>
      <c r="D54" s="56">
        <f>D48</f>
        <v>0.17100000000000001</v>
      </c>
      <c r="E54" s="56">
        <f>MAX(C54:D54)</f>
        <v>1.8169999999999999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0.47</v>
      </c>
      <c r="D56" s="49">
        <f t="shared" si="10"/>
        <v>0.02</v>
      </c>
      <c r="E56" s="49">
        <f>MAX(C56:D56)</f>
        <v>0.47</v>
      </c>
      <c r="G56" s="1" t="str">
        <f>G50</f>
        <v>per 100 referrals</v>
      </c>
      <c r="L56" s="58">
        <f>IF(($E50&gt;0),L50,L49)</f>
        <v>100</v>
      </c>
      <c r="M56" s="58"/>
    </row>
    <row r="57" spans="2:18" ht="15" hidden="1" customHeight="1">
      <c r="B57" s="49" t="str">
        <f>IF(($E51&gt;0),B51,B49)</f>
        <v>per 100 youth petitioned</v>
      </c>
      <c r="C57" s="49">
        <f>IF(($E51&gt;0),C51,C50)</f>
        <v>0.19</v>
      </c>
      <c r="D57" s="49">
        <f>IF(($E51&gt;0),D51,D50)</f>
        <v>0.02</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1.8169999999999999</v>
      </c>
      <c r="D60" s="56">
        <f>D54</f>
        <v>0.17100000000000001</v>
      </c>
      <c r="E60" s="56">
        <f>MAX(C60:D60)</f>
        <v>1.8169999999999999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0.47</v>
      </c>
      <c r="D62" s="49">
        <f t="shared" si="11"/>
        <v>0.02</v>
      </c>
      <c r="E62" s="49">
        <f>MAX(C62:D62)</f>
        <v>0.47</v>
      </c>
      <c r="G62" s="1" t="str">
        <f>G56</f>
        <v>per 100 referrals</v>
      </c>
      <c r="L62" s="58">
        <f>IF(($E56&gt;0),L56,L55)</f>
        <v>100</v>
      </c>
      <c r="M62" s="58"/>
    </row>
    <row r="63" spans="2:18" ht="15" hidden="1" customHeight="1">
      <c r="B63" s="49" t="str">
        <f>IF(($E57&gt;0),B57,B55)</f>
        <v>per 100 youth petitioned</v>
      </c>
      <c r="C63" s="49">
        <f>IF(($E57&gt;0),C57,C56)</f>
        <v>0.19</v>
      </c>
      <c r="D63" s="49">
        <f>IF(($E57&gt;0),D57,D56)</f>
        <v>0.02</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1.8169999999999999</v>
      </c>
      <c r="D66" s="56">
        <f>D60</f>
        <v>0.17100000000000001</v>
      </c>
      <c r="E66" s="56">
        <f>MAX(C66:D66)</f>
        <v>1.8169999999999999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0.47</v>
      </c>
      <c r="D68" s="49">
        <f t="shared" si="12"/>
        <v>0.02</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0.02</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9.3560814529444141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1800</v>
      </c>
      <c r="R7" s="42">
        <f t="shared" ref="R7:R15" si="5">SUM(N7:Q7)</f>
        <v>1817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47</v>
      </c>
      <c r="D8" s="34">
        <f>IF((AND(C67&gt;0,C8&gt;0)),(C8/C67),0)</f>
        <v>276.47058823529409</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47</v>
      </c>
      <c r="Q8" s="42">
        <f>(C$67*L67)-C8</f>
        <v>-30</v>
      </c>
      <c r="R8" s="42">
        <f t="shared" si="5"/>
        <v>17.049999999999997</v>
      </c>
      <c r="S8" s="30">
        <f t="shared" si="6"/>
        <v>94.158625000000001</v>
      </c>
      <c r="T8" s="30">
        <f t="shared" si="7"/>
        <v>-1196.5025000000001</v>
      </c>
      <c r="U8" s="31">
        <f t="shared" si="8"/>
        <v>-7.8694883629578702E-2</v>
      </c>
    </row>
    <row r="9" spans="2:21" ht="18" customHeight="1">
      <c r="B9" s="32" t="str">
        <f>'Data Entry'!A9</f>
        <v xml:space="preserve">4. Cases Diverted </v>
      </c>
      <c r="C9" s="33">
        <f>'Data Entry'!C9</f>
        <v>1</v>
      </c>
      <c r="D9" s="34">
        <f>IF((AND(C68&gt;0,C9&gt;0)),((C9/C68)),0)</f>
        <v>2.1276595744680851</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46</v>
      </c>
      <c r="R9" s="42">
        <f t="shared" si="5"/>
        <v>47</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2.1276595744680851</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46</v>
      </c>
      <c r="R10" s="42">
        <f t="shared" si="5"/>
        <v>47</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40.425531914893618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28</v>
      </c>
      <c r="R11" s="42">
        <f t="shared" si="5"/>
        <v>47</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63.157894736842103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7</v>
      </c>
      <c r="R12" s="42">
        <f t="shared" si="5"/>
        <v>19</v>
      </c>
      <c r="S12" s="30">
        <f t="shared" si="6"/>
        <v>0</v>
      </c>
      <c r="T12" s="30">
        <f t="shared" si="7"/>
        <v>0</v>
      </c>
      <c r="U12" s="31" t="str">
        <f t="shared" si="8"/>
        <v>- -</v>
      </c>
    </row>
    <row r="13" spans="2:21" ht="18" customHeight="1">
      <c r="B13" s="32" t="str">
        <f>'Data Entry'!A13</f>
        <v>8. Cases Resulting in Probation Placement</v>
      </c>
      <c r="C13" s="33">
        <f>'Data Entry'!C13</f>
        <v>19</v>
      </c>
      <c r="D13" s="34">
        <f>IF(((AND(C70&gt;0,C13&gt;0))),(C13/(C70)),0)</f>
        <v>158.33333333333334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19</v>
      </c>
      <c r="Q13" s="42">
        <f>(C70*L70)-C13</f>
        <v>-7</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1.8169999999999999</v>
      </c>
      <c r="D42" s="56">
        <f>E6/1000</f>
        <v>0</v>
      </c>
      <c r="E42" s="56">
        <f>MAX(C42:D42)</f>
        <v>1.8169999999999999</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0.47</v>
      </c>
      <c r="D44" s="56">
        <f>E8/100</f>
        <v>0</v>
      </c>
      <c r="E44" s="56">
        <f>MAX(C44:D44,0)</f>
        <v>0.47</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1.8169999999999999</v>
      </c>
      <c r="D48" s="56">
        <f>D42</f>
        <v>0</v>
      </c>
      <c r="E48" s="56">
        <f>MAX(C48:D48)</f>
        <v>1.8169999999999999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1.8169999999999999</v>
      </c>
      <c r="D54" s="56">
        <f>D48</f>
        <v>0</v>
      </c>
      <c r="E54" s="56">
        <f>MAX(C54:D54)</f>
        <v>1.8169999999999999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0.47</v>
      </c>
      <c r="D56" s="49">
        <f t="shared" si="10"/>
        <v>0</v>
      </c>
      <c r="E56" s="49">
        <f>MAX(C56:D56)</f>
        <v>0.47</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1.8169999999999999</v>
      </c>
      <c r="D60" s="56">
        <f>D54</f>
        <v>0</v>
      </c>
      <c r="E60" s="56">
        <f>MAX(C60:D60)</f>
        <v>1.8169999999999999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0.47</v>
      </c>
      <c r="D62" s="49">
        <f t="shared" si="11"/>
        <v>0</v>
      </c>
      <c r="E62" s="49">
        <f>MAX(C62:D62)</f>
        <v>0.47</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1.8169999999999999</v>
      </c>
      <c r="D66" s="56">
        <f>D60</f>
        <v>0</v>
      </c>
      <c r="E66" s="56">
        <f>MAX(C66:D66)</f>
        <v>1.8169999999999999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0.47</v>
      </c>
      <c r="D68" s="49">
        <f t="shared" si="12"/>
        <v>0</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Manistee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1817</v>
      </c>
      <c r="D6" s="34"/>
      <c r="E6" s="33">
        <f>'Data Entry'!H6</f>
        <v>66</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9.3560814529444141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66</v>
      </c>
      <c r="P7" s="42">
        <f t="shared" ref="P7:P15" si="4">C7</f>
        <v>17</v>
      </c>
      <c r="Q7" s="42">
        <f>C6-C7</f>
        <v>1800</v>
      </c>
      <c r="R7" s="42">
        <f t="shared" ref="R7:R15" si="5">SUM(N7:Q7)</f>
        <v>1883</v>
      </c>
      <c r="S7" s="30">
        <f t="shared" ref="S7:S15" si="6">R7*((((N7*Q7)-(O7*P7))^2))</f>
        <v>2370478572</v>
      </c>
      <c r="T7" s="30">
        <f t="shared" ref="T7:T15" si="7">(N7+O7)*(P7+Q7)*(N7+P7)*(O7+Q7)</f>
        <v>3804165684</v>
      </c>
      <c r="U7" s="31">
        <f t="shared" ref="U7:U15" si="8">IF((S7&gt;0),S7/T7,"- -")</f>
        <v>0.62312705831137505</v>
      </c>
    </row>
    <row r="8" spans="2:21" ht="18" customHeight="1">
      <c r="B8" s="32" t="str">
        <f>'Data Entry'!A8</f>
        <v>3. Refer to Juvenile Court</v>
      </c>
      <c r="C8" s="33">
        <f>'Data Entry'!C8</f>
        <v>47</v>
      </c>
      <c r="D8" s="34">
        <f>IF((AND(C67&gt;0,C8&gt;0)),(C8/C67),0)</f>
        <v>276.47058823529409</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47</v>
      </c>
      <c r="Q8" s="42">
        <f>(C$67*L67)-C8</f>
        <v>-30</v>
      </c>
      <c r="R8" s="42">
        <f t="shared" si="5"/>
        <v>17.049999999999997</v>
      </c>
      <c r="S8" s="30">
        <f t="shared" si="6"/>
        <v>94.158625000000001</v>
      </c>
      <c r="T8" s="30">
        <f t="shared" si="7"/>
        <v>-1196.5025000000001</v>
      </c>
      <c r="U8" s="31">
        <f t="shared" si="8"/>
        <v>-7.8694883629578702E-2</v>
      </c>
    </row>
    <row r="9" spans="2:21" ht="18" customHeight="1">
      <c r="B9" s="32" t="str">
        <f>'Data Entry'!A9</f>
        <v xml:space="preserve">4. Cases Diverted </v>
      </c>
      <c r="C9" s="33">
        <f>'Data Entry'!C9</f>
        <v>1</v>
      </c>
      <c r="D9" s="34">
        <f>IF((AND(C68&gt;0,C9&gt;0)),((C9/C68)),0)</f>
        <v>2.1276595744680851</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46</v>
      </c>
      <c r="R9" s="42">
        <f t="shared" si="5"/>
        <v>47</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2.1276595744680851</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46</v>
      </c>
      <c r="R10" s="42">
        <f t="shared" si="5"/>
        <v>47</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40.425531914893618</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28</v>
      </c>
      <c r="R11" s="42">
        <f t="shared" si="5"/>
        <v>47</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63.157894736842103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7</v>
      </c>
      <c r="R12" s="42">
        <f t="shared" si="5"/>
        <v>19</v>
      </c>
      <c r="S12" s="30">
        <f t="shared" si="6"/>
        <v>0</v>
      </c>
      <c r="T12" s="30">
        <f t="shared" si="7"/>
        <v>0</v>
      </c>
      <c r="U12" s="31" t="str">
        <f t="shared" si="8"/>
        <v>- -</v>
      </c>
    </row>
    <row r="13" spans="2:21" ht="18" customHeight="1">
      <c r="B13" s="32" t="str">
        <f>'Data Entry'!A13</f>
        <v>8. Cases Resulting in Probation Placement</v>
      </c>
      <c r="C13" s="33">
        <f>'Data Entry'!C13</f>
        <v>19</v>
      </c>
      <c r="D13" s="34">
        <f>IF(((AND(C70&gt;0,C13&gt;0))),(C13/(C70)),0)</f>
        <v>158.33333333333334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19</v>
      </c>
      <c r="Q13" s="42">
        <f>(C70*L70)-C13</f>
        <v>-7</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1.8169999999999999</v>
      </c>
      <c r="D42" s="56">
        <f>E6/1000</f>
        <v>6.6000000000000003E-2</v>
      </c>
      <c r="E42" s="56">
        <f>MAX(C42:D42)</f>
        <v>1.8169999999999999</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0.47</v>
      </c>
      <c r="D44" s="56">
        <f>E8/100</f>
        <v>0</v>
      </c>
      <c r="E44" s="56">
        <f>MAX(C44:D44,0)</f>
        <v>0.47</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1.8169999999999999</v>
      </c>
      <c r="D48" s="56">
        <f>D42</f>
        <v>6.6000000000000003E-2</v>
      </c>
      <c r="E48" s="56">
        <f>MAX(C48:D48)</f>
        <v>1.8169999999999999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0.47</v>
      </c>
      <c r="D50" s="49">
        <f t="shared" si="9"/>
        <v>0</v>
      </c>
      <c r="E50" s="49">
        <f>MAX(C50:D50)</f>
        <v>0.47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1.8169999999999999</v>
      </c>
      <c r="D54" s="56">
        <f>D48</f>
        <v>6.6000000000000003E-2</v>
      </c>
      <c r="E54" s="56">
        <f>MAX(C54:D54)</f>
        <v>1.8169999999999999</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0.47</v>
      </c>
      <c r="D56" s="49">
        <f t="shared" si="10"/>
        <v>0</v>
      </c>
      <c r="E56" s="49">
        <f>MAX(C56:D56)</f>
        <v>0.47</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1.8169999999999999</v>
      </c>
      <c r="D60" s="56">
        <f>D54</f>
        <v>6.6000000000000003E-2</v>
      </c>
      <c r="E60" s="56">
        <f>MAX(C60:D60)</f>
        <v>1.8169999999999999</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0.47</v>
      </c>
      <c r="D62" s="49">
        <f t="shared" si="11"/>
        <v>0</v>
      </c>
      <c r="E62" s="49">
        <f>MAX(C62:D62)</f>
        <v>0.47</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1.8169999999999999</v>
      </c>
      <c r="D66" s="56">
        <f>D60</f>
        <v>6.6000000000000003E-2</v>
      </c>
      <c r="E66" s="56">
        <f>MAX(C66:D66)</f>
        <v>1.8169999999999999</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0.47</v>
      </c>
      <c r="D68" s="49">
        <f t="shared" si="12"/>
        <v>0</v>
      </c>
      <c r="E68" s="49">
        <f>MAX(C68:D68)</f>
        <v>0.47</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U47JMPN4QEAR-1806752177-30479</_dlc_DocId>
    <_dlc_DocIdUrl xmlns="ac3811b5-0f3e-49e2-ba69-f2ffa0c782af">
      <Url>https://michiganphi.sharepoint.com/sites/CMDMC/_layouts/15/DocIdRedir.aspx?ID=U47JMPN4QEAR-1806752177-30479</Url>
      <Description>U47JMPN4QEAR-1806752177-30479</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3D2A8DF-A6B7-4DD3-B63C-385E27051FF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C189DC92-5860-41C2-9AE4-655568A44131}"/>
</file>

<file path=customXml/itemProps3.xml><?xml version="1.0" encoding="utf-8"?>
<ds:datastoreItem xmlns:ds="http://schemas.openxmlformats.org/officeDocument/2006/customXml" ds:itemID="{70B01A81-B422-40F2-97A2-9B4BA0FA4588}">
  <ds:schemaRefs>
    <ds:schemaRef ds:uri="http://schemas.microsoft.com/sharepoint/v3/contenttype/forms"/>
  </ds:schemaRefs>
</ds:datastoreItem>
</file>

<file path=customXml/itemProps4.xml><?xml version="1.0" encoding="utf-8"?>
<ds:datastoreItem xmlns:ds="http://schemas.openxmlformats.org/officeDocument/2006/customXml" ds:itemID="{EBD46CDF-81D0-429C-BAB1-DB5F0D96A3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4309e2e8-6ec3-494f-969d-316a3c5d5de0</vt:lpwstr>
  </property>
</Properties>
</file>