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BE4B6F53-D0AD-4124-BE68-FA230DBEE763}"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5"/>
  <c r="M66" i="5"/>
  <c r="F27" i="4"/>
  <c r="M66" i="4"/>
  <c r="F27" i="8"/>
  <c r="M66"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D64" i="5" l="1"/>
  <c r="L64" i="3"/>
  <c r="B56" i="8"/>
  <c r="C57" i="8"/>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E64"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69" i="7"/>
  <c r="D63" i="8"/>
  <c r="D70" i="6"/>
  <c r="F13" i="6" s="1"/>
  <c r="C69" i="7"/>
  <c r="D12" i="7" s="1"/>
  <c r="C63" i="8"/>
  <c r="E63" i="3"/>
  <c r="C69" i="3" s="1"/>
  <c r="D15" i="3"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E69" i="7"/>
  <c r="O13" i="6"/>
  <c r="D15" i="7"/>
  <c r="B69" i="6"/>
  <c r="M69" i="6" s="1"/>
  <c r="Q15" i="7"/>
  <c r="O14" i="6"/>
  <c r="F14" i="6"/>
  <c r="E70" i="6"/>
  <c r="E63" i="8"/>
  <c r="D69" i="8" s="1"/>
  <c r="F15" i="8" s="1"/>
  <c r="L69" i="3"/>
  <c r="Q12" i="3" s="1"/>
  <c r="D13" i="6"/>
  <c r="Q13" i="8"/>
  <c r="F14" i="3"/>
  <c r="O13" i="3"/>
  <c r="D13" i="3"/>
  <c r="D12" i="3"/>
  <c r="D69" i="3"/>
  <c r="E69" i="3" s="1"/>
  <c r="Q12" i="7"/>
  <c r="E70" i="3"/>
  <c r="B69" i="3"/>
  <c r="M69" i="3" s="1"/>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4" i="4" l="1"/>
  <c r="J14" i="4" s="1"/>
  <c r="U10" i="4"/>
  <c r="J10" i="4" s="1"/>
  <c r="M10" i="4" s="1"/>
  <c r="G10" i="4" s="1"/>
  <c r="G11" i="16" s="1"/>
  <c r="F12" i="8"/>
  <c r="T13" i="6"/>
  <c r="F32" i="3"/>
  <c r="F32" i="6"/>
  <c r="U13" i="4"/>
  <c r="J13" i="4" s="1"/>
  <c r="M13" i="4" s="1"/>
  <c r="G13" i="4" s="1"/>
  <c r="G14" i="16" s="1"/>
  <c r="F35" i="6"/>
  <c r="R14" i="3"/>
  <c r="S14" i="3" s="1"/>
  <c r="U14" i="3" s="1"/>
  <c r="J14" i="3" s="1"/>
  <c r="M14" i="3" s="1"/>
  <c r="G14" i="3" s="1"/>
  <c r="I15" i="16" s="1"/>
  <c r="B69" i="8"/>
  <c r="M69" i="8" s="1"/>
  <c r="K14" i="6"/>
  <c r="F15" i="3"/>
  <c r="O12" i="3"/>
  <c r="R12" i="3" s="1"/>
  <c r="S12" i="3" s="1"/>
  <c r="U12" i="3" s="1"/>
  <c r="J12" i="3" s="1"/>
  <c r="T15" i="7"/>
  <c r="F35" i="3"/>
  <c r="R13" i="8"/>
  <c r="S13" i="8" s="1"/>
  <c r="C69" i="8"/>
  <c r="D15" i="8" s="1"/>
  <c r="L69" i="8"/>
  <c r="O15" i="8" s="1"/>
  <c r="R14" i="6"/>
  <c r="S14" i="6" s="1"/>
  <c r="U14" i="6" s="1"/>
  <c r="J14" i="6" s="1"/>
  <c r="M14" i="6" s="1"/>
  <c r="G14" i="6" s="1"/>
  <c r="M15" i="13" s="1"/>
  <c r="O15" i="3"/>
  <c r="K15" i="3" s="1"/>
  <c r="D15" i="6"/>
  <c r="F12" i="3"/>
  <c r="R12" i="7"/>
  <c r="S12" i="7" s="1"/>
  <c r="U12" i="7" s="1"/>
  <c r="J12" i="7" s="1"/>
  <c r="M12" i="7" s="1"/>
  <c r="T12" i="7"/>
  <c r="K13" i="3"/>
  <c r="K12" i="7"/>
  <c r="T14" i="6"/>
  <c r="K13" i="6"/>
  <c r="R13" i="6"/>
  <c r="S13" i="6" s="1"/>
  <c r="R14" i="8"/>
  <c r="S14" i="8" s="1"/>
  <c r="O12" i="6"/>
  <c r="R15" i="7"/>
  <c r="S15" i="7" s="1"/>
  <c r="U15" i="7" s="1"/>
  <c r="J15" i="7"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T15" i="3"/>
  <c r="N30" i="5"/>
  <c r="L14" i="5"/>
  <c r="Q15" i="16" s="1"/>
  <c r="L13" i="5"/>
  <c r="Q14" i="16" s="1"/>
  <c r="K13" i="7"/>
  <c r="T8" i="2"/>
  <c r="U8" i="2" s="1"/>
  <c r="J8" i="2" s="1"/>
  <c r="M11" i="4"/>
  <c r="G11" i="4" s="1"/>
  <c r="T14" i="7"/>
  <c r="U14" i="7" s="1"/>
  <c r="J14" i="7" s="1"/>
  <c r="K14" i="7"/>
  <c r="N30" i="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7" l="1"/>
  <c r="J13" i="7" s="1"/>
  <c r="M13" i="7" s="1"/>
  <c r="U13" i="6"/>
  <c r="J13" i="6" s="1"/>
  <c r="M13" i="6" s="1"/>
  <c r="G13" i="6" s="1"/>
  <c r="G13" i="9" s="1"/>
  <c r="I15" i="13"/>
  <c r="E14" i="9"/>
  <c r="D12" i="8"/>
  <c r="D10" i="9"/>
  <c r="L10" i="4"/>
  <c r="O11" i="16" s="1"/>
  <c r="G11" i="13"/>
  <c r="L13" i="4"/>
  <c r="O14" i="16" s="1"/>
  <c r="R15" i="3"/>
  <c r="S15" i="3" s="1"/>
  <c r="U15" i="3" s="1"/>
  <c r="J15" i="3" s="1"/>
  <c r="M15" i="3" s="1"/>
  <c r="G15" i="3" s="1"/>
  <c r="I16" i="16" s="1"/>
  <c r="E69" i="8"/>
  <c r="F32" i="8"/>
  <c r="F35" i="8"/>
  <c r="L14" i="3"/>
  <c r="P15" i="16" s="1"/>
  <c r="K12" i="3"/>
  <c r="L12" i="3" s="1"/>
  <c r="P13" i="16" s="1"/>
  <c r="T12" i="3"/>
  <c r="U13" i="8"/>
  <c r="J13" i="8" s="1"/>
  <c r="M13" i="8" s="1"/>
  <c r="G13" i="8" s="1"/>
  <c r="K14" i="16" s="1"/>
  <c r="L12" i="7"/>
  <c r="S13" i="16" s="1"/>
  <c r="Q15" i="8"/>
  <c r="R15" i="8" s="1"/>
  <c r="S15" i="8" s="1"/>
  <c r="U15" i="8" s="1"/>
  <c r="J15" i="8" s="1"/>
  <c r="Q12" i="8"/>
  <c r="U14" i="8"/>
  <c r="J14" i="8" s="1"/>
  <c r="N30" i="8" s="1"/>
  <c r="O12" i="8"/>
  <c r="K15" i="6"/>
  <c r="L15" i="7"/>
  <c r="S16" i="16" s="1"/>
  <c r="T12" i="6"/>
  <c r="L13" i="6"/>
  <c r="R14" i="16" s="1"/>
  <c r="M14" i="13"/>
  <c r="L13" i="3"/>
  <c r="P14" i="16" s="1"/>
  <c r="K12" i="6"/>
  <c r="R12" i="6"/>
  <c r="S12" i="6" s="1"/>
  <c r="M15" i="7"/>
  <c r="R15" i="6"/>
  <c r="S15" i="6" s="1"/>
  <c r="U15" i="6" s="1"/>
  <c r="J15" i="6" s="1"/>
  <c r="T15" i="6"/>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E15" i="9"/>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Y16" i="13" l="1"/>
  <c r="Y13" i="13"/>
  <c r="I16" i="13"/>
  <c r="L15" i="3"/>
  <c r="P16" i="16" s="1"/>
  <c r="Q12" i="9"/>
  <c r="M13" i="9"/>
  <c r="U11" i="7"/>
  <c r="J11" i="7" s="1"/>
  <c r="U14" i="13"/>
  <c r="U11" i="13"/>
  <c r="K15" i="8"/>
  <c r="L15" i="8" s="1"/>
  <c r="T16" i="16" s="1"/>
  <c r="T15" i="8"/>
  <c r="V15" i="13"/>
  <c r="N14" i="9"/>
  <c r="Q15" i="9"/>
  <c r="U12" i="6"/>
  <c r="J12" i="6" s="1"/>
  <c r="M12" i="6" s="1"/>
  <c r="G12" i="6" s="1"/>
  <c r="L13" i="8"/>
  <c r="T14" i="16" s="1"/>
  <c r="L15" i="6"/>
  <c r="R16" i="16" s="1"/>
  <c r="M14" i="8"/>
  <c r="G14" i="8" s="1"/>
  <c r="K15" i="16" s="1"/>
  <c r="T12" i="8"/>
  <c r="K12" i="8"/>
  <c r="L14" i="8"/>
  <c r="T15" i="16" s="1"/>
  <c r="R12" i="8"/>
  <c r="S12" i="8" s="1"/>
  <c r="X14" i="13"/>
  <c r="P13" i="9"/>
  <c r="I13" i="9"/>
  <c r="Q14" i="13"/>
  <c r="U14" i="2"/>
  <c r="J14" i="2" s="1"/>
  <c r="M14" i="2" s="1"/>
  <c r="G14" i="2" s="1"/>
  <c r="E15" i="16" s="1"/>
  <c r="U13" i="2"/>
  <c r="J13" i="2" s="1"/>
  <c r="M13" i="2" s="1"/>
  <c r="G13" i="2" s="1"/>
  <c r="E14" i="16" s="1"/>
  <c r="V14" i="13"/>
  <c r="N13" i="9"/>
  <c r="M15" i="6"/>
  <c r="G15" i="6" s="1"/>
  <c r="G15" i="9" s="1"/>
  <c r="L8" i="6"/>
  <c r="R9" i="16" s="1"/>
  <c r="L10" i="7"/>
  <c r="S11" i="16" s="1"/>
  <c r="X16" i="13"/>
  <c r="L15" i="5"/>
  <c r="Q16" i="16" s="1"/>
  <c r="T9" i="13"/>
  <c r="L8" i="9"/>
  <c r="X15" i="13"/>
  <c r="P14" i="9"/>
  <c r="G8" i="9"/>
  <c r="Q14" i="9"/>
  <c r="Y15" i="13"/>
  <c r="Y14" i="13"/>
  <c r="E9" i="13"/>
  <c r="Q13" i="9"/>
  <c r="L10" i="2"/>
  <c r="N11" i="16" s="1"/>
  <c r="M10" i="7"/>
  <c r="L11" i="6"/>
  <c r="R12" i="16" s="1"/>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V16" i="13" l="1"/>
  <c r="Z14" i="13"/>
  <c r="R13" i="9"/>
  <c r="Q15" i="13"/>
  <c r="G12" i="9"/>
  <c r="M13" i="13"/>
  <c r="L12" i="6"/>
  <c r="U12" i="8"/>
  <c r="J12" i="8" s="1"/>
  <c r="L12" i="8" s="1"/>
  <c r="I14" i="9"/>
  <c r="P15" i="9"/>
  <c r="M16" i="13"/>
  <c r="R14" i="9"/>
  <c r="Z15" i="13"/>
  <c r="E15" i="13"/>
  <c r="L13" i="2"/>
  <c r="N14" i="16" s="1"/>
  <c r="E14" i="13"/>
  <c r="C14" i="9"/>
  <c r="L14" i="2"/>
  <c r="N15" i="16" s="1"/>
  <c r="N30" i="2"/>
  <c r="C13"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M12" i="8" l="1"/>
  <c r="G12" i="8" s="1"/>
  <c r="K13" i="16" s="1"/>
  <c r="T13" i="16"/>
  <c r="R12" i="9"/>
  <c r="Z13" i="13"/>
  <c r="R13" i="16"/>
  <c r="X13" i="13"/>
  <c r="P12" i="9"/>
  <c r="T14" i="13"/>
  <c r="L13" i="9"/>
  <c r="L14" i="9"/>
  <c r="T15"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<sst xmlns="http://schemas.openxmlformats.org/spreadsheetml/2006/main" count="654" uniqueCount="141">
  <si>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</si>
  <si>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</si>
  <si>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</si>
  <si>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</si>
  <si>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</si>
  <si>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</si>
  <si>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</si>
  <si>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</si>
  <si>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</si>
  <si>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</si>
  <si>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</si>
  <si>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</si>
  <si>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</si>
  <si>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</si>
  <si>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</si>
  <si>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</si>
  <si>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</si>
  <si>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</si>
  <si>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</si>
  <si>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</si>
  <si>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</si>
  <si>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</si>
  <si>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</si>
  <si>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</si>
  <si>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</si>
  <si>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</si>
  <si>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</si>
  <si>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</si>
  <si>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</si>
  <si>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</si>
  <si>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</si>
  <si>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</si>
  <si>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</si>
  <si>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</si>
  <si>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</si>
  <si>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</si>
  <si>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</si>
  <si>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</si>
  <si>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</si>
  <si>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</si>
  <si>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</si>
  <si>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</si>
  <si>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</si>
  <si>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</si>
  <si>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</si>
  <si>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</si>
  <si>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</si>
  <si>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</si>
  <si>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</si>
  <si>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</si>
  <si>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</si>
  <si>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</si>
  <si>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</si>
  <si>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</si>
  <si>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</si>
  <si>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</si>
  <si>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</si>
  <si>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</si>
  <si>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</si>
  <si>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</si>
  <si>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</si>
  <si>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</si>
  <si>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</si>
  <si>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</si>
  <si>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</si>
  <si>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</si>
  <si>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</si>
  <si>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</si>
  <si>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</si>
  <si>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</si>
  <si>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</si>
  <si>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</si>
  <si>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</si>
  <si>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</si>
  <si>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</si>
  <si>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</si>
  <si>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</si>
  <si>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</si>
  <si>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</si>
  <si>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</si>
  <si>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</si>
  <si>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</si>
  <si>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</si>
  <si>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</si>
  <si>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</si>
  <si>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</si>
  <si>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</si>
  <si>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</si>
  <si>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</si>
  <si>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</si>
  <si>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</si>
  <si>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</si>
  <si>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</si>
  <si>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</si>
  <si>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</si>
  <si>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</si>
  <si>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</si>
  <si>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</si>
  <si>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</si>
  <si>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</si>
  <si>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</si>
  <si>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</si>
  <si>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</si>
  <si>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</si>
  <si>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</si>
  <si>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</si>
  <si>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</si>
  <si>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</si>
  <si>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</si>
  <si>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</si>
  <si>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</si>
  <si>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</si>
  <si>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</si>
  <si>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</si>
  <si>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</si>
  <si>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</si>
  <si>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</si>
  <si>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</si>
  <si>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</si>
  <si>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</si>
  <si>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</si>
  <si>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</si>
  <si>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</si>
  <si>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</si>
  <si>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</si>
  <si>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</si>
  <si>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</si>
  <si>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</si>
  <si>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</si>
  <si>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</si>
  <si>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</si>
  <si>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</si>
  <si>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</si>
  <si>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</si>
  <si>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</si>
  <si>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</si>
  <si>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</si>
  <si>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Manistee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</si>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</sst>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Manistee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N=4</c:v>
                </c:pt>
                <c:pt idx="3">
                  <c:v>Petitions, total N=8</c:v>
                </c:pt>
                <c:pt idx="4">
                  <c:v>Detentions, total N=3</c:v>
                </c:pt>
                <c:pt idx="5">
                  <c:v>Referrals, total N=22</c:v>
                </c:pt>
                <c:pt idx="6">
                  <c:v>Arrests, total N=7</c:v>
                </c:pt>
                <c:pt idx="7">
                  <c:v>Population, total N=1802</c:v>
                </c:pt>
              </c:strCache>
            </c:strRef>
          </c:cat>
          <c:val>
            <c:numRef>
              <c:f>'Stacked 100%'!$B$7:$B$14</c:f>
              <c:numCache>
                <c:formatCode>0%</c:formatCode>
                <c:ptCount val="8"/>
                <c:pt idx="0">
                  <c:v>0</c:v>
                </c:pt>
                <c:pt idx="1">
                  <c:v>0</c:v>
                </c:pt>
                <c:pt idx="2">
                  <c:v>0</c:v>
                </c:pt>
                <c:pt idx="3">
                  <c:v>0</c:v>
                </c:pt>
                <c:pt idx="4">
                  <c:v>0</c:v>
                </c:pt>
                <c:pt idx="5">
                  <c:v>4.5454545454545456E-2</c:v>
                </c:pt>
                <c:pt idx="6">
                  <c:v>0</c:v>
                </c:pt>
                <c:pt idx="7">
                  <c:v>2.3307436182019976E-2</c:v>
                </c:pt>
              </c:numCache>
            </c:numRef>
          </c:val>
          <c:extLst>
            <c:ext xmlns:c16="http://schemas.microsoft.com/office/drawing/2014/chart" uri="{C3380CC4-5D6E-409C-BE32-E72D297353CC}">
              <c16:uniqueId val="{00000000-56EF-4501-8794-15F9E8DB392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N=4</c:v>
                </c:pt>
                <c:pt idx="3">
                  <c:v>Petitions, total N=8</c:v>
                </c:pt>
                <c:pt idx="4">
                  <c:v>Detentions, total N=3</c:v>
                </c:pt>
                <c:pt idx="5">
                  <c:v>Referrals, total N=22</c:v>
                </c:pt>
                <c:pt idx="6">
                  <c:v>Arrests, total N=7</c:v>
                </c:pt>
                <c:pt idx="7">
                  <c:v>Population, total N=1802</c:v>
                </c:pt>
              </c:strCache>
            </c:strRef>
          </c:cat>
          <c:val>
            <c:numRef>
              <c:f>'Stacked 100%'!$C$7:$C$14</c:f>
              <c:numCache>
                <c:formatCode>0%</c:formatCode>
                <c:ptCount val="8"/>
                <c:pt idx="0">
                  <c:v>0</c:v>
                </c:pt>
                <c:pt idx="1">
                  <c:v>0.5</c:v>
                </c:pt>
                <c:pt idx="2">
                  <c:v>0.25</c:v>
                </c:pt>
                <c:pt idx="3">
                  <c:v>0.25</c:v>
                </c:pt>
                <c:pt idx="4">
                  <c:v>1</c:v>
                </c:pt>
                <c:pt idx="5">
                  <c:v>9.0909090909090912E-2</c:v>
                </c:pt>
                <c:pt idx="6">
                  <c:v>0</c:v>
                </c:pt>
                <c:pt idx="7">
                  <c:v>8.324084350721421E-2</c:v>
                </c:pt>
              </c:numCache>
            </c:numRef>
          </c:val>
          <c:extLst>
            <c:ext xmlns:c16="http://schemas.microsoft.com/office/drawing/2014/chart" uri="{C3380CC4-5D6E-409C-BE32-E72D297353CC}">
              <c16:uniqueId val="{00000001-56EF-4501-8794-15F9E8DB392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N=4</c:v>
                </c:pt>
                <c:pt idx="3">
                  <c:v>Petitions, total N=8</c:v>
                </c:pt>
                <c:pt idx="4">
                  <c:v>Detentions, total N=3</c:v>
                </c:pt>
                <c:pt idx="5">
                  <c:v>Referrals, total N=22</c:v>
                </c:pt>
                <c:pt idx="6">
                  <c:v>Arrests, total N=7</c:v>
                </c:pt>
                <c:pt idx="7">
                  <c:v>Population, total N=1802</c:v>
                </c:pt>
              </c:strCache>
            </c:strRef>
          </c:cat>
          <c:val>
            <c:numRef>
              <c:f>'Stacked 100%'!$H$7:$H$14</c:f>
              <c:numCache>
                <c:formatCode>0%</c:formatCode>
                <c:ptCount val="8"/>
                <c:pt idx="0">
                  <c:v>0</c:v>
                </c:pt>
                <c:pt idx="1">
                  <c:v>0</c:v>
                </c:pt>
                <c:pt idx="2">
                  <c:v>0</c:v>
                </c:pt>
                <c:pt idx="3">
                  <c:v>0</c:v>
                </c:pt>
                <c:pt idx="4">
                  <c:v>0</c:v>
                </c:pt>
                <c:pt idx="5">
                  <c:v>4.1322314049586778E-3</c:v>
                </c:pt>
                <c:pt idx="6">
                  <c:v>0</c:v>
                </c:pt>
                <c:pt idx="7">
                  <c:v>2.2788836180295414E-5</c:v>
                </c:pt>
              </c:numCache>
            </c:numRef>
          </c:val>
          <c:extLst>
            <c:ext xmlns:c16="http://schemas.microsoft.com/office/drawing/2014/chart" uri="{C3380CC4-5D6E-409C-BE32-E72D297353CC}">
              <c16:uniqueId val="{00000002-56EF-4501-8794-15F9E8DB392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N=4</c:v>
                </c:pt>
                <c:pt idx="3">
                  <c:v>Petitions, total N=8</c:v>
                </c:pt>
                <c:pt idx="4">
                  <c:v>Detentions, total N=3</c:v>
                </c:pt>
                <c:pt idx="5">
                  <c:v>Referrals, total N=22</c:v>
                </c:pt>
                <c:pt idx="6">
                  <c:v>Arrests, total N=7</c:v>
                </c:pt>
                <c:pt idx="7">
                  <c:v>Population, total N=1802</c:v>
                </c:pt>
              </c:strCache>
            </c:strRef>
          </c:cat>
          <c:val>
            <c:numRef>
              <c:f>'Stacked 100%'!$I$7:$I$14</c:f>
              <c:numCache>
                <c:formatCode>0%</c:formatCode>
                <c:ptCount val="8"/>
                <c:pt idx="0">
                  <c:v>0</c:v>
                </c:pt>
                <c:pt idx="1">
                  <c:v>0.5</c:v>
                </c:pt>
                <c:pt idx="2">
                  <c:v>0.75</c:v>
                </c:pt>
                <c:pt idx="3">
                  <c:v>0.75</c:v>
                </c:pt>
                <c:pt idx="4">
                  <c:v>0</c:v>
                </c:pt>
                <c:pt idx="5">
                  <c:v>0.77272727272727271</c:v>
                </c:pt>
                <c:pt idx="6">
                  <c:v>1</c:v>
                </c:pt>
                <c:pt idx="7">
                  <c:v>0.85238623751387343</c:v>
                </c:pt>
              </c:numCache>
            </c:numRef>
          </c:val>
          <c:extLst>
            <c:ext xmlns:c16="http://schemas.microsoft.com/office/drawing/2014/chart" uri="{C3380CC4-5D6E-409C-BE32-E72D297353CC}">
              <c16:uniqueId val="{00000003-56EF-4501-8794-15F9E8DB392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N=4</c:v>
                </c:pt>
                <c:pt idx="3">
                  <c:v>Petitions, total N=8</c:v>
                </c:pt>
                <c:pt idx="4">
                  <c:v>Detentions, total N=3</c:v>
                </c:pt>
                <c:pt idx="5">
                  <c:v>Referrals, total N=22</c:v>
                </c:pt>
                <c:pt idx="6">
                  <c:v>Arrests, total N=7</c:v>
                </c:pt>
                <c:pt idx="7">
                  <c:v>Population, total N=1802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6EF-4501-8794-15F9E8DB392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1802</v>
      </c>
      <c r="C6" s="11">
        <v>1536</v>
      </c>
      <c r="D6" s="11">
        <v>42</v>
      </c>
      <c r="E6" s="11">
        <v>150</v>
      </c>
      <c r="F6" s="11">
        <v>17</v>
      </c>
      <c r="G6" s="11"/>
      <c r="H6" s="11">
        <v>57</v>
      </c>
      <c r="I6" s="11"/>
      <c r="J6" s="91">
        <f>SUM(D6:I6)</f>
        <v>266</v>
      </c>
      <c r="K6" s="92"/>
    </row>
    <row r="7" spans="1:11" ht="15.75" customHeight="1" thickBot="1" x14ac:dyDescent="0.25">
      <c r="A7" s="10" t="s">
        <v>8</v>
      </c>
      <c r="B7" s="11">
        <f t="shared" ref="B7:B15" si="0">SUM(C7:I7)+K7</f>
        <v>7</v>
      </c>
      <c r="C7" s="11">
        <v>7</v>
      </c>
      <c r="D7" s="11"/>
      <c r="E7" s="11"/>
      <c r="F7" s="11"/>
      <c r="G7" s="11"/>
      <c r="H7" s="11"/>
      <c r="I7" s="11"/>
      <c r="J7" s="91">
        <f t="shared" ref="J7:J15" si="1">SUM(D7:I7)</f>
        <v>0</v>
      </c>
      <c r="K7" s="92"/>
    </row>
    <row r="8" spans="1:11" ht="15.75" customHeight="1" thickBot="1" x14ac:dyDescent="0.25">
      <c r="A8" s="10" t="s">
        <v>9</v>
      </c>
      <c r="B8" s="11">
        <f t="shared" si="0"/>
        <v>22</v>
      </c>
      <c r="C8" s="11">
        <v>17</v>
      </c>
      <c r="D8" s="11">
        <v>1</v>
      </c>
      <c r="E8" s="11">
        <v>2</v>
      </c>
      <c r="F8" s="11"/>
      <c r="G8" s="11"/>
      <c r="H8" s="11">
        <v>1</v>
      </c>
      <c r="I8" s="11">
        <v>1</v>
      </c>
      <c r="J8" s="91">
        <f t="shared" si="1"/>
        <v>5</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3</v>
      </c>
      <c r="C10" s="11"/>
      <c r="D10" s="11"/>
      <c r="E10" s="11">
        <v>3</v>
      </c>
      <c r="F10" s="11"/>
      <c r="G10" s="11"/>
      <c r="H10" s="11"/>
      <c r="I10" s="11"/>
      <c r="J10" s="91">
        <f t="shared" si="1"/>
        <v>3</v>
      </c>
      <c r="K10" s="92"/>
    </row>
    <row r="11" spans="1:11" ht="15.75" customHeight="1" thickBot="1" x14ac:dyDescent="0.25">
      <c r="A11" s="10" t="s">
        <v>12</v>
      </c>
      <c r="B11" s="11">
        <f t="shared" si="0"/>
        <v>8</v>
      </c>
      <c r="C11" s="11">
        <v>6</v>
      </c>
      <c r="D11" s="11"/>
      <c r="E11" s="11">
        <v>2</v>
      </c>
      <c r="F11" s="11"/>
      <c r="G11" s="11"/>
      <c r="H11" s="11"/>
      <c r="I11" s="11"/>
      <c r="J11" s="91">
        <f t="shared" si="1"/>
        <v>2</v>
      </c>
      <c r="K11" s="92"/>
    </row>
    <row r="12" spans="1:11" ht="15.75" customHeight="1" thickBot="1" x14ac:dyDescent="0.25">
      <c r="A12" s="10" t="s">
        <v>13</v>
      </c>
      <c r="B12" s="11">
        <f t="shared" si="0"/>
        <v>4</v>
      </c>
      <c r="C12" s="11">
        <v>3</v>
      </c>
      <c r="D12" s="11"/>
      <c r="E12" s="11">
        <v>1</v>
      </c>
      <c r="F12" s="11"/>
      <c r="G12" s="11"/>
      <c r="H12" s="11"/>
      <c r="I12" s="11"/>
      <c r="J12" s="91">
        <f t="shared" si="1"/>
        <v>1</v>
      </c>
      <c r="K12" s="92"/>
    </row>
    <row r="13" spans="1:11" ht="15.75" customHeight="1" thickBot="1" x14ac:dyDescent="0.25">
      <c r="A13" s="10" t="s">
        <v>133</v>
      </c>
      <c r="B13" s="11">
        <f t="shared" si="0"/>
        <v>14</v>
      </c>
      <c r="C13" s="11">
        <v>9</v>
      </c>
      <c r="D13" s="11">
        <v>1</v>
      </c>
      <c r="E13" s="11">
        <v>2</v>
      </c>
      <c r="F13" s="11"/>
      <c r="G13" s="11"/>
      <c r="H13" s="11">
        <v>1</v>
      </c>
      <c r="I13" s="11">
        <v>1</v>
      </c>
      <c r="J13" s="91">
        <f t="shared" si="1"/>
        <v>5</v>
      </c>
      <c r="K13" s="92"/>
    </row>
    <row r="14" spans="1:11" ht="26.25" customHeight="1" thickBot="1" x14ac:dyDescent="0.25">
      <c r="A14" s="10" t="s">
        <v>123</v>
      </c>
      <c r="B14" s="11">
        <f t="shared" si="0"/>
        <v>2</v>
      </c>
      <c r="C14" s="11">
        <v>1</v>
      </c>
      <c r="D14" s="11"/>
      <c r="E14" s="11">
        <v>1</v>
      </c>
      <c r="F14" s="11"/>
      <c r="G14" s="11"/>
      <c r="H14" s="11"/>
      <c r="I14" s="11"/>
      <c r="J14" s="91">
        <f t="shared" si="1"/>
        <v>1</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1529</v>
      </c>
      <c r="R7" s="42">
        <f t="shared" ref="R7:R15" si="5">SUM(N7:Q7)</f>
        <v>1536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17</v>
      </c>
      <c r="D8" s="34">
        <f>IF((AND(C67&gt;0,C8&gt;0)),(C8/C67),0)</f>
        <v>242.85714285714283</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17</v>
      </c>
      <c r="Q8" s="42">
        <f>(C$67*L67)-C8</f>
        <v>-10</v>
      </c>
      <c r="R8" s="42">
        <f t="shared" si="5"/>
        <v>7.0500000000000007</v>
      </c>
      <c r="S8" s="30">
        <f t="shared" si="6"/>
        <v>266.64862499999992</v>
      </c>
      <c r="T8" s="30">
        <f t="shared" si="7"/>
        <v>-68.985000000000056</v>
      </c>
      <c r="U8" s="31">
        <f t="shared" si="8"/>
        <v>-3.865313111545984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17</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17</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6</v>
      </c>
      <c r="D11" s="34">
        <f>IF(((AND(C68&gt;0,C11&gt;0))),(C11/(C68)),0)</f>
        <v>35.294117647058819</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6</v>
      </c>
      <c r="Q11" s="42">
        <f>(C$68*L68)-C11</f>
        <v>11</v>
      </c>
      <c r="R11" s="42">
        <f t="shared" si="5"/>
        <v>18</v>
      </c>
      <c r="S11" s="30">
        <f t="shared" si="6"/>
        <v>648</v>
      </c>
      <c r="T11" s="30">
        <f t="shared" si="7"/>
        <v>1224</v>
      </c>
      <c r="U11" s="31">
        <f t="shared" si="8"/>
        <v>0.52941176470588236</v>
      </c>
    </row>
    <row r="12" spans="2:21" ht="18" customHeight="1" x14ac:dyDescent="0.25">
      <c r="B12" s="32" t="str">
        <f>'Data Entry'!A12</f>
        <v>7. Cases Resulting in Delinquent Findings</v>
      </c>
      <c r="C12" s="33">
        <f>'Data Entry'!C12</f>
        <v>3</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3</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300</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9</v>
      </c>
      <c r="Q13" s="42">
        <f>(C70*L70)-C13</f>
        <v>-6</v>
      </c>
      <c r="R13" s="42">
        <f t="shared" si="5"/>
        <v>3</v>
      </c>
      <c r="S13" s="30">
        <f t="shared" si="6"/>
        <v>27</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0</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0.01</v>
      </c>
      <c r="E44" s="56">
        <f>MAX(C44:D44,0)</f>
        <v>0.17</v>
      </c>
      <c r="G44" s="1" t="str">
        <f>B44</f>
        <v>per 100 referrals</v>
      </c>
      <c r="L44" s="57">
        <v>100</v>
      </c>
      <c r="M44" s="57"/>
      <c r="R44" s="49"/>
    </row>
    <row r="45" spans="2:18" ht="15" hidden="1" customHeight="1" x14ac:dyDescent="0.25">
      <c r="B45" s="49" t="s">
        <v>89</v>
      </c>
      <c r="C45" s="49">
        <f>C11/100</f>
        <v>0.06</v>
      </c>
      <c r="D45" s="49">
        <f>E11/100</f>
        <v>0</v>
      </c>
      <c r="E45" s="56">
        <f>MAX(C45:D45,0)</f>
        <v>0.06</v>
      </c>
      <c r="G45" s="1" t="str">
        <f>B45</f>
        <v>per 100 youth petitioned</v>
      </c>
      <c r="L45" s="57">
        <v>100</v>
      </c>
      <c r="M45" s="57"/>
      <c r="R45" s="49"/>
    </row>
    <row r="46" spans="2:18" ht="15" hidden="1" customHeight="1" x14ac:dyDescent="0.25">
      <c r="B46" s="49" t="s">
        <v>90</v>
      </c>
      <c r="C46" s="49">
        <f>C12/100</f>
        <v>0.03</v>
      </c>
      <c r="D46" s="49">
        <f>E12/100</f>
        <v>0</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0</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0</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0.01</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0</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0.01</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0</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0.01</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Entry'!J6</f>
        <v>266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266</v>
      </c>
      <c r="P7" s="42">
        <f t="shared" ref="P7:P15" si="4">C7</f>
        <v>7</v>
      </c>
      <c r="Q7" s="42">
        <f>C6-C7</f>
        <v>1529</v>
      </c>
      <c r="R7" s="42">
        <f t="shared" ref="R7:R15" si="5">SUM(N7:Q7)</f>
        <v>1802</v>
      </c>
      <c r="S7" s="30">
        <f t="shared" ref="S7:S15" si="6">R7*((((N7*Q7)-(O7*P7))^2))</f>
        <v>6247613288</v>
      </c>
      <c r="T7" s="30">
        <f t="shared" ref="T7:T15" si="7">(N7+O7)*(P7+Q7)*(N7+P7)*(O7+Q7)</f>
        <v>5133757440</v>
      </c>
      <c r="U7" s="31">
        <f t="shared" ref="U7:U15" si="8">IF((S7&gt;0),S7/T7,"- -")</f>
        <v>1.2169669800371401</v>
      </c>
    </row>
    <row r="8" spans="2:21" ht="18" customHeight="1" x14ac:dyDescent="0.25">
      <c r="B8" s="32" t="str">
        <f>'Data Entry'!A8</f>
        <v>3. Refer to Juvenile Court</v>
      </c>
      <c r="C8" s="33">
        <f>'Data Entry'!C8</f>
        <v>17</v>
      </c>
      <c r="D8" s="34">
        <f>IF((AND(C67&gt;0,C8&gt;0)),(C8/C67),0)</f>
        <v>242.85714285714283</v>
      </c>
      <c r="E8" s="33">
        <f>'Data Entry'!J8</f>
        <v>5</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v>
      </c>
      <c r="O8" s="42">
        <f>((D67*L67)-E8)+0.05</f>
        <v>-4.95</v>
      </c>
      <c r="P8" s="42">
        <f t="shared" si="4"/>
        <v>17</v>
      </c>
      <c r="Q8" s="42">
        <f>(C$67*L67)-C8</f>
        <v>-10</v>
      </c>
      <c r="R8" s="42">
        <f t="shared" si="5"/>
        <v>7.0500000000000007</v>
      </c>
      <c r="S8" s="30">
        <f t="shared" si="6"/>
        <v>8221.8686250000028</v>
      </c>
      <c r="T8" s="30">
        <f t="shared" si="7"/>
        <v>-115.11499999999958</v>
      </c>
      <c r="U8" s="31">
        <f t="shared" si="8"/>
        <v>-71.423086695913071</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17</v>
      </c>
      <c r="R9" s="42">
        <f t="shared" si="5"/>
        <v>22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3</v>
      </c>
      <c r="F10" s="34">
        <f>IF(((AND($E$10&gt;0,$D$68&gt;0))),($E$10/($D$68)),0)</f>
        <v>60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3</v>
      </c>
      <c r="O10" s="42">
        <f>(D$68*L68)-E10</f>
        <v>2</v>
      </c>
      <c r="P10" s="42">
        <f t="shared" si="4"/>
        <v>0</v>
      </c>
      <c r="Q10" s="42">
        <f>(C$68*L68)-C10</f>
        <v>17</v>
      </c>
      <c r="R10" s="42">
        <f t="shared" si="5"/>
        <v>22</v>
      </c>
      <c r="S10" s="30">
        <f t="shared" si="6"/>
        <v>57222</v>
      </c>
      <c r="T10" s="30">
        <f t="shared" si="7"/>
        <v>4845</v>
      </c>
      <c r="U10" s="31">
        <f t="shared" si="8"/>
        <v>11.810526315789474</v>
      </c>
    </row>
    <row r="11" spans="2:21" ht="18" customHeight="1" x14ac:dyDescent="0.25">
      <c r="B11" s="32" t="str">
        <f>'Data Entry'!A11</f>
        <v>6. Cases Petitioned (Charge Filed)</v>
      </c>
      <c r="C11" s="33">
        <f>'Data Entry'!C11</f>
        <v>6</v>
      </c>
      <c r="D11" s="34">
        <f>IF(((AND(C68&gt;0,C11&gt;0))),(C11/(C68)),0)</f>
        <v>35.294117647058819</v>
      </c>
      <c r="E11" s="33">
        <f>'Data Entry'!J11</f>
        <v>2</v>
      </c>
      <c r="F11" s="34">
        <f>IF(((AND($E$11&gt;0,$D$68&gt;0))),($E$11/($D$68)),0)</f>
        <v>40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3</v>
      </c>
      <c r="P11" s="42">
        <f t="shared" si="4"/>
        <v>6</v>
      </c>
      <c r="Q11" s="42">
        <f>(C$68*L68)-C11</f>
        <v>11</v>
      </c>
      <c r="R11" s="42">
        <f t="shared" si="5"/>
        <v>22</v>
      </c>
      <c r="S11" s="30">
        <f t="shared" si="6"/>
        <v>352</v>
      </c>
      <c r="T11" s="30">
        <f t="shared" si="7"/>
        <v>9520</v>
      </c>
      <c r="U11" s="31">
        <f t="shared" si="8"/>
        <v>3.6974789915966387E-2</v>
      </c>
    </row>
    <row r="12" spans="2:21" ht="18" customHeight="1" x14ac:dyDescent="0.25">
      <c r="B12" s="32" t="str">
        <f>'Data Entry'!A12</f>
        <v>7. Cases Resulting in Delinquent Findings</v>
      </c>
      <c r="C12" s="33">
        <f>'Data Entry'!C12</f>
        <v>3</v>
      </c>
      <c r="D12" s="34">
        <f>IF(((AND(C69&gt;0,C12&gt;0))),(C12/(C69)),0)</f>
        <v>50</v>
      </c>
      <c r="E12" s="33">
        <f>'Data Entry'!J12</f>
        <v>1</v>
      </c>
      <c r="F12" s="34">
        <f>IF(((AND($D$69&gt;0,$E$12&gt;0))),(E12/(D69)),0)</f>
        <v>50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1</v>
      </c>
      <c r="P12" s="42">
        <f t="shared" si="4"/>
        <v>3</v>
      </c>
      <c r="Q12" s="42">
        <f>(C69*L69)-C12</f>
        <v>3</v>
      </c>
      <c r="R12" s="42">
        <f t="shared" si="5"/>
        <v>8</v>
      </c>
      <c r="S12" s="30">
        <f t="shared" si="6"/>
        <v>0</v>
      </c>
      <c r="T12" s="30">
        <f t="shared" si="7"/>
        <v>192</v>
      </c>
      <c r="U12" s="31" t="str">
        <f t="shared" si="8"/>
        <v>- -</v>
      </c>
    </row>
    <row r="13" spans="2:21" ht="18" customHeight="1" x14ac:dyDescent="0.25">
      <c r="B13" s="32" t="str">
        <f>'Data Entry'!A13</f>
        <v>8. Cases Resulting in Probation Placement</v>
      </c>
      <c r="C13" s="33">
        <f>'Data Entry'!C13</f>
        <v>9</v>
      </c>
      <c r="D13" s="34">
        <f>IF(((AND(C70&gt;0,C13&gt;0))),(C13/(C70)),0)</f>
        <v>300</v>
      </c>
      <c r="E13" s="33">
        <f>'Data Entry'!J13</f>
        <v>5</v>
      </c>
      <c r="F13" s="34">
        <f>IF(((AND($D$70&gt;0,$E$13&gt;0))),($E$13/($D$70)),0)</f>
        <v>500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-4</v>
      </c>
      <c r="P13" s="42">
        <f t="shared" si="4"/>
        <v>9</v>
      </c>
      <c r="Q13" s="42">
        <f>(C70*L70)-C13</f>
        <v>-6</v>
      </c>
      <c r="R13" s="42">
        <f t="shared" si="5"/>
        <v>4</v>
      </c>
      <c r="S13" s="30">
        <f t="shared" si="6"/>
        <v>144</v>
      </c>
      <c r="T13" s="30">
        <f t="shared" si="7"/>
        <v>-420</v>
      </c>
      <c r="U13" s="31">
        <f t="shared" si="8"/>
        <v>-0.34285714285714286</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Entry'!J14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1</v>
      </c>
      <c r="Q14" s="42">
        <f>(C70*L70)-C14</f>
        <v>2</v>
      </c>
      <c r="R14" s="42">
        <f t="shared" si="5"/>
        <v>4</v>
      </c>
      <c r="S14" s="30">
        <f t="shared" si="6"/>
        <v>16</v>
      </c>
      <c r="T14" s="30">
        <f t="shared" si="7"/>
        <v>12</v>
      </c>
      <c r="U14" s="31">
        <f t="shared" si="8"/>
        <v>1.3333333333333333</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6</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0.26600000000000001</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0.05</v>
      </c>
      <c r="E44" s="56">
        <f>MAX(C44:D44,0)</f>
        <v>0.17</v>
      </c>
      <c r="G44" s="1" t="str">
        <f>B44</f>
        <v>per 100 referrals</v>
      </c>
      <c r="L44" s="57">
        <v>100</v>
      </c>
      <c r="M44" s="57"/>
      <c r="R44" s="49"/>
    </row>
    <row r="45" spans="2:18" ht="15" hidden="1" customHeight="1" x14ac:dyDescent="0.25">
      <c r="B45" s="49" t="s">
        <v>89</v>
      </c>
      <c r="C45" s="49">
        <f>C11/100</f>
        <v>0.06</v>
      </c>
      <c r="D45" s="49">
        <f>E11/100</f>
        <v>0.02</v>
      </c>
      <c r="E45" s="56">
        <f>MAX(C45:D45,0)</f>
        <v>0.06</v>
      </c>
      <c r="G45" s="1" t="str">
        <f>B45</f>
        <v>per 100 youth petitioned</v>
      </c>
      <c r="L45" s="57">
        <v>100</v>
      </c>
      <c r="M45" s="57"/>
      <c r="R45" s="49"/>
    </row>
    <row r="46" spans="2:18" ht="15" hidden="1" customHeight="1" x14ac:dyDescent="0.25">
      <c r="B46" s="49" t="s">
        <v>90</v>
      </c>
      <c r="C46" s="49">
        <f>C12/100</f>
        <v>0.03</v>
      </c>
      <c r="D46" s="49">
        <f>E12/100</f>
        <v>0.01</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0.26600000000000001</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0.05</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0.02</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0.01</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0.26600000000000001</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0.05</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0.02</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0.01</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0.26600000000000001</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0.05</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0.02</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0.01</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0.26600000000000001</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0.05</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0.02</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0.01</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Manistee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20</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f>Hispanic!L10</f>
        <v>20</v>
      </c>
      <c r="N10" s="1" t="e">
        <f>Asian!L10</f>
        <v>#VALUE!</v>
      </c>
      <c r="O10" s="1" t="e">
        <f>Hawaiian!L10</f>
        <v>#VALUE!</v>
      </c>
      <c r="P10" s="1" t="e">
        <f>'Am Indian'!L10</f>
        <v>#VALUE!</v>
      </c>
      <c r="Q10" s="1" t="e">
        <f>'Other - Mixed'!L10</f>
        <v>#VALUE!</v>
      </c>
      <c r="R10" s="1">
        <f>'All Minorities'!L10</f>
        <v>20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f>Hispanic!L13</f>
        <v>40</v>
      </c>
      <c r="N13" s="1" t="e">
        <f>Asian!L13</f>
        <v>#VALUE!</v>
      </c>
      <c r="O13" s="1" t="e">
        <f>Hawaiian!L13</f>
        <v>#VALUE!</v>
      </c>
      <c r="P13" s="1" t="e">
        <f>'Am Indian'!L13</f>
        <v>#DIV/0!</v>
      </c>
      <c r="Q13" s="1" t="e">
        <f>'Other - Mixed'!L13</f>
        <v>#DIV/0!</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t="e">
        <f>'Other - Mixed'!L14</f>
        <v>#VALUE!</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1802</v>
      </c>
      <c r="D3" s="57">
        <f>'Data Entry'!C6</f>
        <v>1536</v>
      </c>
      <c r="E3" s="57">
        <f>'Data Entry'!D6</f>
        <v>42</v>
      </c>
      <c r="F3" s="57">
        <f>'Data Entry'!E6</f>
        <v>150</v>
      </c>
      <c r="G3" s="57">
        <f>'Data Entry'!F6</f>
        <v>17</v>
      </c>
      <c r="H3" s="57">
        <f>'Data Entry'!G6</f>
        <v>0</v>
      </c>
      <c r="I3" s="57">
        <f>'Data Entry'!H6</f>
        <v>57</v>
      </c>
      <c r="J3" s="57">
        <f>'Data Entry'!I6</f>
        <v>0</v>
      </c>
      <c r="K3" s="57">
        <f>'Data Entry'!J6</f>
        <v>266</v>
      </c>
    </row>
    <row r="4" spans="2:11" ht="15" customHeight="1" x14ac:dyDescent="0.25">
      <c r="B4" s="16" t="s">
        <v>8</v>
      </c>
      <c r="C4" s="1">
        <f>IF((C$3&gt;0),(1000*('Data Entry'!B7/'Data Entry'!B$6)), 0)</f>
        <v>3.8845726970033296</v>
      </c>
      <c r="D4" s="1">
        <f>IF((D$3&gt;0),(1000*('Data Entry'!C7/'Data Entry'!C$6)), 0)</f>
        <v>4.557291666666667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12.208657047724751</v>
      </c>
      <c r="D5" s="1">
        <f>IF((D$3&gt;0),(1000*('Data Entry'!C8/'Data Entry'!C$6)), 0)</f>
        <v>11.067708333333334</v>
      </c>
      <c r="E5" s="1">
        <f>IF((E$3&gt;0),(1000*('Data Entry'!D8/'Data Entry'!D$6)), 0)</f>
        <v>23.809523809523807</v>
      </c>
      <c r="F5" s="1">
        <f>IF((F$3&gt;0),(1000*('Data Entry'!E8/'Data Entry'!E$6)), 0)</f>
        <v>13.333333333333334</v>
      </c>
      <c r="G5" s="1">
        <f>IF((G$3&gt;0),(1000*('Data Entry'!F8/'Data Entry'!F$6)), 0)</f>
        <v>0</v>
      </c>
      <c r="H5" s="1">
        <f>IF((H$3&gt;0),(1000*('Data Entry'!G8/'Data Entry'!G$6)), 0)</f>
        <v>0</v>
      </c>
      <c r="I5" s="1">
        <f>IF((I$3&gt;0),(1000*('Data Entry'!H8/'Data Entry'!H$6)), 0)</f>
        <v>17.543859649122805</v>
      </c>
      <c r="J5" s="1">
        <f>IF((J$3&gt;0),(1000*('Data Entry'!I8/'Data Entry'!I$6)), 0)</f>
        <v>0</v>
      </c>
      <c r="K5" s="1">
        <f>IF((K$3&gt;0),(1000*('Data Entry'!J8/'Data Entry'!J$6)), 0)</f>
        <v>18.796992481203006</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1.664816870144284</v>
      </c>
      <c r="D7" s="1">
        <f>IF((D$3&gt;0),(1000*('Data Entry'!C10/'Data Entry'!C$6)), 0)</f>
        <v>0</v>
      </c>
      <c r="E7" s="1">
        <f>IF((E$3&gt;0),(1000*('Data Entry'!D10/'Data Entry'!D$6)), 0)</f>
        <v>0</v>
      </c>
      <c r="F7" s="1">
        <f>IF((F$3&gt;0),(1000*('Data Entry'!E10/'Data Entry'!E$6)), 0)</f>
        <v>20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11.278195488721805</v>
      </c>
    </row>
    <row r="8" spans="2:11" ht="15" customHeight="1" x14ac:dyDescent="0.25">
      <c r="B8" s="16" t="s">
        <v>95</v>
      </c>
      <c r="C8" s="1">
        <f>IF((C$3&gt;0),(1000*('Data Entry'!B11/'Data Entry'!B$6)), 0)</f>
        <v>4.4395116537180908</v>
      </c>
      <c r="D8" s="1">
        <f>IF((D$3&gt;0),(1000*('Data Entry'!C11/'Data Entry'!C$6)), 0)</f>
        <v>3.90625</v>
      </c>
      <c r="E8" s="1">
        <f>IF((E$3&gt;0),(1000*('Data Entry'!D11/'Data Entry'!D$6)), 0)</f>
        <v>0</v>
      </c>
      <c r="F8" s="1">
        <f>IF((F$3&gt;0),(1000*('Data Entry'!E11/'Data Entry'!E$6)), 0)</f>
        <v>13.333333333333334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7.518796992481203</v>
      </c>
    </row>
    <row r="9" spans="2:11" ht="15" customHeight="1" x14ac:dyDescent="0.25">
      <c r="B9" s="16" t="s">
        <v>13</v>
      </c>
      <c r="C9" s="1">
        <f>IF((C$3&gt;0),(1000*('Data Entry'!B12/'Data Entry'!B$6)), 0)</f>
        <v>2.2197558268590454</v>
      </c>
      <c r="D9" s="1">
        <f>IF((D$3&gt;0),(1000*('Data Entry'!C12/'Data Entry'!C$6)), 0)</f>
        <v>1.953125</v>
      </c>
      <c r="E9" s="1">
        <f>IF((E$3&gt;0),(1000*('Data Entry'!D12/'Data Entry'!D$6)), 0)</f>
        <v>0</v>
      </c>
      <c r="F9" s="1">
        <f>IF((F$3&gt;0),(1000*('Data Entry'!E12/'Data Entry'!E$6)), 0)</f>
        <v>6.666666666666667</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3.7593984962406015</v>
      </c>
    </row>
    <row r="10" spans="2:11" ht="15" customHeight="1" x14ac:dyDescent="0.25">
      <c r="B10" s="16" t="s">
        <v>14</v>
      </c>
      <c r="C10" s="1">
        <f>IF((C$3&gt;0),(1000*('Data Entry'!B13/'Data Entry'!B$6)), 0)</f>
        <v>7.7691453940066593</v>
      </c>
      <c r="D10" s="1">
        <f>IF((D$3&gt;0),(1000*('Data Entry'!C13/'Data Entry'!C$6)), 0)</f>
        <v>5.859375</v>
      </c>
      <c r="E10" s="1">
        <f>IF((E$3&gt;0),(1000*('Data Entry'!D13/'Data Entry'!D$6)), 0)</f>
        <v>23.809523809523807</v>
      </c>
      <c r="F10" s="1">
        <f>IF((F$3&gt;0),(1000*('Data Entry'!E13/'Data Entry'!E$6)), 0)</f>
        <v>13.333333333333334</v>
      </c>
      <c r="G10" s="1">
        <f>IF((G$3&gt;0),(1000*('Data Entry'!F13/'Data Entry'!F$6)), 0)</f>
        <v>0</v>
      </c>
      <c r="H10" s="1">
        <f>IF((H$3&gt;0),(1000*('Data Entry'!G13/'Data Entry'!G$6)), 0)</f>
        <v>0</v>
      </c>
      <c r="I10" s="1">
        <f>IF((I$3&gt;0),(1000*('Data Entry'!H13/'Data Entry'!H$6)), 0)</f>
        <v>17.543859649122805</v>
      </c>
      <c r="J10" s="1">
        <f>IF((J$3&gt;0),(1000*('Data Entry'!I13/'Data Entry'!I$6)), 0)</f>
        <v>0</v>
      </c>
      <c r="K10" s="1">
        <f>IF((K$3&gt;0),(1000*('Data Entry'!J13/'Data Entry'!J$6)), 0)</f>
        <v>18.796992481203006</v>
      </c>
    </row>
    <row r="11" spans="2:11" ht="25.5" customHeight="1" x14ac:dyDescent="0.25">
      <c r="B11" s="16" t="s">
        <v>15</v>
      </c>
      <c r="C11" s="1">
        <f>IF((C$3&gt;0),(1000*('Data Entry'!B14/'Data Entry'!B$6)), 0)</f>
        <v>1.1098779134295227</v>
      </c>
      <c r="D11" s="1">
        <f>IF((D$3&gt;0),(1000*('Data Entry'!C14/'Data Entry'!C$6)), 0)</f>
        <v>0.65104166666666663</v>
      </c>
      <c r="E11" s="1">
        <f>IF((E$3&gt;0),(1000*('Data Entry'!D14/'Data Entry'!D$6)), 0)</f>
        <v>0</v>
      </c>
      <c r="F11" s="1">
        <f>IF((F$3&gt;0),(1000*('Data Entry'!E14/'Data Entry'!E$6)), 0)</f>
        <v>6.666666666666667</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3.7593984962406015</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Manistee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2.1512605042016801</v>
      </c>
      <c r="E20" s="72">
        <f t="shared" si="2"/>
        <v>1.2047058823529411</v>
      </c>
      <c r="F20" s="72" t="str">
        <f t="shared" si="2"/>
        <v>--</v>
      </c>
      <c r="G20" s="72" t="str">
        <f t="shared" si="2"/>
        <v>--</v>
      </c>
      <c r="H20" s="72">
        <f t="shared" si="2"/>
        <v>1.5851393188854486</v>
      </c>
      <c r="I20" s="72" t="str">
        <f t="shared" si="2"/>
        <v>--</v>
      </c>
      <c r="J20" s="73">
        <f t="shared" si="2"/>
        <v>1.6983635559486949</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f t="shared" si="2"/>
        <v>3.4133333333333336</v>
      </c>
      <c r="F23" s="72" t="str">
        <f t="shared" si="2"/>
        <v>--</v>
      </c>
      <c r="G23" s="72" t="str">
        <f t="shared" si="2"/>
        <v>--</v>
      </c>
      <c r="H23" s="72" t="str">
        <f t="shared" si="2"/>
        <v>--</v>
      </c>
      <c r="I23" s="72" t="str">
        <f t="shared" si="2"/>
        <v>--</v>
      </c>
      <c r="J23" s="73">
        <f t="shared" si="2"/>
        <v>1.9248120300751881</v>
      </c>
    </row>
    <row r="24" spans="2:10" ht="15" customHeight="1" x14ac:dyDescent="0.25">
      <c r="B24" s="71" t="s">
        <v>13</v>
      </c>
      <c r="C24" s="72">
        <f t="shared" si="2"/>
        <v>1</v>
      </c>
      <c r="D24" s="72" t="str">
        <f t="shared" si="2"/>
        <v>--</v>
      </c>
      <c r="E24" s="72">
        <f t="shared" si="2"/>
        <v>3.4133333333333336</v>
      </c>
      <c r="F24" s="72" t="str">
        <f t="shared" si="2"/>
        <v>--</v>
      </c>
      <c r="G24" s="72" t="str">
        <f t="shared" si="2"/>
        <v>--</v>
      </c>
      <c r="H24" s="72" t="str">
        <f t="shared" si="2"/>
        <v>--</v>
      </c>
      <c r="I24" s="72" t="str">
        <f t="shared" si="2"/>
        <v>--</v>
      </c>
      <c r="J24" s="73">
        <f t="shared" si="2"/>
        <v>1.9248120300751881</v>
      </c>
    </row>
    <row r="25" spans="2:10" ht="15" customHeight="1" x14ac:dyDescent="0.25">
      <c r="B25" s="71" t="s">
        <v>14</v>
      </c>
      <c r="C25" s="72">
        <f t="shared" si="2"/>
        <v>1</v>
      </c>
      <c r="D25" s="72">
        <f t="shared" si="2"/>
        <v>4.0634920634920633</v>
      </c>
      <c r="E25" s="72">
        <f t="shared" si="2"/>
        <v>2.2755555555555556</v>
      </c>
      <c r="F25" s="72" t="str">
        <f t="shared" si="2"/>
        <v>--</v>
      </c>
      <c r="G25" s="72" t="str">
        <f t="shared" si="2"/>
        <v>--</v>
      </c>
      <c r="H25" s="72">
        <f t="shared" si="2"/>
        <v>2.9941520467836251</v>
      </c>
      <c r="I25" s="72" t="str">
        <f t="shared" si="2"/>
        <v>--</v>
      </c>
      <c r="J25" s="73">
        <f t="shared" si="2"/>
        <v>3.2080200501253131</v>
      </c>
    </row>
    <row r="26" spans="2:10" ht="25.5" customHeight="1" x14ac:dyDescent="0.25">
      <c r="B26" s="71" t="s">
        <v>15</v>
      </c>
      <c r="C26" s="72">
        <f t="shared" si="2"/>
        <v>1</v>
      </c>
      <c r="D26" s="72" t="str">
        <f t="shared" si="2"/>
        <v>--</v>
      </c>
      <c r="E26" s="72">
        <f t="shared" si="2"/>
        <v>10.24</v>
      </c>
      <c r="F26" s="72" t="str">
        <f t="shared" si="2"/>
        <v>--</v>
      </c>
      <c r="G26" s="72" t="str">
        <f t="shared" si="2"/>
        <v>--</v>
      </c>
      <c r="H26" s="72" t="str">
        <f t="shared" si="2"/>
        <v>--</v>
      </c>
      <c r="I26" s="72" t="str">
        <f t="shared" si="2"/>
        <v>--</v>
      </c>
      <c r="J26" s="73">
        <f t="shared" si="2"/>
        <v>5.7744360902255645</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Manistee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1536</v>
      </c>
      <c r="D7" s="105">
        <f>'Data Entry'!D6</f>
        <v>42</v>
      </c>
      <c r="E7" s="106"/>
      <c r="F7" s="107">
        <f>'Data Entry'!E6</f>
        <v>150</v>
      </c>
      <c r="G7" s="106"/>
      <c r="H7" s="107">
        <f>'Data Entry'!F6</f>
        <v>17</v>
      </c>
      <c r="I7" s="106"/>
      <c r="J7" s="107">
        <f>'Data Entry'!G6</f>
        <v>0</v>
      </c>
      <c r="K7" s="106"/>
      <c r="L7" s="107">
        <f>'Data Entry'!H6</f>
        <v>57</v>
      </c>
      <c r="M7" s="106"/>
      <c r="N7" s="107">
        <f>'Data Entry'!I6</f>
        <v>0</v>
      </c>
      <c r="O7" s="106"/>
      <c r="P7" s="107">
        <f>'Data Entry'!J6</f>
        <v>266</v>
      </c>
      <c r="Q7" s="108"/>
    </row>
    <row r="8" spans="2:26" s="1" customFormat="1" ht="15" customHeight="1" x14ac:dyDescent="0.3">
      <c r="B8" s="149" t="s">
        <v>8</v>
      </c>
      <c r="C8" s="104">
        <f>'Data Entry'!C7</f>
        <v>7</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17</v>
      </c>
      <c r="D9" s="109">
        <f>'Data Entry'!D8</f>
        <v>1</v>
      </c>
      <c r="E9" s="110" t="str">
        <f>'Black or African-American'!$G8</f>
        <v>**</v>
      </c>
      <c r="F9" s="111">
        <f>'Data Entry'!E8</f>
        <v>2</v>
      </c>
      <c r="G9" s="110" t="str">
        <f>Hispanic!G8</f>
        <v>**</v>
      </c>
      <c r="H9" s="111">
        <f>'Data Entry'!F8</f>
        <v>0</v>
      </c>
      <c r="I9" s="110" t="str">
        <f>Asian!G8</f>
        <v>*</v>
      </c>
      <c r="J9" s="111">
        <f>'Data Entry'!G8</f>
        <v>0</v>
      </c>
      <c r="K9" s="110" t="str">
        <f>Hawaiian!G8</f>
        <v>*</v>
      </c>
      <c r="L9" s="111">
        <f>'Data Entry'!H8</f>
        <v>1</v>
      </c>
      <c r="M9" s="110" t="str">
        <f>'Am Indian'!G8</f>
        <v>**</v>
      </c>
      <c r="N9" s="111">
        <f>'Data Entry'!I8</f>
        <v>1</v>
      </c>
      <c r="O9" s="110" t="str">
        <f>'Other - Mixed'!G8</f>
        <v>*</v>
      </c>
      <c r="P9" s="111">
        <f>'Data Entry'!J8</f>
        <v>5</v>
      </c>
      <c r="Q9" s="112" t="str">
        <f>'All Minorities'!G8</f>
        <v>**</v>
      </c>
      <c r="R9"/>
      <c r="T9" s="1">
        <f>'Black or African-American'!L8</f>
        <v>20</v>
      </c>
      <c r="U9" s="1">
        <f>Hispanic!L8</f>
        <v>20</v>
      </c>
      <c r="V9" s="1">
        <f>Asian!L8</f>
        <v>139</v>
      </c>
      <c r="W9" s="1">
        <f>Hawaiian!L8</f>
        <v>139</v>
      </c>
      <c r="X9" s="1">
        <f>'Am Indian'!L8</f>
        <v>20</v>
      </c>
      <c r="Y9" s="1">
        <f>'Other - Mixed'!L8</f>
        <v>119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3</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3</v>
      </c>
      <c r="Q11" s="112" t="str">
        <f>'All Minorities'!G10</f>
        <v>**</v>
      </c>
      <c r="R11"/>
      <c r="T11" s="1" t="e">
        <f>'Black or African-American'!L10</f>
        <v>#VALUE!</v>
      </c>
      <c r="U11" s="1">
        <f>Hispanic!L10</f>
        <v>20</v>
      </c>
      <c r="V11" s="1" t="e">
        <f>Asian!L10</f>
        <v>#VALUE!</v>
      </c>
      <c r="W11" s="1" t="e">
        <f>Hawaiian!L10</f>
        <v>#VALUE!</v>
      </c>
      <c r="X11" s="1" t="e">
        <f>'Am Indian'!L10</f>
        <v>#VALUE!</v>
      </c>
      <c r="Y11" s="1" t="e">
        <f>'Other - Mixed'!L10</f>
        <v>#VALUE!</v>
      </c>
      <c r="Z11" s="1">
        <f>'All Minorities'!L10</f>
        <v>20</v>
      </c>
    </row>
    <row r="12" spans="2:26" s="1" customFormat="1" ht="15" customHeight="1" x14ac:dyDescent="0.3">
      <c r="B12" s="149" t="s">
        <v>95</v>
      </c>
      <c r="C12" s="104">
        <f>'Data Entry'!C11</f>
        <v>6</v>
      </c>
      <c r="D12" s="113">
        <f>'Data Entry'!D11</f>
        <v>0</v>
      </c>
      <c r="E12" s="114" t="str">
        <f>'Black or African-American'!$G11</f>
        <v>**</v>
      </c>
      <c r="F12" s="115">
        <f>'Data Entry'!E11</f>
        <v>2</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2</v>
      </c>
      <c r="Q12" s="116" t="str">
        <f>'All Minorities'!G11</f>
        <v>**</v>
      </c>
      <c r="R12"/>
      <c r="T12" s="1">
        <f>'Black or African-American'!L11</f>
        <v>40</v>
      </c>
      <c r="U12" s="1">
        <f>Hispanic!L11</f>
        <v>40</v>
      </c>
      <c r="V12" s="1" t="e">
        <f>Asian!L11</f>
        <v>#VALUE!</v>
      </c>
      <c r="W12" s="1" t="e">
        <f>Hawaiian!L11</f>
        <v>#VALUE!</v>
      </c>
      <c r="X12" s="1">
        <f>'Am Indian'!L11</f>
        <v>40</v>
      </c>
      <c r="Y12" s="1">
        <f>'Other - Mixed'!L11</f>
        <v>139</v>
      </c>
      <c r="Z12" s="1">
        <f>'All Minorities'!L11</f>
        <v>40</v>
      </c>
    </row>
    <row r="13" spans="2:26" s="1" customFormat="1" ht="15" customHeight="1" x14ac:dyDescent="0.3">
      <c r="B13" s="149" t="s">
        <v>13</v>
      </c>
      <c r="C13" s="104">
        <f>'Data Entry'!C12</f>
        <v>3</v>
      </c>
      <c r="D13" s="109">
        <f>'Data Entry'!D12</f>
        <v>0</v>
      </c>
      <c r="E13" s="110" t="str">
        <f>'Black or African-American'!$G12</f>
        <v>--</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1</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9</v>
      </c>
      <c r="D14" s="113">
        <f>'Data Entry'!D13</f>
        <v>1</v>
      </c>
      <c r="E14" s="114" t="str">
        <f>'Black or African-American'!$G13</f>
        <v>--</v>
      </c>
      <c r="F14" s="115">
        <f>'Data Entry'!E13</f>
        <v>2</v>
      </c>
      <c r="G14" s="114" t="str">
        <f>Hispanic!G13</f>
        <v>**</v>
      </c>
      <c r="H14" s="115">
        <f>'Data Entry'!F13</f>
        <v>0</v>
      </c>
      <c r="I14" s="114" t="str">
        <f>Asian!G13</f>
        <v>*</v>
      </c>
      <c r="J14" s="115">
        <f>'Data Entry'!G13</f>
        <v>0</v>
      </c>
      <c r="K14" s="114" t="str">
        <f>Hawaiian!G13</f>
        <v>*</v>
      </c>
      <c r="L14" s="115">
        <f>'Data Entry'!H13</f>
        <v>1</v>
      </c>
      <c r="M14" s="114" t="str">
        <f>'Am Indian'!G13</f>
        <v>--</v>
      </c>
      <c r="N14" s="115">
        <f>'Data Entry'!I13</f>
        <v>1</v>
      </c>
      <c r="O14" s="114" t="str">
        <f>'Other - Mixed'!G13</f>
        <v>*</v>
      </c>
      <c r="P14" s="115">
        <f>'Data Entry'!J13</f>
        <v>5</v>
      </c>
      <c r="Q14" s="116" t="str">
        <f>'All Minorities'!G13</f>
        <v>**</v>
      </c>
      <c r="R14"/>
      <c r="T14" s="1" t="e">
        <f>'Black or African-American'!L13</f>
        <v>#DIV/0!</v>
      </c>
      <c r="U14" s="1">
        <f>Hispanic!L13</f>
        <v>40</v>
      </c>
      <c r="V14" s="1" t="e">
        <f>Asian!L13</f>
        <v>#VALUE!</v>
      </c>
      <c r="W14" s="1" t="e">
        <f>Hawaiian!L13</f>
        <v>#VALUE!</v>
      </c>
      <c r="X14" s="1" t="e">
        <f>'Am Indian'!L13</f>
        <v>#DIV/0!</v>
      </c>
      <c r="Y14" s="1" t="e">
        <f>'Other - Mixed'!L13</f>
        <v>#DIV/0!</v>
      </c>
      <c r="Z14" s="1">
        <f>'All Minorities'!L13</f>
        <v>40</v>
      </c>
    </row>
    <row r="15" spans="2:26" s="1" customFormat="1" ht="33" x14ac:dyDescent="0.3">
      <c r="B15" s="151" t="s">
        <v>123</v>
      </c>
      <c r="C15" s="104">
        <f>'Data Entry'!C14</f>
        <v>1</v>
      </c>
      <c r="D15" s="109">
        <f>'Data Entry'!D14</f>
        <v>0</v>
      </c>
      <c r="E15" s="110" t="str">
        <f>'Black or African-American'!$G14</f>
        <v>--</v>
      </c>
      <c r="F15" s="111">
        <f>'Data Entry'!E14</f>
        <v>1</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1</v>
      </c>
      <c r="Q15" s="112" t="str">
        <f>'All Minorities'!G14</f>
        <v>**</v>
      </c>
      <c r="R15"/>
      <c r="T15" s="1" t="e">
        <f>'Black or African-American'!L14</f>
        <v>#VALUE!</v>
      </c>
      <c r="U15" s="1">
        <f>Hispanic!L14</f>
        <v>40</v>
      </c>
      <c r="V15" s="1" t="e">
        <f>Asian!L14</f>
        <v>#VALUE!</v>
      </c>
      <c r="W15" s="1" t="e">
        <f>Hawaiian!L14</f>
        <v>#VALUE!</v>
      </c>
      <c r="X15" s="1" t="e">
        <f>'Am Indian'!L14</f>
        <v>#VALUE!</v>
      </c>
      <c r="Y15" s="1" t="e">
        <f>'Other - Mixed'!L14</f>
        <v>#VALUE!</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Manistee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Manistee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5.7744360902255636</v>
      </c>
    </row>
    <row r="8" spans="1:12" ht="25.5" customHeight="1" x14ac:dyDescent="0.2">
      <c r="A8" s="158" t="str">
        <f>CONCATENATE("Confinement, total N=", 'Data Entry'!B14)</f>
        <v>Confinement, total N=2</v>
      </c>
      <c r="B8" s="157">
        <f>'Data Entry'!D14/'Data Entry'!B14</f>
        <v>0</v>
      </c>
      <c r="C8" s="157">
        <f>'Data Entry'!E14/'Data Entry'!B14</f>
        <v>0.5</v>
      </c>
      <c r="D8" s="157">
        <f>'Data Entry'!F14/'Data Entry'!B14</f>
        <v>0</v>
      </c>
      <c r="E8" s="157">
        <f>'Data Entry'!G14/'Data Entry'!B14</f>
        <v>0</v>
      </c>
      <c r="F8" s="157">
        <f>'Data Entry'!H14/'Data Entry'!B14</f>
        <v>0</v>
      </c>
      <c r="G8" s="157">
        <f>'Data Entry'!I14/'Data Entry'!B14</f>
        <v>0</v>
      </c>
      <c r="H8" s="157">
        <f>SUM(D8:G8)/'Data Entry'!B14</f>
        <v>0</v>
      </c>
      <c r="I8" s="157">
        <f>'Data Entry'!C14/'Data Entry'!B14</f>
        <v>0.5</v>
      </c>
      <c r="K8" s="97" t="str">
        <f>A8</f>
        <v>Confinement, total N=2</v>
      </c>
      <c r="L8">
        <f>I14/(SUM(B14:G14))</f>
        <v>5.7744360902255636</v>
      </c>
    </row>
    <row r="9" spans="1:12" x14ac:dyDescent="0.2">
      <c r="A9" s="132" t="str">
        <f>CONCATENATE("Delinquent Findings, total N=", 'Data Entry'!B12)</f>
        <v>Delinquent Findings, total N=4</v>
      </c>
      <c r="B9" s="157">
        <f>'Data Entry'!D12/'Data Entry'!B12</f>
        <v>0</v>
      </c>
      <c r="C9" s="157">
        <f>'Data Entry'!E12/'Data Entry'!B12</f>
        <v>0.25</v>
      </c>
      <c r="D9" s="157">
        <f>'Data Entry'!F12/'Data Entry'!B12</f>
        <v>0</v>
      </c>
      <c r="E9" s="157">
        <f>'Data Entry'!G12/'Data Entry'!B12</f>
        <v>0</v>
      </c>
      <c r="F9" s="157">
        <f>'Data Entry'!H12/'Data Entry'!B12</f>
        <v>0</v>
      </c>
      <c r="G9" s="157">
        <f>'Data Entry'!I12/'Data Entry'!B12</f>
        <v>0</v>
      </c>
      <c r="H9" s="157">
        <f>SUM(D9:G9)/'Data Entry'!B12</f>
        <v>0</v>
      </c>
      <c r="I9" s="157">
        <f>'Data Entry'!C12/'Data Entry'!B12</f>
        <v>0.75</v>
      </c>
      <c r="K9" s="97" t="str">
        <f t="shared" si="0"/>
        <v>Delinquent Findings, total N=4</v>
      </c>
      <c r="L9">
        <f>I14/(SUM(B14:G14))</f>
        <v>5.7744360902255636</v>
      </c>
    </row>
    <row r="10" spans="1:12" x14ac:dyDescent="0.2">
      <c r="A10" s="132" t="str">
        <f>CONCATENATE("Petitions, total N=", 'Data Entry'!B11)</f>
        <v>Petitions, total N=8</v>
      </c>
      <c r="B10" s="157">
        <f>'Data Entry'!D11/'Data Entry'!B11</f>
        <v>0</v>
      </c>
      <c r="C10" s="157">
        <f>'Data Entry'!E11/'Data Entry'!B11</f>
        <v>0.25</v>
      </c>
      <c r="D10" s="157">
        <f>'Data Entry'!F11/'Data Entry'!B11</f>
        <v>0</v>
      </c>
      <c r="E10" s="157">
        <f>'Data Entry'!G11/'Data Entry'!B11</f>
        <v>0</v>
      </c>
      <c r="F10" s="157">
        <f>'Data Entry'!H11/'Data Entry'!B11</f>
        <v>0</v>
      </c>
      <c r="G10" s="157">
        <f>'Data Entry'!I11/'Data Entry'!B11</f>
        <v>0</v>
      </c>
      <c r="H10" s="157">
        <f>SUM(D10:G10)/'Data Entry'!B11</f>
        <v>0</v>
      </c>
      <c r="I10" s="157">
        <f>'Data Entry'!C11/'Data Entry'!B11</f>
        <v>0.75</v>
      </c>
      <c r="K10" s="97" t="str">
        <f t="shared" si="0"/>
        <v>Petitions, total N=8</v>
      </c>
      <c r="L10">
        <f>I14/(SUM(B14:G14))</f>
        <v>5.7744360902255636</v>
      </c>
    </row>
    <row r="11" spans="1:12" x14ac:dyDescent="0.2">
      <c r="A11" s="132" t="str">
        <f>CONCATENATE("Detentions, total N=", 'Data Entry'!B10)</f>
        <v>Detentions, total N=3</v>
      </c>
      <c r="B11" s="157">
        <f>'Data Entry'!D10/'Data Entry'!B10</f>
        <v>0</v>
      </c>
      <c r="C11" s="157">
        <f>'Data Entry'!E10/'Data Entry'!B10</f>
        <v>1</v>
      </c>
      <c r="D11" s="157">
        <f>'Data Entry'!F10/'Data Entry'!B10</f>
        <v>0</v>
      </c>
      <c r="E11" s="157">
        <f>'Data Entry'!G10/'Data Entry'!B10</f>
        <v>0</v>
      </c>
      <c r="F11" s="157">
        <f>'Data Entry'!H10/'Data Entry'!B10</f>
        <v>0</v>
      </c>
      <c r="G11" s="157">
        <f>'Data Entry'!I10/'Data Entry'!B10</f>
        <v>0</v>
      </c>
      <c r="H11" s="157">
        <f>SUM(D11:G11)/'Data Entry'!B10</f>
        <v>0</v>
      </c>
      <c r="I11" s="157">
        <f>'Data Entry'!C10/'Data Entry'!B10</f>
        <v>0</v>
      </c>
      <c r="K11" s="97" t="str">
        <f t="shared" si="0"/>
        <v>Detentions, total N=3</v>
      </c>
      <c r="L11">
        <f>I14/(SUM(B14:G14))</f>
        <v>5.7744360902255636</v>
      </c>
    </row>
    <row r="12" spans="1:12" x14ac:dyDescent="0.2">
      <c r="A12" s="132" t="str">
        <f>CONCATENATE("Referrals, total N=", 'Data Entry'!B8)</f>
        <v>Referrals, total N=22</v>
      </c>
      <c r="B12" s="157">
        <f>'Data Entry'!D8/'Data Entry'!B8</f>
        <v>4.5454545454545456E-2</v>
      </c>
      <c r="C12" s="157">
        <f>'Data Entry'!E8/'Data Entry'!B8</f>
        <v>9.0909090909090912E-2</v>
      </c>
      <c r="D12" s="157">
        <f>'Data Entry'!F8/'Data Entry'!B8</f>
        <v>0</v>
      </c>
      <c r="E12" s="157">
        <f>'Data Entry'!G8/'Data Entry'!B8</f>
        <v>0</v>
      </c>
      <c r="F12" s="157">
        <f>'Data Entry'!H8/'Data Entry'!B8</f>
        <v>4.5454545454545456E-2</v>
      </c>
      <c r="G12" s="157">
        <f>'Data Entry'!I8/'Data Entry'!B8</f>
        <v>4.5454545454545456E-2</v>
      </c>
      <c r="H12" s="157">
        <f>SUM(D12:G12)/'Data Entry'!B8</f>
        <v>4.1322314049586778E-3</v>
      </c>
      <c r="I12" s="157">
        <f>'Data Entry'!C8/'Data Entry'!B8</f>
        <v>0.77272727272727271</v>
      </c>
      <c r="K12" s="97" t="str">
        <f t="shared" si="0"/>
        <v>Referrals, total N=22</v>
      </c>
      <c r="L12">
        <f>I14/(SUM(B14:G14))</f>
        <v>5.7744360902255636</v>
      </c>
    </row>
    <row r="13" spans="1:12" x14ac:dyDescent="0.2">
      <c r="A13" s="132" t="str">
        <f>CONCATENATE("Arrests, total N=", 'Data Entry'!B7)</f>
        <v>Arrests, total N=7</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N=7</v>
      </c>
      <c r="L13">
        <f>I14/(SUM(B14:G14))</f>
        <v>5.7744360902255636</v>
      </c>
    </row>
    <row r="14" spans="1:12" x14ac:dyDescent="0.2">
      <c r="A14" s="132" t="str">
        <f>CONCATENATE("Population, total N=", 'Data Entry'!B6)</f>
        <v>Population, total N=1802</v>
      </c>
      <c r="B14" s="157">
        <f>'Data Entry'!D6/'Data Entry'!B6</f>
        <v>2.3307436182019976E-2</v>
      </c>
      <c r="C14" s="157">
        <f>'Data Entry'!E6/'Data Entry'!B6</f>
        <v>8.324084350721421E-2</v>
      </c>
      <c r="D14" s="157">
        <f>'Data Entry'!F6/'Data Entry'!B6</f>
        <v>9.433962264150943E-3</v>
      </c>
      <c r="E14" s="157">
        <f>'Data Entry'!G6/'Data Entry'!B6</f>
        <v>0</v>
      </c>
      <c r="F14" s="157">
        <f>'Data Entry'!H6/'Data Entry'!B6</f>
        <v>3.1631520532741396E-2</v>
      </c>
      <c r="G14" s="157">
        <f>'Data Entry'!I6/'Data Entry'!B6</f>
        <v>0</v>
      </c>
      <c r="H14" s="157">
        <f>SUM(D14:G14)/'Data Entry'!B6</f>
        <v>2.2788836180295414E-5</v>
      </c>
      <c r="I14" s="157">
        <f>'Data Entry'!C6/'Data Entry'!B6</f>
        <v>0.85238623751387343</v>
      </c>
      <c r="K14" s="97" t="str">
        <f t="shared" si="0"/>
        <v>Population, total N=1802</v>
      </c>
      <c r="L14">
        <f>I14/(SUM(B14:G14))</f>
        <v>5.7744360902255636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Manistee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1536</v>
      </c>
      <c r="D7" s="105">
        <f>'Data Entry'!D6</f>
        <v>42</v>
      </c>
      <c r="E7" s="106"/>
      <c r="F7" s="107">
        <f>'Data Entry'!E6</f>
        <v>150</v>
      </c>
      <c r="G7" s="106"/>
      <c r="H7" s="107">
        <f>'Data Entry'!F6</f>
        <v>17</v>
      </c>
      <c r="I7" s="106"/>
      <c r="J7" s="107">
        <f>'Data Entry'!J6</f>
        <v>266</v>
      </c>
      <c r="K7" s="108"/>
    </row>
    <row r="8" spans="2:30" s="1" customFormat="1" ht="15" customHeight="1" x14ac:dyDescent="0.3">
      <c r="B8" s="125" t="s">
        <v>8</v>
      </c>
      <c r="C8" s="104">
        <f>'Data Entry'!C7</f>
        <v>7</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17</v>
      </c>
      <c r="D9" s="109">
        <f>'Data Entry'!D8</f>
        <v>1</v>
      </c>
      <c r="E9" s="110" t="str">
        <f>'Black or African-American'!$G8</f>
        <v>**</v>
      </c>
      <c r="F9" s="111">
        <f>'Data Entry'!E8</f>
        <v>2</v>
      </c>
      <c r="G9" s="110" t="str">
        <f>Hispanic!G8</f>
        <v>**</v>
      </c>
      <c r="H9" s="111">
        <f>'Data Entry'!F8</f>
        <v>0</v>
      </c>
      <c r="I9" s="110" t="str">
        <f>Asian!G8</f>
        <v>*</v>
      </c>
      <c r="J9" s="111">
        <f>'Data Entry'!J8</f>
        <v>5</v>
      </c>
      <c r="K9" s="112" t="str">
        <f>'All Minorities'!G8</f>
        <v>**</v>
      </c>
      <c r="L9"/>
      <c r="N9" s="1">
        <f>'Black or African-American'!L8</f>
        <v>20</v>
      </c>
      <c r="O9" s="1">
        <f>Hispanic!L8</f>
        <v>20</v>
      </c>
      <c r="P9" s="1">
        <f>Asian!L8</f>
        <v>139</v>
      </c>
      <c r="Q9" s="1">
        <f>Hawaiian!L8</f>
        <v>139</v>
      </c>
      <c r="R9" s="1">
        <f>'Am Indian'!L8</f>
        <v>20</v>
      </c>
      <c r="S9" s="1">
        <f>'Other - Mixed'!L8</f>
        <v>119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3</v>
      </c>
      <c r="G11" s="110" t="str">
        <f>Hispanic!G10</f>
        <v>**</v>
      </c>
      <c r="H11" s="111">
        <f>'Data Entry'!F10</f>
        <v>0</v>
      </c>
      <c r="I11" s="110" t="str">
        <f>Asian!G10</f>
        <v>*</v>
      </c>
      <c r="J11" s="111">
        <f>'Data Entry'!J10</f>
        <v>3</v>
      </c>
      <c r="K11" s="112" t="str">
        <f>'All Minorities'!G10</f>
        <v>**</v>
      </c>
      <c r="L11"/>
      <c r="N11" s="1" t="e">
        <f>'Black or African-American'!L10</f>
        <v>#VALUE!</v>
      </c>
      <c r="O11" s="1">
        <f>Hispanic!L10</f>
        <v>20</v>
      </c>
      <c r="P11" s="1" t="e">
        <f>Asian!L10</f>
        <v>#VALUE!</v>
      </c>
      <c r="Q11" s="1" t="e">
        <f>Hawaiian!L10</f>
        <v>#VALUE!</v>
      </c>
      <c r="R11" s="1" t="e">
        <f>'Am Indian'!L10</f>
        <v>#VALUE!</v>
      </c>
      <c r="S11" s="1" t="e">
        <f>'Other - Mixed'!L10</f>
        <v>#VALUE!</v>
      </c>
      <c r="T11" s="1">
        <f>'All Minorities'!L10</f>
        <v>20</v>
      </c>
    </row>
    <row r="12" spans="2:30" s="1" customFormat="1" ht="15" customHeight="1" x14ac:dyDescent="0.3">
      <c r="B12" s="125" t="s">
        <v>95</v>
      </c>
      <c r="C12" s="104">
        <f>'Data Entry'!C11</f>
        <v>6</v>
      </c>
      <c r="D12" s="113">
        <f>'Data Entry'!D11</f>
        <v>0</v>
      </c>
      <c r="E12" s="114" t="str">
        <f>'Black or African-American'!$G11</f>
        <v>**</v>
      </c>
      <c r="F12" s="115">
        <f>'Data Entry'!E11</f>
        <v>2</v>
      </c>
      <c r="G12" s="114" t="str">
        <f>Hispanic!G11</f>
        <v>**</v>
      </c>
      <c r="H12" s="115">
        <f>'Data Entry'!F11</f>
        <v>0</v>
      </c>
      <c r="I12" s="114" t="str">
        <f>Asian!G11</f>
        <v>*</v>
      </c>
      <c r="J12" s="115">
        <f>'Data Entry'!J11</f>
        <v>2</v>
      </c>
      <c r="K12" s="116" t="str">
        <f>'All Minorities'!G11</f>
        <v>**</v>
      </c>
      <c r="L12"/>
      <c r="N12" s="1">
        <f>'Black or African-American'!L11</f>
        <v>40</v>
      </c>
      <c r="O12" s="1">
        <f>Hispanic!L11</f>
        <v>40</v>
      </c>
      <c r="P12" s="1" t="e">
        <f>Asian!L11</f>
        <v>#VALUE!</v>
      </c>
      <c r="Q12" s="1" t="e">
        <f>Hawaiian!L11</f>
        <v>#VALUE!</v>
      </c>
      <c r="R12" s="1">
        <f>'Am Indian'!L11</f>
        <v>40</v>
      </c>
      <c r="S12" s="1">
        <f>'Other - Mixed'!L11</f>
        <v>139</v>
      </c>
      <c r="T12" s="1">
        <f>'All Minorities'!L11</f>
        <v>40</v>
      </c>
    </row>
    <row r="13" spans="2:30" s="1" customFormat="1" ht="15" customHeight="1" x14ac:dyDescent="0.3">
      <c r="B13" s="125" t="s">
        <v>13</v>
      </c>
      <c r="C13" s="104">
        <f>'Data Entry'!C12</f>
        <v>3</v>
      </c>
      <c r="D13" s="109">
        <f>'Data Entry'!D12</f>
        <v>0</v>
      </c>
      <c r="E13" s="110" t="str">
        <f>'Black or African-American'!$G12</f>
        <v>--</v>
      </c>
      <c r="F13" s="111">
        <f>'Data Entry'!E12</f>
        <v>1</v>
      </c>
      <c r="G13" s="110" t="str">
        <f>Hispanic!G12</f>
        <v>--</v>
      </c>
      <c r="H13" s="111">
        <f>'Data Entry'!F12</f>
        <v>0</v>
      </c>
      <c r="I13" s="110" t="str">
        <f>Asian!G12</f>
        <v>*</v>
      </c>
      <c r="J13" s="111">
        <f>'Data Entry'!J12</f>
        <v>1</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9</v>
      </c>
      <c r="D14" s="113">
        <f>'Data Entry'!D13</f>
        <v>1</v>
      </c>
      <c r="E14" s="114" t="str">
        <f>'Black or African-American'!$G13</f>
        <v>--</v>
      </c>
      <c r="F14" s="115">
        <f>'Data Entry'!E13</f>
        <v>2</v>
      </c>
      <c r="G14" s="114" t="str">
        <f>Hispanic!G13</f>
        <v>**</v>
      </c>
      <c r="H14" s="115">
        <f>'Data Entry'!F13</f>
        <v>0</v>
      </c>
      <c r="I14" s="114" t="str">
        <f>Asian!G13</f>
        <v>*</v>
      </c>
      <c r="J14" s="115">
        <f>'Data Entry'!J13</f>
        <v>5</v>
      </c>
      <c r="K14" s="116" t="str">
        <f>'All Minorities'!G13</f>
        <v>**</v>
      </c>
      <c r="L14"/>
      <c r="N14" s="1" t="e">
        <f>'Black or African-American'!L13</f>
        <v>#DIV/0!</v>
      </c>
      <c r="O14" s="1">
        <f>Hispanic!L13</f>
        <v>40</v>
      </c>
      <c r="P14" s="1" t="e">
        <f>Asian!L13</f>
        <v>#VALUE!</v>
      </c>
      <c r="Q14" s="1" t="e">
        <f>Hawaiian!L13</f>
        <v>#VALUE!</v>
      </c>
      <c r="R14" s="1" t="e">
        <f>'Am Indian'!L13</f>
        <v>#DIV/0!</v>
      </c>
      <c r="S14" s="1" t="e">
        <f>'Other - Mixed'!L13</f>
        <v>#DIV/0!</v>
      </c>
      <c r="T14" s="1">
        <f>'All Minorities'!L13</f>
        <v>40</v>
      </c>
      <c r="W14" s="135"/>
      <c r="X14" s="135"/>
      <c r="Y14" s="135"/>
      <c r="Z14" s="135"/>
      <c r="AA14" s="135"/>
      <c r="AB14" s="135"/>
      <c r="AC14" s="135"/>
      <c r="AD14" s="135"/>
    </row>
    <row r="15" spans="2:30" s="1" customFormat="1" ht="33" x14ac:dyDescent="0.3">
      <c r="B15" s="130" t="s">
        <v>123</v>
      </c>
      <c r="C15" s="104">
        <f>'Data Entry'!C14</f>
        <v>1</v>
      </c>
      <c r="D15" s="109">
        <f>'Data Entry'!D14</f>
        <v>0</v>
      </c>
      <c r="E15" s="110" t="str">
        <f>'Black or African-American'!$G14</f>
        <v>--</v>
      </c>
      <c r="F15" s="111">
        <f>'Data Entry'!E14</f>
        <v>1</v>
      </c>
      <c r="G15" s="110" t="str">
        <f>Hispanic!G14</f>
        <v>**</v>
      </c>
      <c r="H15" s="111">
        <f>'Data Entry'!F14</f>
        <v>0</v>
      </c>
      <c r="I15" s="110" t="str">
        <f>Asian!G14</f>
        <v>*</v>
      </c>
      <c r="J15" s="111">
        <f>'Data Entry'!J14</f>
        <v>1</v>
      </c>
      <c r="K15" s="112" t="str">
        <f>'All Minorities'!G14</f>
        <v>**</v>
      </c>
      <c r="L15"/>
      <c r="N15" s="1" t="e">
        <f>'Black or African-American'!L14</f>
        <v>#VALUE!</v>
      </c>
      <c r="O15" s="1">
        <f>Hispanic!L14</f>
        <v>40</v>
      </c>
      <c r="P15" s="1" t="e">
        <f>Asian!L14</f>
        <v>#VALUE!</v>
      </c>
      <c r="Q15" s="1" t="e">
        <f>Hawaiian!L14</f>
        <v>#VALUE!</v>
      </c>
      <c r="R15" s="1" t="e">
        <f>'Am Indian'!L14</f>
        <v>#VALUE!</v>
      </c>
      <c r="S15" s="1" t="e">
        <f>'Other - Mixed'!L14</f>
        <v>#VALUE!</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Entry'!D6</f>
        <v>42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42</v>
      </c>
      <c r="P7" s="42">
        <f t="shared" ref="P7:P15" si="2">C7</f>
        <v>7</v>
      </c>
      <c r="Q7" s="42">
        <f>C6-C7</f>
        <v>1529</v>
      </c>
      <c r="R7" s="42">
        <f t="shared" ref="R7:R15" si="3">SUM(N7:Q7)</f>
        <v>1578</v>
      </c>
      <c r="S7" s="30">
        <f t="shared" ref="S7:S15" si="4">R7*((((N7*Q7)-(O7*P7))^2))</f>
        <v>136396008</v>
      </c>
      <c r="T7" s="30">
        <f t="shared" ref="T7:T15" si="5">(N7+O7)*(P7+Q7)*(N7+P7)*(O7+Q7)</f>
        <v>709438464</v>
      </c>
      <c r="U7" s="31">
        <f t="shared" ref="U7:U15" si="6">IF((S7&gt;0),S7/T7,"- -")</f>
        <v>0.19225911043921071</v>
      </c>
    </row>
    <row r="8" spans="2:21" ht="18" customHeight="1" x14ac:dyDescent="0.25">
      <c r="B8" s="32" t="str">
        <f>'Data Entry'!A8</f>
        <v>3. Refer to Juvenile Court</v>
      </c>
      <c r="C8" s="33">
        <f>'Data Entry'!C8</f>
        <v>17</v>
      </c>
      <c r="D8" s="34">
        <f>IF((AND(C67&gt;0,C8&gt;0)),(C8/C67),0)</f>
        <v>242.85714285714283</v>
      </c>
      <c r="E8" s="33">
        <f>'Data Entry'!D8</f>
        <v>1</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v>
      </c>
      <c r="O8" s="42">
        <f>((D67*L67)-E8)+0.05</f>
        <v>-0.95</v>
      </c>
      <c r="P8" s="42">
        <f t="shared" si="2"/>
        <v>17</v>
      </c>
      <c r="Q8" s="42">
        <f>(C$67*L67)-C8</f>
        <v>-10</v>
      </c>
      <c r="R8" s="42">
        <f t="shared" si="3"/>
        <v>7.0500000000000007</v>
      </c>
      <c r="S8" s="30">
        <f t="shared" si="4"/>
        <v>266.64862499999992</v>
      </c>
      <c r="T8" s="30">
        <f t="shared" si="5"/>
        <v>-68.985000000000056</v>
      </c>
      <c r="U8" s="31">
        <f t="shared" si="6"/>
        <v>-3.865313111545984</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17</v>
      </c>
      <c r="R9" s="42">
        <f t="shared" si="3"/>
        <v>18</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17</v>
      </c>
      <c r="R10" s="42">
        <f t="shared" si="3"/>
        <v>18</v>
      </c>
      <c r="S10" s="30">
        <f t="shared" si="4"/>
        <v>0</v>
      </c>
      <c r="T10" s="30">
        <f t="shared" si="5"/>
        <v>0</v>
      </c>
      <c r="U10" s="31" t="str">
        <f t="shared" si="6"/>
        <v>- -</v>
      </c>
    </row>
    <row r="11" spans="2:21" ht="18" customHeight="1" x14ac:dyDescent="0.25">
      <c r="B11" s="32" t="str">
        <f>'Data Entry'!A11</f>
        <v>6. Cases Petitioned (Charge Filed)</v>
      </c>
      <c r="C11" s="33">
        <f>'Data Entry'!C11</f>
        <v>6</v>
      </c>
      <c r="D11" s="34">
        <f>IF(((AND(C68&gt;0,C11&gt;0))),(C11/(C68)),0)</f>
        <v>35.294117647058819</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6</v>
      </c>
      <c r="Q11" s="42">
        <f>(C$68*L68)-C11</f>
        <v>11</v>
      </c>
      <c r="R11" s="42">
        <f t="shared" si="3"/>
        <v>18</v>
      </c>
      <c r="S11" s="30">
        <f t="shared" si="4"/>
        <v>648</v>
      </c>
      <c r="T11" s="30">
        <f t="shared" si="5"/>
        <v>1224</v>
      </c>
      <c r="U11" s="31">
        <f t="shared" si="6"/>
        <v>0.52941176470588236</v>
      </c>
    </row>
    <row r="12" spans="2:21" ht="18" customHeight="1" x14ac:dyDescent="0.25">
      <c r="B12" s="32" t="str">
        <f>'Data Entry'!A12</f>
        <v>7. Cases Resulting in Delinquent Findings</v>
      </c>
      <c r="C12" s="33">
        <f>'Data Entry'!C12</f>
        <v>3</v>
      </c>
      <c r="D12" s="34">
        <f>IF(((AND(C69&gt;0,C12&gt;0))),(C12/(C69)),0)</f>
        <v>50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v>
      </c>
      <c r="Q12" s="42">
        <f>(C69*L69)-C12</f>
        <v>3</v>
      </c>
      <c r="R12" s="42">
        <f t="shared" si="3"/>
        <v>6</v>
      </c>
      <c r="S12" s="30">
        <f t="shared" si="4"/>
        <v>0</v>
      </c>
      <c r="T12" s="30">
        <f t="shared" si="5"/>
        <v>0</v>
      </c>
      <c r="U12" s="31" t="str">
        <f t="shared" si="6"/>
        <v>- -</v>
      </c>
    </row>
    <row r="13" spans="2:21" ht="18" customHeight="1" x14ac:dyDescent="0.25">
      <c r="B13" s="32" t="str">
        <f>'Data Entry'!A13</f>
        <v>8. Cases Resulting in Probation Placement</v>
      </c>
      <c r="C13" s="33">
        <f>'Data Entry'!C13</f>
        <v>9</v>
      </c>
      <c r="D13" s="34">
        <f>IF(((AND(C70&gt;0,C13&gt;0))),(C13/(C70)),0)</f>
        <v>300</v>
      </c>
      <c r="E13" s="33">
        <f>'Data Entry'!D13</f>
        <v>1</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1</v>
      </c>
      <c r="O13" s="42">
        <f>(D70*L70)-E13</f>
        <v>-1</v>
      </c>
      <c r="P13" s="42">
        <f t="shared" si="2"/>
        <v>9</v>
      </c>
      <c r="Q13" s="42">
        <f>(C70*L70)-C13</f>
        <v>-6</v>
      </c>
      <c r="R13" s="42">
        <f t="shared" si="3"/>
        <v>3</v>
      </c>
      <c r="S13" s="30">
        <f t="shared" si="4"/>
        <v>27</v>
      </c>
      <c r="T13" s="30">
        <f t="shared" si="5"/>
        <v>0</v>
      </c>
      <c r="U13" s="31" t="e">
        <f t="shared" si="6"/>
        <v>#DIV/0!</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2</v>
      </c>
      <c r="R14" s="42">
        <f t="shared" si="3"/>
        <v>3</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6</v>
      </c>
      <c r="R15" s="42">
        <f t="shared" si="3"/>
        <v>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4.2000000000000003E-2</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0.01</v>
      </c>
      <c r="E44" s="56">
        <f>MAX(C44:D44,0)</f>
        <v>0.17</v>
      </c>
      <c r="G44" s="1" t="str">
        <f>B44</f>
        <v>per 100 referrals</v>
      </c>
      <c r="L44" s="57">
        <v>100</v>
      </c>
      <c r="M44" s="57"/>
      <c r="R44" s="49"/>
    </row>
    <row r="45" spans="2:18" ht="15" hidden="1" customHeight="1" x14ac:dyDescent="0.25">
      <c r="B45" s="49" t="s">
        <v>89</v>
      </c>
      <c r="C45" s="49">
        <f>C11/100</f>
        <v>0.06</v>
      </c>
      <c r="D45" s="49">
        <f>E11/100</f>
        <v>0</v>
      </c>
      <c r="E45" s="56">
        <f>MAX(C45:D45,0)</f>
        <v>0.06</v>
      </c>
      <c r="G45" s="1" t="str">
        <f>B45</f>
        <v>per 100 youth petitioned</v>
      </c>
      <c r="L45" s="57">
        <v>100</v>
      </c>
      <c r="M45" s="57"/>
      <c r="R45" s="49"/>
    </row>
    <row r="46" spans="2:18" ht="15" hidden="1" customHeight="1" x14ac:dyDescent="0.25">
      <c r="B46" s="49" t="s">
        <v>90</v>
      </c>
      <c r="C46" s="49">
        <f>C12/100</f>
        <v>0.03</v>
      </c>
      <c r="D46" s="49">
        <f>E12/100</f>
        <v>0</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4.2000000000000003E-2</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4.2000000000000003E-2</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0.01</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4.2000000000000003E-2</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0.01</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4.2000000000000003E-2</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0.01</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Entry'!F6</f>
        <v>17</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17</v>
      </c>
      <c r="P7" s="42">
        <f t="shared" ref="P7:P15" si="4">C7</f>
        <v>7</v>
      </c>
      <c r="Q7" s="42">
        <f>C6-C7</f>
        <v>1529</v>
      </c>
      <c r="R7" s="42">
        <f t="shared" ref="R7:R15" si="5">SUM(N7:Q7)</f>
        <v>1553</v>
      </c>
      <c r="S7" s="30">
        <f t="shared" ref="S7:S15" si="6">R7*((((N7*Q7)-(O7*P7))^2))</f>
        <v>21992033</v>
      </c>
      <c r="T7" s="30">
        <f t="shared" ref="T7:T15" si="7">(N7+O7)*(P7+Q7)*(N7+P7)*(O7+Q7)</f>
        <v>282584064</v>
      </c>
      <c r="U7" s="31">
        <f t="shared" ref="U7:U15" si="8">IF((S7&gt;0),S7/T7,"- -")</f>
        <v>7.7824745984260452E-2</v>
      </c>
    </row>
    <row r="8" spans="2:21" ht="18" customHeight="1" x14ac:dyDescent="0.25">
      <c r="B8" s="32" t="str">
        <f>'Data Entry'!A8</f>
        <v>3. Refer to Juvenile Court</v>
      </c>
      <c r="C8" s="33">
        <f>'Data Entry'!C8</f>
        <v>17</v>
      </c>
      <c r="D8" s="34">
        <f>IF((AND(C67&gt;0,C8&gt;0)),(C8/C67),0)</f>
        <v>242.85714285714283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-10</v>
      </c>
      <c r="R8" s="42">
        <f t="shared" si="5"/>
        <v>7.0500000000000007</v>
      </c>
      <c r="S8" s="30">
        <f t="shared" si="6"/>
        <v>5.0936250000000012</v>
      </c>
      <c r="T8" s="30">
        <f t="shared" si="7"/>
        <v>-59.202500000000001</v>
      </c>
      <c r="U8" s="31">
        <f t="shared" si="8"/>
        <v>-8.6037329504666207E-2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x14ac:dyDescent="0.25">
      <c r="B11" s="32" t="str">
        <f>'Data Entry'!A11</f>
        <v>6. Cases Petitioned (Charge Filed)</v>
      </c>
      <c r="C11" s="33">
        <f>'Data Entry'!C11</f>
        <v>6</v>
      </c>
      <c r="D11" s="34">
        <f>IF(((AND(C68&gt;0,C11&gt;0))),(C11/(C68)),0)</f>
        <v>35.294117647058819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11</v>
      </c>
      <c r="R11" s="42">
        <f t="shared" si="5"/>
        <v>17</v>
      </c>
      <c r="S11" s="30">
        <f t="shared" si="6"/>
        <v>0</v>
      </c>
      <c r="T11" s="30">
        <f t="shared" si="7"/>
        <v>0</v>
      </c>
      <c r="U11" s="31" t="str">
        <f t="shared" si="8"/>
        <v>- -</v>
      </c>
    </row>
    <row r="12" spans="2:21" ht="18" customHeight="1" x14ac:dyDescent="0.25">
      <c r="B12" s="32" t="str">
        <f>'Data Entry'!A12</f>
        <v>7. Cases Resulting in Delinquent Findings</v>
      </c>
      <c r="C12" s="33">
        <f>'Data Entry'!C12</f>
        <v>3</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3</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300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1.7000000000000001E-2</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v>
      </c>
      <c r="E44" s="56">
        <f>MAX(C44:D44,0)</f>
        <v>0.17</v>
      </c>
      <c r="G44" s="1" t="str">
        <f>B44</f>
        <v>per 100 referrals</v>
      </c>
      <c r="L44" s="57">
        <v>100</v>
      </c>
      <c r="M44" s="57"/>
      <c r="R44" s="49"/>
    </row>
    <row r="45" spans="2:18" ht="15" hidden="1" customHeight="1" x14ac:dyDescent="0.25">
      <c r="B45" s="49" t="s">
        <v>89</v>
      </c>
      <c r="C45" s="49">
        <f>C11/100</f>
        <v>0.06</v>
      </c>
      <c r="D45" s="49">
        <f>E11/100</f>
        <v>0</v>
      </c>
      <c r="E45" s="56">
        <f>MAX(C45:D45,0)</f>
        <v>0.06</v>
      </c>
      <c r="G45" s="1" t="str">
        <f>B45</f>
        <v>per 100 youth petitioned</v>
      </c>
      <c r="L45" s="57">
        <v>100</v>
      </c>
      <c r="M45" s="57"/>
      <c r="R45" s="49"/>
    </row>
    <row r="46" spans="2:18" ht="15" hidden="1" customHeight="1" x14ac:dyDescent="0.25">
      <c r="B46" s="49" t="s">
        <v>90</v>
      </c>
      <c r="C46" s="49">
        <f>C12/100</f>
        <v>0.03</v>
      </c>
      <c r="D46" s="49">
        <f>E12/100</f>
        <v>0</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1.7000000000000001E-2</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1.7000000000000001E-2</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1.7000000000000001E-2</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1.7000000000000001E-2</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Entry'!E6</f>
        <v>150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150</v>
      </c>
      <c r="P7" s="42">
        <f t="shared" ref="P7:P15" si="4">C7</f>
        <v>7</v>
      </c>
      <c r="Q7" s="42">
        <f>C6-C7</f>
        <v>1529</v>
      </c>
      <c r="R7" s="42">
        <f t="shared" ref="R7:R15" si="5">SUM(N7:Q7)</f>
        <v>1686</v>
      </c>
      <c r="S7" s="30">
        <f t="shared" ref="S7:S15" si="6">R7*((((N7*Q7)-(O7*P7))^2))</f>
        <v>1858815000</v>
      </c>
      <c r="T7" s="30">
        <f t="shared" ref="T7:T15" si="7">(N7+O7)*(P7+Q7)*(N7+P7)*(O7+Q7)</f>
        <v>2707891200</v>
      </c>
      <c r="U7" s="31">
        <f t="shared" ref="U7:U15" si="8">IF((S7&gt;0),S7/T7,"- -")</f>
        <v>0.68644375372245381</v>
      </c>
    </row>
    <row r="8" spans="2:21" ht="18" customHeight="1" x14ac:dyDescent="0.25">
      <c r="B8" s="32" t="str">
        <f>'Data Entry'!A8</f>
        <v>3. Refer to Juvenile Court</v>
      </c>
      <c r="C8" s="33">
        <f>'Data Entry'!C8</f>
        <v>17</v>
      </c>
      <c r="D8" s="34">
        <f>IF((AND(C67&gt;0,C8&gt;0)),(C8/C67),0)</f>
        <v>242.85714285714283</v>
      </c>
      <c r="E8" s="33">
        <f>'Data Entry'!E8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17</v>
      </c>
      <c r="Q8" s="42">
        <f>(C$67*L67)-C8</f>
        <v>-10</v>
      </c>
      <c r="R8" s="42">
        <f t="shared" si="5"/>
        <v>7.0500000000000007</v>
      </c>
      <c r="S8" s="30">
        <f t="shared" si="6"/>
        <v>1219.1036249999997</v>
      </c>
      <c r="T8" s="30">
        <f t="shared" si="7"/>
        <v>-79.467500000000058</v>
      </c>
      <c r="U8" s="31">
        <f t="shared" si="8"/>
        <v>-15.340908232925395</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17</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3</v>
      </c>
      <c r="F10" s="34">
        <f>IF(((AND($E$10&gt;0,$D$68&gt;0))),($E$10/($D$68)),0)</f>
        <v>150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3</v>
      </c>
      <c r="O10" s="42">
        <f>(D$68*L68)-E10</f>
        <v>-1</v>
      </c>
      <c r="P10" s="42">
        <f t="shared" si="4"/>
        <v>0</v>
      </c>
      <c r="Q10" s="42">
        <f>(C$68*L68)-C10</f>
        <v>17</v>
      </c>
      <c r="R10" s="42">
        <f t="shared" si="5"/>
        <v>19</v>
      </c>
      <c r="S10" s="30">
        <f t="shared" si="6"/>
        <v>49419</v>
      </c>
      <c r="T10" s="30">
        <f t="shared" si="7"/>
        <v>1632</v>
      </c>
      <c r="U10" s="31">
        <f t="shared" si="8"/>
        <v>30.28125</v>
      </c>
    </row>
    <row r="11" spans="2:21" ht="18" customHeight="1" x14ac:dyDescent="0.25">
      <c r="B11" s="32" t="str">
        <f>'Data Entry'!A11</f>
        <v>6. Cases Petitioned (Charge Filed)</v>
      </c>
      <c r="C11" s="33">
        <f>'Data Entry'!C11</f>
        <v>6</v>
      </c>
      <c r="D11" s="34">
        <f>IF(((AND(C68&gt;0,C11&gt;0))),(C11/(C68)),0)</f>
        <v>35.294117647058819</v>
      </c>
      <c r="E11" s="33">
        <f>'Data Entry'!E11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6</v>
      </c>
      <c r="Q11" s="42">
        <f>(C$68*L68)-C11</f>
        <v>11</v>
      </c>
      <c r="R11" s="42">
        <f t="shared" si="5"/>
        <v>19</v>
      </c>
      <c r="S11" s="30">
        <f t="shared" si="6"/>
        <v>9196</v>
      </c>
      <c r="T11" s="30">
        <f t="shared" si="7"/>
        <v>2992</v>
      </c>
      <c r="U11" s="31">
        <f t="shared" si="8"/>
        <v>3.0735294117647061</v>
      </c>
    </row>
    <row r="12" spans="2:21" ht="18" customHeight="1" x14ac:dyDescent="0.25">
      <c r="B12" s="32" t="str">
        <f>'Data Entry'!A12</f>
        <v>7. Cases Resulting in Delinquent Findings</v>
      </c>
      <c r="C12" s="33">
        <f>'Data Entry'!C12</f>
        <v>3</v>
      </c>
      <c r="D12" s="34">
        <f>IF(((AND(C69&gt;0,C12&gt;0))),(C12/(C69)),0)</f>
        <v>50</v>
      </c>
      <c r="E12" s="33">
        <f>'Data Entry'!E12</f>
        <v>1</v>
      </c>
      <c r="F12" s="34">
        <f>IF(((AND($D$69&gt;0,$E$12&gt;0))),(E12/(D69)),0)</f>
        <v>50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1</v>
      </c>
      <c r="P12" s="42">
        <f t="shared" si="4"/>
        <v>3</v>
      </c>
      <c r="Q12" s="42">
        <f>(C69*L69)-C12</f>
        <v>3</v>
      </c>
      <c r="R12" s="42">
        <f t="shared" si="5"/>
        <v>8</v>
      </c>
      <c r="S12" s="30">
        <f t="shared" si="6"/>
        <v>0</v>
      </c>
      <c r="T12" s="30">
        <f t="shared" si="7"/>
        <v>192</v>
      </c>
      <c r="U12" s="31" t="str">
        <f t="shared" si="8"/>
        <v>- -</v>
      </c>
    </row>
    <row r="13" spans="2:21" ht="18" customHeight="1" x14ac:dyDescent="0.25">
      <c r="B13" s="32" t="str">
        <f>'Data Entry'!A13</f>
        <v>8. Cases Resulting in Probation Placement</v>
      </c>
      <c r="C13" s="33">
        <f>'Data Entry'!C13</f>
        <v>9</v>
      </c>
      <c r="D13" s="34">
        <f>IF(((AND(C70&gt;0,C13&gt;0))),(C13/(C70)),0)</f>
        <v>300</v>
      </c>
      <c r="E13" s="33">
        <f>'Data Entry'!E13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9</v>
      </c>
      <c r="Q13" s="42">
        <f>(C70*L70)-C13</f>
        <v>-6</v>
      </c>
      <c r="R13" s="42">
        <f t="shared" si="5"/>
        <v>4</v>
      </c>
      <c r="S13" s="30">
        <f t="shared" si="6"/>
        <v>36</v>
      </c>
      <c r="T13" s="30">
        <f t="shared" si="7"/>
        <v>-231</v>
      </c>
      <c r="U13" s="31">
        <f t="shared" si="8"/>
        <v>-0.15584415584415584</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Entry'!E14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1</v>
      </c>
      <c r="Q14" s="42">
        <f>(C70*L70)-C14</f>
        <v>2</v>
      </c>
      <c r="R14" s="42">
        <f t="shared" si="5"/>
        <v>4</v>
      </c>
      <c r="S14" s="30">
        <f t="shared" si="6"/>
        <v>16</v>
      </c>
      <c r="T14" s="30">
        <f t="shared" si="7"/>
        <v>12</v>
      </c>
      <c r="U14" s="31">
        <f t="shared" si="8"/>
        <v>1.3333333333333333</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6</v>
      </c>
      <c r="R15" s="42">
        <f t="shared" si="5"/>
        <v>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0.15</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0.02</v>
      </c>
      <c r="E44" s="56">
        <f>MAX(C44:D44,0)</f>
        <v>0.17</v>
      </c>
      <c r="G44" s="1" t="str">
        <f>B44</f>
        <v>per 100 referrals</v>
      </c>
      <c r="L44" s="57">
        <v>100</v>
      </c>
      <c r="M44" s="57"/>
      <c r="R44" s="49"/>
    </row>
    <row r="45" spans="2:18" ht="15" hidden="1" customHeight="1" x14ac:dyDescent="0.25">
      <c r="B45" s="49" t="s">
        <v>89</v>
      </c>
      <c r="C45" s="49">
        <f>C11/100</f>
        <v>0.06</v>
      </c>
      <c r="D45" s="49">
        <f>E11/100</f>
        <v>0.02</v>
      </c>
      <c r="E45" s="56">
        <f>MAX(C45:D45,0)</f>
        <v>0.06</v>
      </c>
      <c r="G45" s="1" t="str">
        <f>B45</f>
        <v>per 100 youth petitioned</v>
      </c>
      <c r="L45" s="57">
        <v>100</v>
      </c>
      <c r="M45" s="57"/>
      <c r="R45" s="49"/>
    </row>
    <row r="46" spans="2:18" ht="15" hidden="1" customHeight="1" x14ac:dyDescent="0.25">
      <c r="B46" s="49" t="s">
        <v>90</v>
      </c>
      <c r="C46" s="49">
        <f>C12/100</f>
        <v>0.03</v>
      </c>
      <c r="D46" s="49">
        <f>E12/100</f>
        <v>0.01</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0.15</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0.02</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0.02</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0.01</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0.15</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0.02</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0.02</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0.01</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0.15</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0.02</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0.02</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0.01</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0.15</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0.02</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0.02</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0.01</v>
      </c>
      <c r="E70" s="56">
        <f>MAX(C70:D70)</f>
        <v>0.03</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1529</v>
      </c>
      <c r="R7" s="42">
        <f t="shared" ref="R7:R15" si="5">SUM(N7:Q7)</f>
        <v>1536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17</v>
      </c>
      <c r="D8" s="34">
        <f>IF((AND(C67&gt;0,C8&gt;0)),(C8/C67),0)</f>
        <v>242.85714285714283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-10</v>
      </c>
      <c r="R8" s="42">
        <f t="shared" si="5"/>
        <v>7.0500000000000007</v>
      </c>
      <c r="S8" s="30">
        <f t="shared" si="6"/>
        <v>5.0936250000000012</v>
      </c>
      <c r="T8" s="30">
        <f t="shared" si="7"/>
        <v>-59.202500000000001</v>
      </c>
      <c r="U8" s="31">
        <f t="shared" si="8"/>
        <v>-8.6037329504666207E-2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x14ac:dyDescent="0.25">
      <c r="B11" s="32" t="str">
        <f>'Data Entry'!A11</f>
        <v>6. Cases Petitioned (Charge Filed)</v>
      </c>
      <c r="C11" s="33">
        <f>'Data Entry'!C11</f>
        <v>6</v>
      </c>
      <c r="D11" s="34">
        <f>IF(((AND(C68&gt;0,C11&gt;0))),(C11/(C68)),0)</f>
        <v>35.294117647058819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6</v>
      </c>
      <c r="Q11" s="42">
        <f>(C$68*L68)-C11</f>
        <v>11</v>
      </c>
      <c r="R11" s="42">
        <f t="shared" si="5"/>
        <v>17</v>
      </c>
      <c r="S11" s="30">
        <f t="shared" si="6"/>
        <v>0</v>
      </c>
      <c r="T11" s="30">
        <f t="shared" si="7"/>
        <v>0</v>
      </c>
      <c r="U11" s="31" t="str">
        <f t="shared" si="8"/>
        <v>- -</v>
      </c>
    </row>
    <row r="12" spans="2:21" ht="18" customHeight="1" x14ac:dyDescent="0.25">
      <c r="B12" s="32" t="str">
        <f>'Data Entry'!A12</f>
        <v>7. Cases Resulting in Delinquent Findings</v>
      </c>
      <c r="C12" s="33">
        <f>'Data Entry'!C12</f>
        <v>3</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3</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300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9</v>
      </c>
      <c r="Q13" s="42">
        <f>(C70*L70)-C13</f>
        <v>-6</v>
      </c>
      <c r="R13" s="42">
        <f t="shared" si="5"/>
        <v>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0</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v>
      </c>
      <c r="E44" s="56">
        <f>MAX(C44:D44,0)</f>
        <v>0.17</v>
      </c>
      <c r="G44" s="1" t="str">
        <f>B44</f>
        <v>per 100 referrals</v>
      </c>
      <c r="L44" s="57">
        <v>100</v>
      </c>
      <c r="M44" s="57"/>
      <c r="R44" s="49"/>
    </row>
    <row r="45" spans="2:18" ht="15" hidden="1" customHeight="1" x14ac:dyDescent="0.25">
      <c r="B45" s="49" t="s">
        <v>89</v>
      </c>
      <c r="C45" s="49">
        <f>C11/100</f>
        <v>0.06</v>
      </c>
      <c r="D45" s="49">
        <f>E11/100</f>
        <v>0</v>
      </c>
      <c r="E45" s="56">
        <f>MAX(C45:D45,0)</f>
        <v>0.06</v>
      </c>
      <c r="G45" s="1" t="str">
        <f>B45</f>
        <v>per 100 youth petitioned</v>
      </c>
      <c r="L45" s="57">
        <v>100</v>
      </c>
      <c r="M45" s="57"/>
      <c r="R45" s="49"/>
    </row>
    <row r="46" spans="2:18" ht="15" hidden="1" customHeight="1" x14ac:dyDescent="0.25">
      <c r="B46" s="49" t="s">
        <v>90</v>
      </c>
      <c r="C46" s="49">
        <f>C12/100</f>
        <v>0.03</v>
      </c>
      <c r="D46" s="49">
        <f>E12/100</f>
        <v>0</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0</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0</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0</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0</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Manistee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1536</v>
      </c>
      <c r="D6" s="34"/>
      <c r="E6" s="33">
        <f>'Data Entry'!H6</f>
        <v>57</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4.557291666666667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57</v>
      </c>
      <c r="P7" s="42">
        <f t="shared" ref="P7:P15" si="4">C7</f>
        <v>7</v>
      </c>
      <c r="Q7" s="42">
        <f>C6-C7</f>
        <v>1529</v>
      </c>
      <c r="R7" s="42">
        <f t="shared" ref="R7:R15" si="5">SUM(N7:Q7)</f>
        <v>1593</v>
      </c>
      <c r="S7" s="30">
        <f t="shared" ref="S7:S15" si="6">R7*((((N7*Q7)-(O7*P7))^2))</f>
        <v>253607193</v>
      </c>
      <c r="T7" s="30">
        <f t="shared" ref="T7:T15" si="7">(N7+O7)*(P7+Q7)*(N7+P7)*(O7+Q7)</f>
        <v>972002304</v>
      </c>
      <c r="U7" s="31">
        <f t="shared" ref="U7:U15" si="8">IF((S7&gt;0),S7/T7,"- -")</f>
        <v>0.26091213154161413</v>
      </c>
    </row>
    <row r="8" spans="2:21" ht="18" customHeight="1" x14ac:dyDescent="0.25">
      <c r="B8" s="32" t="str">
        <f>'Data Entry'!A8</f>
        <v>3. Refer to Juvenile Court</v>
      </c>
      <c r="C8" s="33">
        <f>'Data Entry'!C8</f>
        <v>17</v>
      </c>
      <c r="D8" s="34">
        <f>IF((AND(C67&gt;0,C8&gt;0)),(C8/C67),0)</f>
        <v>242.85714285714283</v>
      </c>
      <c r="E8" s="33">
        <f>'Data Entry'!H8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17</v>
      </c>
      <c r="Q8" s="42">
        <f>(C$67*L67)-C8</f>
        <v>-10</v>
      </c>
      <c r="R8" s="42">
        <f t="shared" si="5"/>
        <v>7.0500000000000007</v>
      </c>
      <c r="S8" s="30">
        <f t="shared" si="6"/>
        <v>266.64862499999992</v>
      </c>
      <c r="T8" s="30">
        <f t="shared" si="7"/>
        <v>-68.985000000000056</v>
      </c>
      <c r="U8" s="31">
        <f t="shared" si="8"/>
        <v>-3.865313111545984</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17</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17</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6</v>
      </c>
      <c r="D11" s="34">
        <f>IF(((AND(C68&gt;0,C11&gt;0))),(C11/(C68)),0)</f>
        <v>35.294117647058819</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6</v>
      </c>
      <c r="Q11" s="42">
        <f>(C$68*L68)-C11</f>
        <v>11</v>
      </c>
      <c r="R11" s="42">
        <f t="shared" si="5"/>
        <v>18</v>
      </c>
      <c r="S11" s="30">
        <f t="shared" si="6"/>
        <v>648</v>
      </c>
      <c r="T11" s="30">
        <f t="shared" si="7"/>
        <v>1224</v>
      </c>
      <c r="U11" s="31">
        <f t="shared" si="8"/>
        <v>0.52941176470588236</v>
      </c>
    </row>
    <row r="12" spans="2:21" ht="18" customHeight="1" x14ac:dyDescent="0.25">
      <c r="B12" s="32" t="str">
        <f>'Data Entry'!A12</f>
        <v>7. Cases Resulting in Delinquent Findings</v>
      </c>
      <c r="C12" s="33">
        <f>'Data Entry'!C12</f>
        <v>3</v>
      </c>
      <c r="D12" s="34">
        <f>IF(((AND(C69&gt;0,C12&gt;0))),(C12/(C69)),0)</f>
        <v>50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3</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9</v>
      </c>
      <c r="D13" s="34">
        <f>IF(((AND(C70&gt;0,C13&gt;0))),(C13/(C70)),0)</f>
        <v>300</v>
      </c>
      <c r="E13" s="33">
        <f>'Data Entry'!H13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9</v>
      </c>
      <c r="Q13" s="42">
        <f>(C70*L70)-C13</f>
        <v>-6</v>
      </c>
      <c r="R13" s="42">
        <f t="shared" si="5"/>
        <v>3</v>
      </c>
      <c r="S13" s="30">
        <f t="shared" si="6"/>
        <v>27</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1</v>
      </c>
      <c r="D14" s="34">
        <f>IF(((AND(C70&gt;0,C14&gt;0))), ((C14/(C70))),0)</f>
        <v>33.333333333333336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1.536</v>
      </c>
      <c r="D42" s="56">
        <f>E6/1000</f>
        <v>5.7000000000000002E-2</v>
      </c>
      <c r="E42" s="56">
        <f>MAX(C42:D42)</f>
        <v>1.536</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0.17</v>
      </c>
      <c r="D44" s="56">
        <f>E8/100</f>
        <v>0.01</v>
      </c>
      <c r="E44" s="56">
        <f>MAX(C44:D44,0)</f>
        <v>0.17</v>
      </c>
      <c r="G44" s="1" t="str">
        <f>B44</f>
        <v>per 100 referrals</v>
      </c>
      <c r="L44" s="57">
        <v>100</v>
      </c>
      <c r="M44" s="57"/>
      <c r="R44" s="49"/>
    </row>
    <row r="45" spans="2:18" ht="15" hidden="1" customHeight="1" x14ac:dyDescent="0.25">
      <c r="B45" s="49" t="s">
        <v>89</v>
      </c>
      <c r="C45" s="49">
        <f>C11/100</f>
        <v>0.06</v>
      </c>
      <c r="D45" s="49">
        <f>E11/100</f>
        <v>0</v>
      </c>
      <c r="E45" s="56">
        <f>MAX(C45:D45,0)</f>
        <v>0.06</v>
      </c>
      <c r="G45" s="1" t="str">
        <f>B45</f>
        <v>per 100 youth petitioned</v>
      </c>
      <c r="L45" s="57">
        <v>100</v>
      </c>
      <c r="M45" s="57"/>
      <c r="R45" s="49"/>
    </row>
    <row r="46" spans="2:18" ht="15" hidden="1" customHeight="1" x14ac:dyDescent="0.25">
      <c r="B46" s="49" t="s">
        <v>90</v>
      </c>
      <c r="C46" s="49">
        <f>C12/100</f>
        <v>0.03</v>
      </c>
      <c r="D46" s="49">
        <f>E12/100</f>
        <v>0</v>
      </c>
      <c r="E46" s="56">
        <f>MAX(C46:D46)</f>
        <v>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1.536</v>
      </c>
      <c r="D48" s="56">
        <f>D42</f>
        <v>5.7000000000000002E-2</v>
      </c>
      <c r="E48" s="56">
        <f>MAX(C48:D48)</f>
        <v>1.536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0.06</v>
      </c>
      <c r="D51" s="49">
        <f>IF(($E45&gt;0),D45,D44)</f>
        <v>0</v>
      </c>
      <c r="E51" s="49">
        <f>MAX(C51:D51)</f>
        <v>0.06</v>
      </c>
      <c r="G51" s="1" t="str">
        <f>G45</f>
        <v>per 100 youth petitioned</v>
      </c>
      <c r="L51" s="58">
        <f>IF(($E45&gt;0),L45,L44)</f>
        <v>100</v>
      </c>
      <c r="M51" s="58"/>
    </row>
    <row r="52" spans="2:18" ht="15" hidden="1" customHeight="1" x14ac:dyDescent="0.25">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1.536</v>
      </c>
      <c r="D54" s="56">
        <f>D48</f>
        <v>5.7000000000000002E-2</v>
      </c>
      <c r="E54" s="56">
        <f>MAX(C54:D54)</f>
        <v>1.536</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0.17</v>
      </c>
      <c r="D56" s="49">
        <f t="shared" si="10"/>
        <v>0.01</v>
      </c>
      <c r="E56" s="49">
        <f>MAX(C56:D56)</f>
        <v>0.17</v>
      </c>
      <c r="G56" s="1" t="str">
        <f>G50</f>
        <v>per 100 referrals</v>
      </c>
      <c r="L56" s="58">
        <f>IF(($E50&gt;0),L50,L49)</f>
        <v>100</v>
      </c>
      <c r="M56" s="58"/>
    </row>
    <row r="57" spans="2:18" ht="15" hidden="1" customHeight="1" x14ac:dyDescent="0.25">
      <c r="B57" s="49" t="str">
        <f>IF(($E51&gt;0),B51,B49)</f>
        <v>per 100 youth petitioned</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1.536</v>
      </c>
      <c r="D60" s="56">
        <f>D54</f>
        <v>5.7000000000000002E-2</v>
      </c>
      <c r="E60" s="56">
        <f>MAX(C60:D60)</f>
        <v>1.536</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0.17</v>
      </c>
      <c r="D62" s="49">
        <f t="shared" si="11"/>
        <v>0.01</v>
      </c>
      <c r="E62" s="49">
        <f>MAX(C62:D62)</f>
        <v>0.17</v>
      </c>
      <c r="G62" s="1" t="str">
        <f>G56</f>
        <v>per 100 referrals</v>
      </c>
      <c r="L62" s="58">
        <f>IF(($E56&gt;0),L56,L55)</f>
        <v>100</v>
      </c>
      <c r="M62" s="58"/>
    </row>
    <row r="63" spans="2:18" ht="15" hidden="1" customHeight="1" x14ac:dyDescent="0.25">
      <c r="B63" s="49" t="str">
        <f>IF(($E57&gt;0),B57,B55)</f>
        <v>per 100 youth petitioned</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1.536</v>
      </c>
      <c r="D66" s="56">
        <f>D60</f>
        <v>5.7000000000000002E-2</v>
      </c>
      <c r="E66" s="56">
        <f>MAX(C66:D66)</f>
        <v>1.536</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0.17</v>
      </c>
      <c r="D68" s="49">
        <f t="shared" si="12"/>
        <v>0.01</v>
      </c>
      <c r="E68" s="49">
        <f>MAX(C68:D68)</f>
        <v>0.17</v>
      </c>
      <c r="G68" s="1" t="str">
        <f>G62</f>
        <v>per 100 referrals</v>
      </c>
      <c r="L68" s="58">
        <f>IF(($E62&gt;0),L62,L61)</f>
        <v>100</v>
      </c>
      <c r="M68" s="58">
        <f>IF((B68=G68),1,2)</f>
        <v>1</v>
      </c>
    </row>
    <row r="69" spans="2:13" ht="15" hidden="1" customHeight="1" x14ac:dyDescent="0.25">
      <c r="B69" s="49" t="str">
        <f>IF(($E63&gt;0),B63,B61)</f>
        <v>per 100 youth petitioned</v>
      </c>
      <c r="C69" s="49">
        <f>IF(($E63&gt;0),C63,C62)</f>
        <v>0.06</v>
      </c>
      <c r="D69" s="49">
        <f>IF(($E63&gt;0),D63,D62)</f>
        <v>0</v>
      </c>
      <c r="E69" s="49">
        <f>MAX(C69:D69)</f>
        <v>0.06</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U47JMPN4QEAR-1806752177-30196</_dlc_DocId>
    <_dlc_DocIdUrl xmlns="ac3811b5-0f3e-49e2-ba69-f2ffa0c782af">
      <Url>https://michiganphi.sharepoint.com/sites/CMDMC/_layouts/15/DocIdRedir.aspx?ID=U47JMPN4QEAR-1806752177-30196</Url>
      <Description>U47JMPN4QEAR-1806752177-30196</Description>
    </_dlc_DocIdUrl>
  </documentManagement>
</p:properties>
</file>

<file path=customXml/itemProps1.xml><?xml version="1.0" encoding="utf-8"?>
<ds:datastoreItem xmlns:ds="http://schemas.openxmlformats.org/officeDocument/2006/customXml" ds:itemID="{90E24269-4428-4012-AD0A-FBC5A473900E}"/>
</file>

<file path=customXml/itemProps2.xml><?xml version="1.0" encoding="utf-8"?>
<ds:datastoreItem xmlns:ds="http://schemas.openxmlformats.org/officeDocument/2006/customXml" ds:itemID="{9D8FF833-CDEF-4C74-9519-1F74B87F81B3}"/>
</file>

<file path=customXml/itemProps3.xml><?xml version="1.0" encoding="utf-8"?>
<ds:datastoreItem xmlns:ds="http://schemas.openxmlformats.org/officeDocument/2006/customXml" ds:itemID="{1918F38A-4D63-4BB4-8205-CDB0F7F5B4BF}"/>
</file>

<file path=customXml/itemProps4.xml><?xml version="1.0" encoding="utf-8"?>
<ds:datastoreItem xmlns:ds="http://schemas.openxmlformats.org/officeDocument/2006/customXml" ds:itemID="{CD07C357-C502-4D25-BDFA-1A687CAA6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e065cd61-6266-441f-9c33-87d299498f55</vt:lpwstr>
  </property>
</Properties>
</file>