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2FEB7A5E-361D-44B2-9140-CD3768FFB41B}" xr6:coauthVersionLast="47" xr6:coauthVersionMax="47" xr10:uidLastSave="{D74AE6B4-9EA0-4FB6-801F-CA47ED57512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4"/>
  <c r="M66" i="4"/>
  <c r="F27" i="2"/>
  <c r="M66" i="2"/>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43" i="6"/>
  <c r="D16" i="13"/>
  <c r="C15" i="2"/>
  <c r="P15" i="2" s="1"/>
  <c r="C15" i="3"/>
  <c r="P15" i="3" s="1"/>
  <c r="C15" i="4"/>
  <c r="P15" i="4" s="1"/>
  <c r="C15" i="6"/>
  <c r="P15" i="6" s="1"/>
  <c r="C15" i="5"/>
  <c r="P15" i="5" s="1"/>
  <c r="C15" i="7"/>
  <c r="P15" i="7" s="1"/>
  <c r="C15" i="8"/>
  <c r="P15" i="8" s="1"/>
  <c r="D46" i="7" l="1"/>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B49" i="7" s="1"/>
  <c r="E46" i="7"/>
  <c r="L52" i="7" s="1"/>
  <c r="E44" i="6"/>
  <c r="D50" i="6"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B52" i="7"/>
  <c r="D52" i="7"/>
  <c r="C45" i="6"/>
  <c r="E45" i="6" s="1"/>
  <c r="P11" i="6"/>
  <c r="P11" i="8"/>
  <c r="C45" i="8"/>
  <c r="L52" i="5"/>
  <c r="B52" i="5"/>
  <c r="D52" i="5"/>
  <c r="C48" i="6"/>
  <c r="E42" i="6"/>
  <c r="R7" i="6"/>
  <c r="S7" i="6" s="1"/>
  <c r="D21" i="10"/>
  <c r="C4" i="10"/>
  <c r="C7" i="10"/>
  <c r="C5" i="10"/>
  <c r="C10" i="10"/>
  <c r="C11" i="10"/>
  <c r="C6" i="10"/>
  <c r="C9" i="10"/>
  <c r="C12" i="10"/>
  <c r="C8" i="10"/>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B50" i="6"/>
  <c r="C50" i="6"/>
  <c r="C49" i="7"/>
  <c r="E49" i="7" s="1"/>
  <c r="L49" i="7"/>
  <c r="L50" i="6"/>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8" i="5"/>
  <c r="C54" i="5"/>
  <c r="C54" i="6"/>
  <c r="E48" i="6"/>
  <c r="B51" i="6"/>
  <c r="D51" i="6"/>
  <c r="C51" i="6"/>
  <c r="L51" i="6"/>
  <c r="L56" i="5" l="1"/>
  <c r="L51" i="2"/>
  <c r="D51" i="2"/>
  <c r="E51" i="2" s="1"/>
  <c r="E49" i="5"/>
  <c r="D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L64" i="3"/>
  <c r="L56" i="8"/>
  <c r="B56" i="8"/>
  <c r="C57" i="8"/>
  <c r="C64" i="8" s="1"/>
  <c r="D64" i="5"/>
  <c r="C64" i="5"/>
  <c r="B57" i="8"/>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3" i="3"/>
  <c r="E57" i="8"/>
  <c r="B63" i="8" s="1"/>
  <c r="E64" i="5"/>
  <c r="I7" i="9"/>
  <c r="Q8" i="13"/>
  <c r="B63" i="3"/>
  <c r="E64" i="6"/>
  <c r="B70" i="6" s="1"/>
  <c r="M70" i="6" s="1"/>
  <c r="Z8" i="13"/>
  <c r="R7" i="9"/>
  <c r="D63" i="3"/>
  <c r="E64" i="3"/>
  <c r="C70" i="3" s="1"/>
  <c r="D14"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L63" i="8" l="1"/>
  <c r="L70" i="8" s="1"/>
  <c r="D63" i="8"/>
  <c r="D70" i="8" s="1"/>
  <c r="F13" i="8" s="1"/>
  <c r="E63" i="3"/>
  <c r="C69" i="3" s="1"/>
  <c r="C63" i="8"/>
  <c r="B70" i="5"/>
  <c r="F33" i="5" s="1"/>
  <c r="C70" i="5"/>
  <c r="D13" i="5" s="1"/>
  <c r="B70" i="3"/>
  <c r="M70" i="3" s="1"/>
  <c r="C69" i="7"/>
  <c r="D12" i="7" s="1"/>
  <c r="L70" i="3"/>
  <c r="Q13" i="3" s="1"/>
  <c r="D70" i="6"/>
  <c r="F14" i="6" s="1"/>
  <c r="L70" i="6"/>
  <c r="D70" i="5"/>
  <c r="F14" i="5" s="1"/>
  <c r="L70" i="5"/>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D13" i="3"/>
  <c r="Q9" i="3"/>
  <c r="O10" i="3"/>
  <c r="E68" i="3"/>
  <c r="O9" i="3"/>
  <c r="F31" i="3"/>
  <c r="F29" i="3"/>
  <c r="D14" i="4"/>
  <c r="L70" i="7"/>
  <c r="O14" i="7" s="1"/>
  <c r="M69" i="7"/>
  <c r="B69" i="3"/>
  <c r="M69" i="3" s="1"/>
  <c r="C70" i="8"/>
  <c r="B70" i="8"/>
  <c r="M70" i="8" s="1"/>
  <c r="E64" i="2"/>
  <c r="L70" i="2" s="1"/>
  <c r="L67" i="6"/>
  <c r="F10" i="3"/>
  <c r="F11" i="3"/>
  <c r="D67" i="6"/>
  <c r="F8" i="6" s="1"/>
  <c r="L69" i="3"/>
  <c r="Q12" i="3"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12" i="3"/>
  <c r="D8" i="2"/>
  <c r="E62" i="8"/>
  <c r="Q13" i="8" l="1"/>
  <c r="D14" i="5"/>
  <c r="M70" i="5"/>
  <c r="D69" i="3"/>
  <c r="E69" i="3" s="1"/>
  <c r="E63" i="8"/>
  <c r="D69" i="8" s="1"/>
  <c r="Q13" i="5"/>
  <c r="F33" i="3"/>
  <c r="Q12" i="7"/>
  <c r="F34" i="5"/>
  <c r="Q14" i="3"/>
  <c r="F34" i="3"/>
  <c r="D15" i="7"/>
  <c r="E69" i="7"/>
  <c r="B69" i="6"/>
  <c r="M69" i="6" s="1"/>
  <c r="F13" i="6"/>
  <c r="O12" i="7"/>
  <c r="F13" i="5"/>
  <c r="O14" i="6"/>
  <c r="O15" i="7"/>
  <c r="O13" i="6"/>
  <c r="O14" i="5"/>
  <c r="Q14" i="5"/>
  <c r="O13" i="5"/>
  <c r="E70" i="5"/>
  <c r="E70" i="3"/>
  <c r="O13" i="3"/>
  <c r="R13" i="3" s="1"/>
  <c r="S13" i="3" s="1"/>
  <c r="F14" i="3"/>
  <c r="Q13" i="6"/>
  <c r="Q14" i="6"/>
  <c r="E70" i="6"/>
  <c r="D14" i="6"/>
  <c r="Q15" i="7"/>
  <c r="C69" i="6"/>
  <c r="D12" i="6" s="1"/>
  <c r="F12" i="7"/>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C69" i="8"/>
  <c r="R13" i="4"/>
  <c r="S13" i="4" s="1"/>
  <c r="K9" i="4"/>
  <c r="R9" i="4"/>
  <c r="S9" i="4" s="1"/>
  <c r="F32" i="2"/>
  <c r="O13" i="8"/>
  <c r="R13" i="8" s="1"/>
  <c r="S13" i="8" s="1"/>
  <c r="R10" i="3"/>
  <c r="S10" i="3" s="1"/>
  <c r="F8" i="2"/>
  <c r="O14" i="8"/>
  <c r="F14" i="8"/>
  <c r="T14" i="4"/>
  <c r="B70" i="2"/>
  <c r="F33" i="2" s="1"/>
  <c r="F35" i="3"/>
  <c r="D69" i="5"/>
  <c r="O15" i="5" s="1"/>
  <c r="F32" i="3"/>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Q14" i="8"/>
  <c r="T9" i="3"/>
  <c r="F34" i="8"/>
  <c r="F33" i="8"/>
  <c r="C70" i="2"/>
  <c r="D14" i="2" s="1"/>
  <c r="D13" i="8"/>
  <c r="Q15" i="3"/>
  <c r="D70" i="2"/>
  <c r="O14" i="2" s="1"/>
  <c r="D14" i="8"/>
  <c r="E70" i="8"/>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L69" i="8" l="1"/>
  <c r="O15" i="8" s="1"/>
  <c r="K12" i="7"/>
  <c r="F15" i="3"/>
  <c r="O15" i="3"/>
  <c r="O12" i="3"/>
  <c r="R12" i="3" s="1"/>
  <c r="S12" i="3" s="1"/>
  <c r="R14" i="3"/>
  <c r="S14" i="3" s="1"/>
  <c r="T13" i="5"/>
  <c r="B69" i="8"/>
  <c r="M69" i="8" s="1"/>
  <c r="F12" i="3"/>
  <c r="U13" i="4"/>
  <c r="J13" i="4" s="1"/>
  <c r="M13" i="4" s="1"/>
  <c r="G13" i="4" s="1"/>
  <c r="G14" i="16" s="1"/>
  <c r="Q15" i="6"/>
  <c r="F35" i="6"/>
  <c r="U10" i="3"/>
  <c r="J10" i="3" s="1"/>
  <c r="M10" i="3" s="1"/>
  <c r="G10" i="3" s="1"/>
  <c r="I11" i="16" s="1"/>
  <c r="U9" i="4"/>
  <c r="J9" i="4" s="1"/>
  <c r="M9" i="4" s="1"/>
  <c r="G9" i="4" s="1"/>
  <c r="G10" i="16" s="1"/>
  <c r="F32" i="6"/>
  <c r="Q12" i="6"/>
  <c r="T15" i="7"/>
  <c r="U10" i="4"/>
  <c r="J10" i="4" s="1"/>
  <c r="M10" i="4" s="1"/>
  <c r="G10" i="4" s="1"/>
  <c r="G11" i="16" s="1"/>
  <c r="K14" i="5"/>
  <c r="T14" i="3"/>
  <c r="G11" i="3"/>
  <c r="I12" i="13" s="1"/>
  <c r="R12" i="7"/>
  <c r="S12" i="7" s="1"/>
  <c r="T12" i="7"/>
  <c r="O12" i="6"/>
  <c r="K14" i="6"/>
  <c r="K15" i="7"/>
  <c r="R15" i="7"/>
  <c r="S15" i="7" s="1"/>
  <c r="T13" i="6"/>
  <c r="K13" i="6"/>
  <c r="R13" i="6"/>
  <c r="S13" i="6" s="1"/>
  <c r="R14" i="6"/>
  <c r="S14" i="6" s="1"/>
  <c r="O15" i="6"/>
  <c r="T14" i="6"/>
  <c r="K13" i="5"/>
  <c r="R13" i="5"/>
  <c r="S13" i="5" s="1"/>
  <c r="U13" i="5" s="1"/>
  <c r="J13" i="5" s="1"/>
  <c r="M13" i="5" s="1"/>
  <c r="T14" i="5"/>
  <c r="R14" i="5"/>
  <c r="S14" i="5" s="1"/>
  <c r="U14" i="5" s="1"/>
  <c r="J14" i="5" s="1"/>
  <c r="M14" i="5" s="1"/>
  <c r="T13" i="3"/>
  <c r="U13" i="3" s="1"/>
  <c r="J13" i="3" s="1"/>
  <c r="K13" i="3"/>
  <c r="U14" i="4"/>
  <c r="J14" i="4" s="1"/>
  <c r="L14" i="4" s="1"/>
  <c r="O15" i="16" s="1"/>
  <c r="K14" i="3"/>
  <c r="R14" i="8"/>
  <c r="S14" i="8" s="1"/>
  <c r="T13" i="8"/>
  <c r="U13" i="8" s="1"/>
  <c r="J13" i="8" s="1"/>
  <c r="M13" i="8" s="1"/>
  <c r="E69" i="6"/>
  <c r="D15" i="6"/>
  <c r="F15" i="6"/>
  <c r="L11" i="4"/>
  <c r="O12" i="16" s="1"/>
  <c r="K8" i="7"/>
  <c r="O13" i="2"/>
  <c r="O12" i="8"/>
  <c r="T8" i="7"/>
  <c r="U8" i="7" s="1"/>
  <c r="J8" i="7" s="1"/>
  <c r="M8" i="7" s="1"/>
  <c r="T13" i="7"/>
  <c r="Q12" i="8"/>
  <c r="Q10" i="7"/>
  <c r="F13" i="2"/>
  <c r="Q11" i="7"/>
  <c r="R8" i="6"/>
  <c r="S8" i="6" s="1"/>
  <c r="F14" i="2"/>
  <c r="E69" i="8"/>
  <c r="F10" i="7"/>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R15" i="3"/>
  <c r="S15" i="3" s="1"/>
  <c r="T14" i="8"/>
  <c r="D13" i="2"/>
  <c r="E70" i="2"/>
  <c r="Q14" i="2"/>
  <c r="K14" i="2" s="1"/>
  <c r="R13" i="7"/>
  <c r="S13" i="7" s="1"/>
  <c r="Q13" i="2"/>
  <c r="U9" i="3"/>
  <c r="J9" i="3" s="1"/>
  <c r="L9" i="3" s="1"/>
  <c r="K15" i="3"/>
  <c r="T15" i="3"/>
  <c r="K13" i="7"/>
  <c r="T8" i="2"/>
  <c r="U8" i="2" s="1"/>
  <c r="J8" i="2" s="1"/>
  <c r="M11" i="4"/>
  <c r="G11" i="4" s="1"/>
  <c r="T14" i="7"/>
  <c r="U14" i="7" s="1"/>
  <c r="J14" i="7" s="1"/>
  <c r="K14" i="7"/>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2" i="3" l="1"/>
  <c r="U12" i="3" s="1"/>
  <c r="J12" i="3" s="1"/>
  <c r="F32" i="8"/>
  <c r="F35" i="8"/>
  <c r="L13" i="4"/>
  <c r="O14" i="16" s="1"/>
  <c r="U15" i="7"/>
  <c r="J15" i="7" s="1"/>
  <c r="L15" i="7" s="1"/>
  <c r="S16" i="16" s="1"/>
  <c r="U14" i="6"/>
  <c r="J14" i="6" s="1"/>
  <c r="M14" i="6" s="1"/>
  <c r="G14" i="6" s="1"/>
  <c r="M15" i="13" s="1"/>
  <c r="U13" i="6"/>
  <c r="J13" i="6" s="1"/>
  <c r="M13" i="6" s="1"/>
  <c r="G13" i="6" s="1"/>
  <c r="M14" i="13" s="1"/>
  <c r="U14" i="3"/>
  <c r="J14" i="3" s="1"/>
  <c r="M14" i="3" s="1"/>
  <c r="G14" i="3" s="1"/>
  <c r="T15" i="6"/>
  <c r="L9" i="4"/>
  <c r="O10" i="16" s="1"/>
  <c r="L10" i="3"/>
  <c r="P11" i="16" s="1"/>
  <c r="G11" i="13"/>
  <c r="T12" i="6"/>
  <c r="L14" i="5"/>
  <c r="Q15" i="16" s="1"/>
  <c r="I12" i="16"/>
  <c r="D10" i="9"/>
  <c r="L10" i="4"/>
  <c r="O11" i="16" s="1"/>
  <c r="E11" i="9"/>
  <c r="N30" i="4"/>
  <c r="G10" i="13"/>
  <c r="M14" i="4"/>
  <c r="G14" i="4" s="1"/>
  <c r="G15" i="16" s="1"/>
  <c r="D9" i="9"/>
  <c r="N30" i="5"/>
  <c r="U12" i="7"/>
  <c r="J12" i="7" s="1"/>
  <c r="K15" i="6"/>
  <c r="I11" i="13"/>
  <c r="E10" i="9"/>
  <c r="U15" i="3"/>
  <c r="J15" i="3" s="1"/>
  <c r="M15" i="3" s="1"/>
  <c r="G15" i="3" s="1"/>
  <c r="I16" i="16" s="1"/>
  <c r="K12" i="6"/>
  <c r="R12" i="6"/>
  <c r="S12" i="6" s="1"/>
  <c r="U13" i="7"/>
  <c r="J13" i="7" s="1"/>
  <c r="M13" i="7" s="1"/>
  <c r="R15" i="6"/>
  <c r="S15" i="6" s="1"/>
  <c r="L13" i="5"/>
  <c r="Q14" i="16" s="1"/>
  <c r="L13" i="3"/>
  <c r="P14" i="16" s="1"/>
  <c r="M13" i="3"/>
  <c r="G13" i="3" s="1"/>
  <c r="E13" i="9" s="1"/>
  <c r="L13" i="8"/>
  <c r="T14" i="16" s="1"/>
  <c r="G13" i="8"/>
  <c r="U14" i="8"/>
  <c r="J14" i="8" s="1"/>
  <c r="N30" i="8" s="1"/>
  <c r="M13" i="9"/>
  <c r="U14" i="13"/>
  <c r="U12" i="13"/>
  <c r="M11" i="9"/>
  <c r="R12" i="8"/>
  <c r="S12" i="8" s="1"/>
  <c r="T13" i="2"/>
  <c r="U8" i="6"/>
  <c r="J8" i="6" s="1"/>
  <c r="M8" i="6" s="1"/>
  <c r="G8" i="6" s="1"/>
  <c r="M9" i="13" s="1"/>
  <c r="R13" i="2"/>
  <c r="S13" i="2" s="1"/>
  <c r="T15" i="8"/>
  <c r="U15" i="8" s="1"/>
  <c r="J15" i="8" s="1"/>
  <c r="T12" i="8"/>
  <c r="K12" i="8"/>
  <c r="R10" i="7"/>
  <c r="S10" i="7" s="1"/>
  <c r="T11" i="7"/>
  <c r="T10" i="7"/>
  <c r="L8" i="2"/>
  <c r="N9" i="16" s="1"/>
  <c r="K13" i="2"/>
  <c r="R15" i="5"/>
  <c r="S15" i="5" s="1"/>
  <c r="U15" i="5" s="1"/>
  <c r="J15" i="5" s="1"/>
  <c r="M15" i="5" s="1"/>
  <c r="K11" i="7"/>
  <c r="K15" i="8"/>
  <c r="T9" i="7"/>
  <c r="U9" i="7" s="1"/>
  <c r="J9" i="7" s="1"/>
  <c r="M9" i="7" s="1"/>
  <c r="R11" i="7"/>
  <c r="S11" i="7" s="1"/>
  <c r="K12" i="5"/>
  <c r="L12" i="5" s="1"/>
  <c r="Q13" i="16" s="1"/>
  <c r="T12" i="5"/>
  <c r="K10" i="7"/>
  <c r="R14" i="2"/>
  <c r="S14" i="2" s="1"/>
  <c r="D13" i="9"/>
  <c r="G14" i="13"/>
  <c r="K9" i="7"/>
  <c r="T14" i="2"/>
  <c r="V12" i="13"/>
  <c r="U10" i="13"/>
  <c r="N11" i="9"/>
  <c r="T15" i="5"/>
  <c r="M9" i="3"/>
  <c r="G9" i="3" s="1"/>
  <c r="I10" i="13" s="1"/>
  <c r="G12" i="13"/>
  <c r="G12" i="16"/>
  <c r="N9" i="9"/>
  <c r="P10" i="16"/>
  <c r="M14" i="7"/>
  <c r="N30" i="7"/>
  <c r="L14" i="7"/>
  <c r="S15" i="16" s="1"/>
  <c r="L8" i="7"/>
  <c r="S9" i="16" s="1"/>
  <c r="M9" i="9"/>
  <c r="V10"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M15" i="7" l="1"/>
  <c r="U15" i="6"/>
  <c r="J15" i="6" s="1"/>
  <c r="V11" i="13"/>
  <c r="L14" i="6"/>
  <c r="R15" i="16" s="1"/>
  <c r="L13" i="6"/>
  <c r="R14" i="16" s="1"/>
  <c r="G13" i="9"/>
  <c r="N30" i="6"/>
  <c r="G14" i="9"/>
  <c r="U12" i="6"/>
  <c r="J12" i="6" s="1"/>
  <c r="M12" i="6" s="1"/>
  <c r="G12" i="6" s="1"/>
  <c r="G12" i="9" s="1"/>
  <c r="N30" i="3"/>
  <c r="L14" i="3"/>
  <c r="P15" i="16" s="1"/>
  <c r="M10" i="9"/>
  <c r="W15" i="13"/>
  <c r="N10" i="9"/>
  <c r="U11" i="13"/>
  <c r="O14" i="9"/>
  <c r="L15" i="3"/>
  <c r="P16" i="16" s="1"/>
  <c r="E15" i="9"/>
  <c r="I16" i="13"/>
  <c r="Q15" i="9"/>
  <c r="Y16" i="13"/>
  <c r="G15" i="13"/>
  <c r="D14" i="9"/>
  <c r="L12" i="7"/>
  <c r="M12" i="7"/>
  <c r="U10" i="7"/>
  <c r="J10" i="7" s="1"/>
  <c r="L10" i="7" s="1"/>
  <c r="S11" i="16" s="1"/>
  <c r="L15" i="6"/>
  <c r="R16" i="16" s="1"/>
  <c r="U13" i="2"/>
  <c r="J13" i="2" s="1"/>
  <c r="M13" i="2" s="1"/>
  <c r="G13" i="2" s="1"/>
  <c r="E14" i="16" s="1"/>
  <c r="L13" i="7"/>
  <c r="S14" i="16" s="1"/>
  <c r="I14" i="16"/>
  <c r="U11" i="7"/>
  <c r="J11" i="7" s="1"/>
  <c r="L11" i="7" s="1"/>
  <c r="S12" i="16" s="1"/>
  <c r="M15" i="6"/>
  <c r="G15" i="6" s="1"/>
  <c r="G15" i="9" s="1"/>
  <c r="R13" i="9"/>
  <c r="Z14" i="13"/>
  <c r="W14" i="13"/>
  <c r="O13" i="9"/>
  <c r="I14" i="13"/>
  <c r="V14" i="13"/>
  <c r="I15" i="16"/>
  <c r="E14" i="9"/>
  <c r="I15" i="13"/>
  <c r="N13" i="9"/>
  <c r="U12" i="8"/>
  <c r="J12" i="8" s="1"/>
  <c r="L12" i="8" s="1"/>
  <c r="T13" i="16" s="1"/>
  <c r="U14" i="2"/>
  <c r="J14" i="2" s="1"/>
  <c r="M14" i="2" s="1"/>
  <c r="G14" i="2" s="1"/>
  <c r="E15" i="16" s="1"/>
  <c r="K14" i="16"/>
  <c r="Q14" i="13"/>
  <c r="I13" i="9"/>
  <c r="M14" i="8"/>
  <c r="G14" i="8" s="1"/>
  <c r="K15" i="16" s="1"/>
  <c r="L14" i="8"/>
  <c r="T15" i="16" s="1"/>
  <c r="L8" i="6"/>
  <c r="R9" i="16" s="1"/>
  <c r="L15" i="5"/>
  <c r="Q16" i="16" s="1"/>
  <c r="T9" i="13"/>
  <c r="L8" i="9"/>
  <c r="X15" i="13"/>
  <c r="P14" i="9"/>
  <c r="G8" i="9"/>
  <c r="Q14" i="9"/>
  <c r="Y15" i="13"/>
  <c r="E9" i="13"/>
  <c r="L10" i="2"/>
  <c r="N11" i="16" s="1"/>
  <c r="L11" i="6"/>
  <c r="R12" i="16" s="1"/>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X14" i="13" l="1"/>
  <c r="L12" i="6"/>
  <c r="R13" i="16" s="1"/>
  <c r="M13" i="13"/>
  <c r="P13" i="9"/>
  <c r="V15" i="13"/>
  <c r="N14" i="9"/>
  <c r="X13" i="13"/>
  <c r="P12" i="9"/>
  <c r="N15" i="9"/>
  <c r="V16" i="13"/>
  <c r="P15" i="9"/>
  <c r="M10" i="7"/>
  <c r="M11" i="7"/>
  <c r="L13" i="2"/>
  <c r="N14" i="16" s="1"/>
  <c r="Q13" i="9"/>
  <c r="X16" i="13"/>
  <c r="Y14" i="13"/>
  <c r="S13" i="16"/>
  <c r="Q12" i="9"/>
  <c r="Y13" i="13"/>
  <c r="N30" i="2"/>
  <c r="L14" i="2"/>
  <c r="N15" i="16" s="1"/>
  <c r="E15" i="13"/>
  <c r="M16" i="13"/>
  <c r="M12" i="8"/>
  <c r="G12" i="8" s="1"/>
  <c r="K13" i="16" s="1"/>
  <c r="C14" i="9"/>
  <c r="E14" i="13"/>
  <c r="C13" i="9"/>
  <c r="Z15" i="13"/>
  <c r="R14" i="9"/>
  <c r="I14" i="9"/>
  <c r="Q15" i="13"/>
  <c r="P8" i="9"/>
  <c r="X9" i="13"/>
  <c r="Q10" i="9"/>
  <c r="Y11"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L13" i="9" l="1"/>
  <c r="T15" i="13"/>
  <c r="T14" i="13"/>
  <c r="L14" i="9"/>
  <c r="Q13" i="13"/>
  <c r="I12"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<sst xmlns="http://schemas.openxmlformats.org/spreadsheetml/2006/main" count="654" uniqueCount="141">
  <si>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</si>
  <si>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</si>
  <si>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</si>
  <si>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</si>
  <si>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</si>
  <si>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</si>
  <si>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</si>
  <si>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</si>
  <si>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</si>
  <si>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</si>
  <si>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</si>
  <si>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</si>
  <si>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</si>
  <si>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</si>
  <si>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</si>
  <si>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</si>
  <si>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</si>
  <si>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</si>
  <si>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</si>
  <si>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</si>
  <si>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</si>
  <si>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</si>
  <si>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</si>
  <si>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</si>
  <si>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</si>
  <si>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</si>
  <si>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</si>
  <si>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</si>
  <si>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</si>
  <si>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</si>
  <si>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</si>
  <si>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</si>
  <si>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</si>
  <si>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</si>
  <si>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</si>
  <si>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</si>
  <si>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</si>
  <si>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</si>
  <si>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</si>
  <si>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</si>
  <si>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</si>
  <si>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</si>
  <si>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</si>
  <si>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</si>
  <si>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</si>
  <si>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</si>
  <si>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</si>
  <si>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</si>
  <si>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</si>
  <si>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</si>
  <si>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</si>
  <si>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</si>
  <si>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</si>
  <si>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</si>
  <si>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</si>
  <si>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</si>
  <si>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</si>
  <si>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</si>
  <si>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</si>
  <si>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</si>
  <si>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</si>
  <si>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</si>
  <si>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</si>
  <si>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</si>
  <si>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</si>
  <si>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</si>
  <si>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</si>
  <si>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</si>
  <si>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</si>
  <si>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</si>
  <si>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</si>
  <si>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</si>
  <si>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</si>
  <si>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</si>
  <si>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</si>
  <si>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</si>
  <si>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</si>
  <si>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</si>
  <si>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</si>
  <si>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</si>
  <si>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</si>
  <si>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</si>
  <si>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</si>
  <si>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</si>
  <si>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</si>
  <si>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</si>
  <si>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</si>
  <si>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</si>
  <si>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</si>
  <si>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</si>
  <si>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</si>
  <si>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</si>
  <si>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</si>
  <si>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</si>
  <si>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</si>
  <si>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</si>
  <si>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</si>
  <si>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</si>
  <si>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</si>
  <si>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</si>
  <si>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</si>
  <si>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</si>
  <si>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</si>
  <si>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</si>
  <si>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</si>
  <si>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</si>
  <si>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</si>
  <si>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</si>
  <si>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</si>
  <si>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</si>
  <si>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</si>
  <si>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</si>
  <si>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</si>
  <si>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</si>
  <si>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</si>
  <si>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</si>
  <si>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</si>
  <si>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</si>
  <si>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</si>
  <si>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</si>
  <si>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</si>
  <si>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</si>
  <si>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</si>
  <si>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</si>
  <si>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</si>
  <si>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</si>
  <si>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</si>
  <si>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</si>
  <si>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Macomb</t>
  </si>
  <si>
    <t>Item 3.Referral: Macomb County Juvenile Court</t>
  </si>
  <si>
    <t>Item 4.Diversion: Macomb County Juvenile Court</t>
  </si>
  <si>
    <t>Item 5.Detention: Macomb County Juvenile Court</t>
  </si>
  <si>
    <t>Item 6.Petitioned: Macomb County Juvenile Court</t>
  </si>
  <si>
    <t>Item 7.Delinquent: Macomb County Juvenile Court</t>
  </si>
  <si>
    <t>Item 8.Probation: Macomb County Juvenile Court</t>
  </si>
  <si>
    <t>Item 9.Confinement: Macomb County Juvenile Court</t>
  </si>
  <si>
    <t>Item 10.Transferred: Macomb County Juvenile Court</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</si>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</sst>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Macomb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N=10</c:v>
                </c:pt>
                <c:pt idx="1">
                  <c:v>Confinement, total N=5</c:v>
                </c:pt>
                <c:pt idx="2">
                  <c:v>Delinquent Findings, total N=995</c:v>
                </c:pt>
                <c:pt idx="3">
                  <c:v>Petitions, total N=1321</c:v>
                </c:pt>
                <c:pt idx="4">
                  <c:v>Detentions, total N=199</c:v>
                </c:pt>
                <c:pt idx="5">
                  <c:v>Referrals, total N=1321</c:v>
                </c:pt>
                <c:pt idx="6">
                  <c:v>Arrests, total N=574</c:v>
                </c:pt>
                <c:pt idx="7">
                  <c:v>Population, total N=84548</c:v>
                </c:pt>
              </c:strCache>
            </c:strRef>
          </c:cat>
          <c:val>
            <c:numRef>
              <c:f>'Stacked 100%'!$B$7:$B$14</c:f>
              <c:numCache>
                <c:formatCode>0%</c:formatCode>
                <c:ptCount val="8"/>
                <c:pt idx="0">
                  <c:v>0.8</c:v>
                </c:pt>
                <c:pt idx="1">
                  <c:v>0.4</c:v>
                </c:pt>
                <c:pt idx="2">
                  <c:v>0.52361809045226126</c:v>
                </c:pt>
                <c:pt idx="3">
                  <c:v>0.50492051476154431</c:v>
                </c:pt>
                <c:pt idx="4">
                  <c:v>0.60301507537688437</c:v>
                </c:pt>
                <c:pt idx="5">
                  <c:v>0.50492051476154431</c:v>
                </c:pt>
                <c:pt idx="6">
                  <c:v>0.63937282229965153</c:v>
                </c:pt>
                <c:pt idx="7">
                  <c:v>0.18266546813644322</c:v>
                </c:pt>
              </c:numCache>
            </c:numRef>
          </c:val>
          <c:extLst>
            <c:ext xmlns:c16="http://schemas.microsoft.com/office/drawing/2014/chart" uri="{C3380CC4-5D6E-409C-BE32-E72D297353CC}">
              <c16:uniqueId val="{00000000-0A1C-4847-B468-2C63ECE64BAE}"/>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N=10</c:v>
                </c:pt>
                <c:pt idx="1">
                  <c:v>Confinement, total N=5</c:v>
                </c:pt>
                <c:pt idx="2">
                  <c:v>Delinquent Findings, total N=995</c:v>
                </c:pt>
                <c:pt idx="3">
                  <c:v>Petitions, total N=1321</c:v>
                </c:pt>
                <c:pt idx="4">
                  <c:v>Detentions, total N=199</c:v>
                </c:pt>
                <c:pt idx="5">
                  <c:v>Referrals, total N=1321</c:v>
                </c:pt>
                <c:pt idx="6">
                  <c:v>Arrests, total N=574</c:v>
                </c:pt>
                <c:pt idx="7">
                  <c:v>Population, total N=84548</c:v>
                </c:pt>
              </c:strCache>
            </c:strRef>
          </c:cat>
          <c:val>
            <c:numRef>
              <c:f>'Stacked 100%'!$C$7:$C$14</c:f>
              <c:numCache>
                <c:formatCode>0%</c:formatCode>
                <c:ptCount val="8"/>
                <c:pt idx="0">
                  <c:v>0</c:v>
                </c:pt>
                <c:pt idx="1">
                  <c:v>0</c:v>
                </c:pt>
                <c:pt idx="2">
                  <c:v>1.507537688442211E-2</c:v>
                </c:pt>
                <c:pt idx="3">
                  <c:v>1.5897047691143074E-2</c:v>
                </c:pt>
                <c:pt idx="4">
                  <c:v>5.0251256281407036E-3</c:v>
                </c:pt>
                <c:pt idx="5">
                  <c:v>1.5897047691143074E-2</c:v>
                </c:pt>
                <c:pt idx="6">
                  <c:v>5.2264808362369342E-3</c:v>
                </c:pt>
                <c:pt idx="7">
                  <c:v>4.3395467663339168E-2</c:v>
                </c:pt>
              </c:numCache>
            </c:numRef>
          </c:val>
          <c:extLst>
            <c:ext xmlns:c16="http://schemas.microsoft.com/office/drawing/2014/chart" uri="{C3380CC4-5D6E-409C-BE32-E72D297353CC}">
              <c16:uniqueId val="{00000001-0A1C-4847-B468-2C63ECE64BAE}"/>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N=10</c:v>
                </c:pt>
                <c:pt idx="1">
                  <c:v>Confinement, total N=5</c:v>
                </c:pt>
                <c:pt idx="2">
                  <c:v>Delinquent Findings, total N=995</c:v>
                </c:pt>
                <c:pt idx="3">
                  <c:v>Petitions, total N=1321</c:v>
                </c:pt>
                <c:pt idx="4">
                  <c:v>Detentions, total N=199</c:v>
                </c:pt>
                <c:pt idx="5">
                  <c:v>Referrals, total N=1321</c:v>
                </c:pt>
                <c:pt idx="6">
                  <c:v>Arrests, total N=574</c:v>
                </c:pt>
                <c:pt idx="7">
                  <c:v>Population, total N=84548</c:v>
                </c:pt>
              </c:strCache>
            </c:strRef>
          </c:cat>
          <c:val>
            <c:numRef>
              <c:f>'Stacked 100%'!$H$7:$H$14</c:f>
              <c:numCache>
                <c:formatCode>0%</c:formatCode>
                <c:ptCount val="8"/>
                <c:pt idx="0">
                  <c:v>0.01</c:v>
                </c:pt>
                <c:pt idx="1">
                  <c:v>0</c:v>
                </c:pt>
                <c:pt idx="2">
                  <c:v>5.8584379182343883E-5</c:v>
                </c:pt>
                <c:pt idx="3">
                  <c:v>4.0113670681663066E-5</c:v>
                </c:pt>
                <c:pt idx="4">
                  <c:v>1.7676321305017551E-4</c:v>
                </c:pt>
                <c:pt idx="5">
                  <c:v>4.0113670681663066E-5</c:v>
                </c:pt>
                <c:pt idx="6">
                  <c:v>2.1245857057873714E-5</c:v>
                </c:pt>
                <c:pt idx="7">
                  <c:v>7.9025071467594301E-7</c:v>
                </c:pt>
              </c:numCache>
            </c:numRef>
          </c:val>
          <c:extLst>
            <c:ext xmlns:c16="http://schemas.microsoft.com/office/drawing/2014/chart" uri="{C3380CC4-5D6E-409C-BE32-E72D297353CC}">
              <c16:uniqueId val="{00000002-0A1C-4847-B468-2C63ECE64BAE}"/>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N=10</c:v>
                </c:pt>
                <c:pt idx="1">
                  <c:v>Confinement, total N=5</c:v>
                </c:pt>
                <c:pt idx="2">
                  <c:v>Delinquent Findings, total N=995</c:v>
                </c:pt>
                <c:pt idx="3">
                  <c:v>Petitions, total N=1321</c:v>
                </c:pt>
                <c:pt idx="4">
                  <c:v>Detentions, total N=199</c:v>
                </c:pt>
                <c:pt idx="5">
                  <c:v>Referrals, total N=1321</c:v>
                </c:pt>
                <c:pt idx="6">
                  <c:v>Arrests, total N=574</c:v>
                </c:pt>
                <c:pt idx="7">
                  <c:v>Population, total N=84548</c:v>
                </c:pt>
              </c:strCache>
            </c:strRef>
          </c:cat>
          <c:val>
            <c:numRef>
              <c:f>'Stacked 100%'!$I$7:$I$14</c:f>
              <c:numCache>
                <c:formatCode>0%</c:formatCode>
                <c:ptCount val="8"/>
                <c:pt idx="0">
                  <c:v>0.1</c:v>
                </c:pt>
                <c:pt idx="1">
                  <c:v>0.6</c:v>
                </c:pt>
                <c:pt idx="2">
                  <c:v>0.39899497487437185</c:v>
                </c:pt>
                <c:pt idx="3">
                  <c:v>0.41559424678274037</c:v>
                </c:pt>
                <c:pt idx="4">
                  <c:v>0.35678391959798994</c:v>
                </c:pt>
                <c:pt idx="5">
                  <c:v>0.41559424678274037</c:v>
                </c:pt>
                <c:pt idx="6">
                  <c:v>0.32926829268292684</c:v>
                </c:pt>
                <c:pt idx="7">
                  <c:v>0.70712494677579596</c:v>
                </c:pt>
              </c:numCache>
            </c:numRef>
          </c:val>
          <c:extLst>
            <c:ext xmlns:c16="http://schemas.microsoft.com/office/drawing/2014/chart" uri="{C3380CC4-5D6E-409C-BE32-E72D297353CC}">
              <c16:uniqueId val="{00000003-0A1C-4847-B468-2C63ECE64BAE}"/>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N=10</c:v>
                </c:pt>
                <c:pt idx="1">
                  <c:v>Confinement, total N=5</c:v>
                </c:pt>
                <c:pt idx="2">
                  <c:v>Delinquent Findings, total N=995</c:v>
                </c:pt>
                <c:pt idx="3">
                  <c:v>Petitions, total N=1321</c:v>
                </c:pt>
                <c:pt idx="4">
                  <c:v>Detentions, total N=199</c:v>
                </c:pt>
                <c:pt idx="5">
                  <c:v>Referrals, total N=1321</c:v>
                </c:pt>
                <c:pt idx="6">
                  <c:v>Arrests, total N=574</c:v>
                </c:pt>
                <c:pt idx="7">
                  <c:v>Population, total N=84548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A1C-4847-B468-2C63ECE64BAE}"/>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114</v>
      </c>
      <c r="B2" s="4"/>
      <c r="C2" s="4"/>
      <c r="D2" s="4"/>
      <c r="E2" s="4"/>
      <c r="F2" s="4"/>
    </row>
    <row r="3" spans="1:11" ht="15" customHeight="1">
      <c r="A3" s="136" t="s">
        <v>128</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124</v>
      </c>
      <c r="E5" s="9" t="s">
        <v>4</v>
      </c>
      <c r="F5" s="9" t="s">
        <v>5</v>
      </c>
      <c r="G5" s="9" t="s">
        <v>127</v>
      </c>
      <c r="H5" s="9" t="s">
        <v>6</v>
      </c>
      <c r="I5" s="9" t="s">
        <v>116</v>
      </c>
      <c r="J5" s="9" t="s">
        <v>7</v>
      </c>
      <c r="K5" s="9" t="s">
        <v>108</v>
      </c>
    </row>
    <row r="6" spans="1:11" ht="15.75" customHeight="1" thickBot="1">
      <c r="A6" s="10" t="s">
        <v>137</v>
      </c>
      <c r="B6" s="11">
        <f>SUM(C6:I6)+K6</f>
        <v>84548</v>
      </c>
      <c r="C6" s="11">
        <v>59786</v>
      </c>
      <c r="D6" s="11">
        <v>15444</v>
      </c>
      <c r="E6" s="11">
        <v>3669</v>
      </c>
      <c r="F6" s="11">
        <v>5320</v>
      </c>
      <c r="G6" s="11"/>
      <c r="H6" s="11">
        <v>329</v>
      </c>
      <c r="I6" s="11"/>
      <c r="J6" s="91">
        <f>SUM(D6:I6)</f>
        <v>24762</v>
      </c>
      <c r="K6" s="92"/>
    </row>
    <row r="7" spans="1:11" ht="15.75" customHeight="1" thickBot="1">
      <c r="A7" s="10" t="s">
        <v>8</v>
      </c>
      <c r="B7" s="11">
        <f t="shared" ref="B7:B15" si="0">SUM(C7:I7)+K7</f>
        <v>574</v>
      </c>
      <c r="C7" s="11">
        <v>189</v>
      </c>
      <c r="D7" s="11">
        <v>367</v>
      </c>
      <c r="E7" s="11">
        <v>3</v>
      </c>
      <c r="F7" s="11">
        <v>6</v>
      </c>
      <c r="G7" s="11">
        <v>1</v>
      </c>
      <c r="H7" s="11">
        <v>0</v>
      </c>
      <c r="I7" s="11"/>
      <c r="J7" s="91">
        <f t="shared" ref="J7:J15" si="1">SUM(D7:I7)</f>
        <v>377</v>
      </c>
      <c r="K7" s="92">
        <v>8</v>
      </c>
    </row>
    <row r="8" spans="1:11" ht="15.75" customHeight="1" thickBot="1">
      <c r="A8" s="10" t="s">
        <v>9</v>
      </c>
      <c r="B8" s="11">
        <f t="shared" si="0"/>
        <v>1321</v>
      </c>
      <c r="C8" s="11">
        <v>549</v>
      </c>
      <c r="D8" s="11">
        <v>667</v>
      </c>
      <c r="E8" s="11">
        <v>21</v>
      </c>
      <c r="F8" s="11">
        <v>13</v>
      </c>
      <c r="G8" s="11"/>
      <c r="H8" s="11">
        <v>4</v>
      </c>
      <c r="I8" s="11">
        <v>53</v>
      </c>
      <c r="J8" s="91">
        <f t="shared" si="1"/>
        <v>758</v>
      </c>
      <c r="K8" s="92">
        <v>14</v>
      </c>
    </row>
    <row r="9" spans="1:11" ht="15.75" customHeight="1" thickBot="1">
      <c r="A9" s="10" t="s">
        <v>10</v>
      </c>
      <c r="B9" s="11">
        <f t="shared" si="0"/>
        <v>220</v>
      </c>
      <c r="C9" s="11">
        <v>99</v>
      </c>
      <c r="D9" s="11">
        <v>96</v>
      </c>
      <c r="E9" s="11">
        <v>4</v>
      </c>
      <c r="F9" s="11">
        <v>2</v>
      </c>
      <c r="G9" s="11"/>
      <c r="H9" s="11"/>
      <c r="I9" s="11">
        <v>12</v>
      </c>
      <c r="J9" s="91">
        <f t="shared" si="1"/>
        <v>114</v>
      </c>
      <c r="K9" s="92">
        <v>7</v>
      </c>
    </row>
    <row r="10" spans="1:11" ht="15.75" customHeight="1" thickBot="1">
      <c r="A10" s="10" t="s">
        <v>11</v>
      </c>
      <c r="B10" s="11">
        <f t="shared" si="0"/>
        <v>199</v>
      </c>
      <c r="C10" s="11">
        <v>71</v>
      </c>
      <c r="D10" s="11">
        <v>120</v>
      </c>
      <c r="E10" s="11">
        <v>1</v>
      </c>
      <c r="F10" s="11">
        <v>1</v>
      </c>
      <c r="G10" s="11"/>
      <c r="H10" s="11"/>
      <c r="I10" s="11">
        <v>6</v>
      </c>
      <c r="J10" s="91">
        <f t="shared" si="1"/>
        <v>128</v>
      </c>
      <c r="K10" s="92"/>
    </row>
    <row r="11" spans="1:11" ht="15.75" customHeight="1" thickBot="1">
      <c r="A11" s="10" t="s">
        <v>12</v>
      </c>
      <c r="B11" s="11">
        <f t="shared" si="0"/>
        <v>1321</v>
      </c>
      <c r="C11" s="11">
        <v>549</v>
      </c>
      <c r="D11" s="11">
        <v>667</v>
      </c>
      <c r="E11" s="11">
        <v>21</v>
      </c>
      <c r="F11" s="11">
        <v>13</v>
      </c>
      <c r="G11" s="11"/>
      <c r="H11" s="11">
        <v>4</v>
      </c>
      <c r="I11" s="11">
        <v>53</v>
      </c>
      <c r="J11" s="91">
        <f t="shared" si="1"/>
        <v>758</v>
      </c>
      <c r="K11" s="92">
        <v>14</v>
      </c>
    </row>
    <row r="12" spans="1:11" ht="15.75" customHeight="1" thickBot="1">
      <c r="A12" s="10" t="s">
        <v>13</v>
      </c>
      <c r="B12" s="11">
        <f t="shared" si="0"/>
        <v>995</v>
      </c>
      <c r="C12" s="11">
        <v>397</v>
      </c>
      <c r="D12" s="11">
        <v>521</v>
      </c>
      <c r="E12" s="11">
        <v>15</v>
      </c>
      <c r="F12" s="11">
        <v>10</v>
      </c>
      <c r="G12" s="11"/>
      <c r="H12" s="11">
        <v>2</v>
      </c>
      <c r="I12" s="11">
        <v>46</v>
      </c>
      <c r="J12" s="91">
        <f t="shared" si="1"/>
        <v>594</v>
      </c>
      <c r="K12" s="92">
        <v>4</v>
      </c>
    </row>
    <row r="13" spans="1:11" ht="15.75" customHeight="1" thickBot="1">
      <c r="A13" s="10" t="s">
        <v>125</v>
      </c>
      <c r="B13" s="11">
        <f t="shared" si="0"/>
        <v>995</v>
      </c>
      <c r="C13" s="11">
        <v>397</v>
      </c>
      <c r="D13" s="11">
        <v>521</v>
      </c>
      <c r="E13" s="11">
        <v>15</v>
      </c>
      <c r="F13" s="11">
        <v>10</v>
      </c>
      <c r="G13" s="11"/>
      <c r="H13" s="11">
        <v>2</v>
      </c>
      <c r="I13" s="11">
        <v>46</v>
      </c>
      <c r="J13" s="91">
        <f t="shared" si="1"/>
        <v>594</v>
      </c>
      <c r="K13" s="92">
        <v>4</v>
      </c>
    </row>
    <row r="14" spans="1:11" ht="26.25" customHeight="1" thickBot="1">
      <c r="A14" s="10" t="s">
        <v>115</v>
      </c>
      <c r="B14" s="11">
        <f t="shared" si="0"/>
        <v>5</v>
      </c>
      <c r="C14" s="11">
        <v>3</v>
      </c>
      <c r="D14" s="11">
        <v>2</v>
      </c>
      <c r="E14" s="11"/>
      <c r="F14" s="11"/>
      <c r="G14" s="11"/>
      <c r="H14" s="11"/>
      <c r="I14" s="11"/>
      <c r="J14" s="91">
        <f t="shared" si="1"/>
        <v>2</v>
      </c>
      <c r="K14" s="92"/>
    </row>
    <row r="15" spans="1:11" ht="15.75" customHeight="1" thickBot="1">
      <c r="A15" s="10" t="s">
        <v>16</v>
      </c>
      <c r="B15" s="11">
        <f t="shared" si="0"/>
        <v>10</v>
      </c>
      <c r="C15" s="11">
        <v>1</v>
      </c>
      <c r="D15" s="11">
        <v>8</v>
      </c>
      <c r="E15" s="11"/>
      <c r="F15" s="11"/>
      <c r="G15" s="11"/>
      <c r="H15" s="11"/>
      <c r="I15" s="11">
        <v>1</v>
      </c>
      <c r="J15" s="91">
        <f t="shared" si="1"/>
        <v>9</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129</v>
      </c>
      <c r="B20" s="169"/>
      <c r="C20" s="8"/>
      <c r="D20" s="169" t="s">
        <v>130</v>
      </c>
      <c r="E20" s="169"/>
      <c r="F20" s="169"/>
      <c r="G20" s="169"/>
      <c r="H20" s="169"/>
      <c r="I20" s="169"/>
    </row>
    <row r="21" spans="1:9" ht="15" customHeight="1">
      <c r="A21" s="169" t="s">
        <v>131</v>
      </c>
      <c r="B21" s="169"/>
      <c r="C21" s="8"/>
      <c r="D21" s="169" t="s">
        <v>132</v>
      </c>
      <c r="E21" s="169"/>
      <c r="F21" s="169"/>
      <c r="G21" s="169"/>
      <c r="H21" s="169"/>
      <c r="I21" s="169"/>
    </row>
    <row r="22" spans="1:9" ht="15" customHeight="1">
      <c r="A22" s="169" t="s">
        <v>133</v>
      </c>
      <c r="B22" s="169"/>
      <c r="C22" s="8"/>
      <c r="D22" s="169" t="s">
        <v>134</v>
      </c>
      <c r="E22" s="169"/>
      <c r="F22" s="169"/>
      <c r="G22" s="169"/>
      <c r="H22" s="169"/>
      <c r="I22" s="169"/>
    </row>
    <row r="23" spans="1:9" ht="15" customHeight="1">
      <c r="A23" s="169" t="s">
        <v>135</v>
      </c>
      <c r="B23" s="169"/>
      <c r="C23" s="8"/>
      <c r="D23" s="169" t="s">
        <v>136</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59786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189</v>
      </c>
      <c r="D7" s="34">
        <f>IF((AND(C66&gt;0,C7&gt;0)),(C7/C66),0)</f>
        <v>3.1612752149332617</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189</v>
      </c>
      <c r="Q7" s="42">
        <f>C6-C7</f>
        <v>59597</v>
      </c>
      <c r="R7" s="42">
        <f t="shared" ref="R7:R15" si="5">SUM(N7:Q7)</f>
        <v>59786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549</v>
      </c>
      <c r="D8" s="34">
        <f>IF((AND(C67&gt;0,C8&gt;0)),(C8/C67),0)</f>
        <v>290.47619047619048</v>
      </c>
      <c r="E8" s="33">
        <f>'Data Entry'!I8</f>
        <v>53</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53</v>
      </c>
      <c r="O8" s="42">
        <f>((D67*L67)-E8)+0.05</f>
        <v>-52.95</v>
      </c>
      <c r="P8" s="42">
        <f t="shared" si="4"/>
        <v>549</v>
      </c>
      <c r="Q8" s="42">
        <f>(C$67*L67)-C8</f>
        <v>-360</v>
      </c>
      <c r="R8" s="42">
        <f t="shared" si="5"/>
        <v>189.04999999999995</v>
      </c>
      <c r="S8" s="30">
        <f t="shared" si="6"/>
        <v>18865509194.732632</v>
      </c>
      <c r="T8" s="30">
        <f t="shared" si="7"/>
        <v>-2349231.2549998662</v>
      </c>
      <c r="U8" s="31">
        <f t="shared" si="8"/>
        <v>-8030.5032357207019</v>
      </c>
    </row>
    <row r="9" spans="2:21" ht="18" customHeight="1">
      <c r="B9" s="32" t="str">
        <f>'Data Entry'!A9</f>
        <v xml:space="preserve">4. Cases Diverted </v>
      </c>
      <c r="C9" s="33">
        <f>'Data Entry'!C9</f>
        <v>99</v>
      </c>
      <c r="D9" s="34">
        <f>IF((AND(C68&gt;0,C9&gt;0)),((C9/C68)),0)</f>
        <v>18.032786885245901</v>
      </c>
      <c r="E9" s="33">
        <f>'Data Entry'!I9</f>
        <v>12</v>
      </c>
      <c r="F9" s="34">
        <f>IF((AND($E$9&gt;0,$D$68&gt;0)),(($E$9/$D$68)),0)</f>
        <v>22.641509433962263</v>
      </c>
      <c r="G9" s="39" t="str">
        <f t="shared" si="0"/>
        <v>*</v>
      </c>
      <c r="H9" s="40"/>
      <c r="I9" s="41"/>
      <c r="J9" s="40">
        <f>IF((ABS($U9)&gt;Defaults!D$7),1,2)</f>
        <v>2</v>
      </c>
      <c r="K9" s="39">
        <f>IF((AND(N9&gt;Defaults!B$12,(N9+O9)&gt;Defaults!B$13, P9 &gt; Defaults!B$12, (P9+Q9) &gt; Defaults!B$13)),1,20)</f>
        <v>1</v>
      </c>
      <c r="L9" s="1">
        <f t="shared" si="1"/>
        <v>101</v>
      </c>
      <c r="M9" s="1" t="b">
        <f t="shared" si="2"/>
        <v>1</v>
      </c>
      <c r="N9" s="42">
        <f t="shared" si="3"/>
        <v>12</v>
      </c>
      <c r="O9" s="42">
        <f>(D$68*L68)-E9</f>
        <v>41</v>
      </c>
      <c r="P9" s="42">
        <f t="shared" si="4"/>
        <v>99</v>
      </c>
      <c r="Q9" s="42">
        <f>(C$68*L68)-C9</f>
        <v>450</v>
      </c>
      <c r="R9" s="42">
        <f t="shared" si="5"/>
        <v>602</v>
      </c>
      <c r="S9" s="30">
        <f t="shared" si="6"/>
        <v>1082565162</v>
      </c>
      <c r="T9" s="30">
        <f t="shared" si="7"/>
        <v>1585815597</v>
      </c>
      <c r="U9" s="31">
        <f t="shared" si="8"/>
        <v>0.68265513597417338</v>
      </c>
    </row>
    <row r="10" spans="2:21" ht="18" customHeight="1">
      <c r="B10" s="32" t="str">
        <f>'Data Entry'!A10</f>
        <v>5. Cases Involving Secure Detention</v>
      </c>
      <c r="C10" s="33">
        <f>'Data Entry'!C10</f>
        <v>71</v>
      </c>
      <c r="D10" s="34">
        <f>IF(((AND(C68&gt;0,C10&gt;0))),(C10/(C68)),0)</f>
        <v>12.932604735883423</v>
      </c>
      <c r="E10" s="33">
        <f>'Data Entry'!I10</f>
        <v>6</v>
      </c>
      <c r="F10" s="34">
        <f>IF(((AND($E$10&gt;0,$D$68&gt;0))),($E$10/($D$68)),0)</f>
        <v>11.320754716981131</v>
      </c>
      <c r="G10" s="39" t="str">
        <f t="shared" si="0"/>
        <v>*</v>
      </c>
      <c r="H10" s="40"/>
      <c r="I10" s="41"/>
      <c r="J10" s="40">
        <f>IF((ABS($U10)&gt;Defaults!D$7),1,2)</f>
        <v>2</v>
      </c>
      <c r="K10" s="39">
        <f>IF((AND(N10&gt;Defaults!B$12,(N10+O10)&gt;Defaults!B$13, P10 &gt; Defaults!B$12, (P10+Q10) &gt; Defaults!B$13)),1,20)</f>
        <v>1</v>
      </c>
      <c r="L10" s="1">
        <f t="shared" si="1"/>
        <v>101</v>
      </c>
      <c r="M10" s="1" t="b">
        <f t="shared" si="2"/>
        <v>1</v>
      </c>
      <c r="N10" s="42">
        <f t="shared" si="3"/>
        <v>6</v>
      </c>
      <c r="O10" s="42">
        <f>(D$68*L68)-E10</f>
        <v>47</v>
      </c>
      <c r="P10" s="42">
        <f t="shared" si="4"/>
        <v>71</v>
      </c>
      <c r="Q10" s="42">
        <f>(C$68*L68)-C10</f>
        <v>478</v>
      </c>
      <c r="R10" s="42">
        <f t="shared" si="5"/>
        <v>602</v>
      </c>
      <c r="S10" s="30">
        <f t="shared" si="6"/>
        <v>132416522</v>
      </c>
      <c r="T10" s="30">
        <f t="shared" si="7"/>
        <v>1176246225</v>
      </c>
      <c r="U10" s="31">
        <f t="shared" si="8"/>
        <v>0.11257551283533343</v>
      </c>
    </row>
    <row r="11" spans="2:21" ht="18" customHeight="1">
      <c r="B11" s="32" t="str">
        <f>'Data Entry'!A11</f>
        <v>6. Cases Petitioned (Charge Filed)</v>
      </c>
      <c r="C11" s="33">
        <f>'Data Entry'!C11</f>
        <v>549</v>
      </c>
      <c r="D11" s="34">
        <f>IF(((AND(C68&gt;0,C11&gt;0))),(C11/(C68)),0)</f>
        <v>100</v>
      </c>
      <c r="E11" s="33">
        <f>'Data Entry'!I11</f>
        <v>53</v>
      </c>
      <c r="F11" s="34">
        <f>IF(((AND($E$11&gt;0,$D$68&gt;0))),($E$11/($D$68)),0)</f>
        <v>100</v>
      </c>
      <c r="G11" s="39" t="str">
        <f t="shared" si="0"/>
        <v>*</v>
      </c>
      <c r="H11" s="40"/>
      <c r="I11" s="41"/>
      <c r="J11" s="40" t="e">
        <f>IF((ABS($U11)&gt;Defaults!D$7),1,2)</f>
        <v>#VALUE!</v>
      </c>
      <c r="K11" s="39">
        <f>IF((AND(N11&gt;Defaults!B$12,(N11+O11)&gt;Defaults!B$13, P11 &gt; Defaults!B$12, (P11+Q11) &gt; Defaults!B$13)),1,20)</f>
        <v>1</v>
      </c>
      <c r="L11" s="1" t="e">
        <f t="shared" si="1"/>
        <v>#VALUE!</v>
      </c>
      <c r="M11" s="1" t="b">
        <f t="shared" si="2"/>
        <v>0</v>
      </c>
      <c r="N11" s="42">
        <f t="shared" si="3"/>
        <v>53</v>
      </c>
      <c r="O11" s="42">
        <f>(D$68*L68)-E11</f>
        <v>0</v>
      </c>
      <c r="P11" s="42">
        <f t="shared" si="4"/>
        <v>549</v>
      </c>
      <c r="Q11" s="42">
        <f>(C$68*L68)-C11</f>
        <v>0</v>
      </c>
      <c r="R11" s="42">
        <f t="shared" si="5"/>
        <v>602</v>
      </c>
      <c r="S11" s="30">
        <f t="shared" si="6"/>
        <v>0</v>
      </c>
      <c r="T11" s="30">
        <f t="shared" si="7"/>
        <v>0</v>
      </c>
      <c r="U11" s="31" t="str">
        <f t="shared" si="8"/>
        <v>- -</v>
      </c>
    </row>
    <row r="12" spans="2:21" ht="18" customHeight="1">
      <c r="B12" s="32" t="str">
        <f>'Data Entry'!A12</f>
        <v>7. Cases Resulting in Delinquent Findings</v>
      </c>
      <c r="C12" s="33">
        <f>'Data Entry'!C12</f>
        <v>397</v>
      </c>
      <c r="D12" s="34">
        <f>IF(((AND(C69&gt;0,C12&gt;0))),(C12/(C69)),0)</f>
        <v>72.313296903460838</v>
      </c>
      <c r="E12" s="33">
        <f>'Data Entry'!I12</f>
        <v>46</v>
      </c>
      <c r="F12" s="34">
        <f>IF(((AND($D$69&gt;0,$E$12&gt;0))),(E12/(D69)),0)</f>
        <v>86.79245283018868</v>
      </c>
      <c r="G12" s="39" t="str">
        <f t="shared" si="0"/>
        <v>*</v>
      </c>
      <c r="H12" s="40"/>
      <c r="I12" s="41"/>
      <c r="J12" s="40">
        <f>IF((ABS($U12)&gt;Defaults!D$7),1,2)</f>
        <v>1</v>
      </c>
      <c r="K12" s="39">
        <f>IF((AND(N12&gt;Defaults!B$12,(N12+O12)&gt;Defaults!B$13, P12 &gt; Defaults!B$12, (P12+Q12) &gt; Defaults!B$13)),1,20)</f>
        <v>1</v>
      </c>
      <c r="L12" s="1">
        <f t="shared" si="1"/>
        <v>100</v>
      </c>
      <c r="M12" s="1" t="b">
        <f t="shared" si="2"/>
        <v>1</v>
      </c>
      <c r="N12" s="42">
        <f t="shared" si="3"/>
        <v>46</v>
      </c>
      <c r="O12" s="42">
        <f>(D69*L69)-E12</f>
        <v>7</v>
      </c>
      <c r="P12" s="42">
        <f t="shared" si="4"/>
        <v>397</v>
      </c>
      <c r="Q12" s="42">
        <f>(C69*L69)-C12</f>
        <v>152</v>
      </c>
      <c r="R12" s="42">
        <f t="shared" si="5"/>
        <v>602</v>
      </c>
      <c r="S12" s="30">
        <f t="shared" si="6"/>
        <v>10685120138</v>
      </c>
      <c r="T12" s="30">
        <f t="shared" si="7"/>
        <v>2049505389</v>
      </c>
      <c r="U12" s="31">
        <f t="shared" si="8"/>
        <v>5.213511608873354</v>
      </c>
    </row>
    <row r="13" spans="2:21" ht="18" customHeight="1">
      <c r="B13" s="32" t="str">
        <f>'Data Entry'!A13</f>
        <v>8. Cases Resulting in Probation Placement</v>
      </c>
      <c r="C13" s="33">
        <f>'Data Entry'!C13</f>
        <v>397</v>
      </c>
      <c r="D13" s="34">
        <f>IF(((AND(C70&gt;0,C13&gt;0))),(C13/(C70)),0)</f>
        <v>100</v>
      </c>
      <c r="E13" s="33">
        <f>'Data Entry'!I13</f>
        <v>46</v>
      </c>
      <c r="F13" s="34">
        <f>IF(((AND($D$70&gt;0,$E$13&gt;0))),($E$13/($D$70)),0)</f>
        <v>100</v>
      </c>
      <c r="G13" s="39" t="str">
        <f t="shared" si="0"/>
        <v>*</v>
      </c>
      <c r="H13" s="40"/>
      <c r="I13" s="41"/>
      <c r="J13" s="40" t="e">
        <f>IF((ABS($U13)&gt;Defaults!D$7),1,2)</f>
        <v>#VALUE!</v>
      </c>
      <c r="K13" s="39">
        <f>IF((AND(N13&gt;Defaults!B$12,(N13+O13)&gt;Defaults!B$13, P13 &gt; Defaults!B$12, (P13+Q13) &gt; Defaults!B$13)),1,20)</f>
        <v>1</v>
      </c>
      <c r="L13" s="1" t="e">
        <f t="shared" si="1"/>
        <v>#VALUE!</v>
      </c>
      <c r="M13" s="1" t="b">
        <f t="shared" si="2"/>
        <v>0</v>
      </c>
      <c r="N13" s="42">
        <f t="shared" si="3"/>
        <v>46</v>
      </c>
      <c r="O13" s="42">
        <f>(D70*L70)-E13</f>
        <v>0</v>
      </c>
      <c r="P13" s="42">
        <f t="shared" si="4"/>
        <v>397</v>
      </c>
      <c r="Q13" s="42">
        <f>(C70*L70)-C13</f>
        <v>0</v>
      </c>
      <c r="R13" s="42">
        <f t="shared" si="5"/>
        <v>443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0.75566750629722923</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46</v>
      </c>
      <c r="P14" s="42">
        <f t="shared" si="4"/>
        <v>3</v>
      </c>
      <c r="Q14" s="42">
        <f>(C70*L70)-C14</f>
        <v>394</v>
      </c>
      <c r="R14" s="42">
        <f t="shared" si="5"/>
        <v>443</v>
      </c>
      <c r="S14" s="30">
        <f t="shared" si="6"/>
        <v>8436492</v>
      </c>
      <c r="T14" s="30">
        <f t="shared" si="7"/>
        <v>24105840</v>
      </c>
      <c r="U14" s="31">
        <f t="shared" si="8"/>
        <v>0.34997710098465767</v>
      </c>
    </row>
    <row r="15" spans="2:21" ht="15.75" customHeight="1">
      <c r="B15" s="32" t="str">
        <f>'Data Entry'!A15</f>
        <v xml:space="preserve">10. Cases Transferred to Adult Court </v>
      </c>
      <c r="C15" s="33">
        <f>'Data Entry'!C15</f>
        <v>1</v>
      </c>
      <c r="D15" s="34">
        <f>IF(((AND(C69&gt;0,C15&gt;0))),((C15/(C69))),0)</f>
        <v>0.18214936247723132</v>
      </c>
      <c r="E15" s="33">
        <f>'Data Entry'!I15</f>
        <v>1</v>
      </c>
      <c r="F15" s="34">
        <f>IF(((AND($D$69&gt;0,$E$15&gt;0))),(($E$15/($D$69))),0)</f>
        <v>1.8867924528301885</v>
      </c>
      <c r="G15" s="39" t="str">
        <f t="shared" si="0"/>
        <v>*</v>
      </c>
      <c r="H15" s="40"/>
      <c r="I15" s="41"/>
      <c r="J15" s="40">
        <f>IF((ABS($U15)&gt;Defaults!D$7),1,2)</f>
        <v>1</v>
      </c>
      <c r="K15" s="39">
        <f>IF((AND(N15&gt;Defaults!B$12,(N15+O15)&gt;Defaults!B$13, P15 &gt; Defaults!B$12, (P15+Q15) &gt; Defaults!B$13)),1,20)</f>
        <v>20</v>
      </c>
      <c r="L15" s="1">
        <f t="shared" si="1"/>
        <v>119</v>
      </c>
      <c r="M15" s="1" t="b">
        <f t="shared" si="2"/>
        <v>1</v>
      </c>
      <c r="N15" s="42">
        <f t="shared" si="3"/>
        <v>1</v>
      </c>
      <c r="O15" s="42">
        <f>(D69*L69)-E15</f>
        <v>52</v>
      </c>
      <c r="P15" s="42">
        <f t="shared" si="4"/>
        <v>1</v>
      </c>
      <c r="Q15" s="42">
        <f>(C69*L69)-C15</f>
        <v>548</v>
      </c>
      <c r="R15" s="42">
        <f t="shared" si="5"/>
        <v>602</v>
      </c>
      <c r="S15" s="30">
        <f t="shared" si="6"/>
        <v>148101632</v>
      </c>
      <c r="T15" s="30">
        <f t="shared" si="7"/>
        <v>34916400</v>
      </c>
      <c r="U15" s="31">
        <f t="shared" si="8"/>
        <v>4.2416065802889182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59.786000000000001</v>
      </c>
      <c r="D42" s="56">
        <f>E6/1000</f>
        <v>0</v>
      </c>
      <c r="E42" s="56">
        <f>MAX(C42:D42)</f>
        <v>59.786000000000001</v>
      </c>
      <c r="G42" s="1" t="str">
        <f>B42</f>
        <v>per 1000 youth</v>
      </c>
      <c r="L42" s="57">
        <v>1000</v>
      </c>
      <c r="M42" s="57"/>
      <c r="R42" s="49"/>
    </row>
    <row r="43" spans="2:18" ht="15" hidden="1" customHeight="1">
      <c r="B43" s="49" t="s">
        <v>87</v>
      </c>
      <c r="C43" s="56">
        <f>C7/100</f>
        <v>1.89</v>
      </c>
      <c r="D43" s="56">
        <f>E7/100</f>
        <v>0</v>
      </c>
      <c r="E43" s="56">
        <f>MAX(C43:D43,0)</f>
        <v>1.89</v>
      </c>
      <c r="G43" s="1" t="str">
        <f>B43</f>
        <v>per 100 arrests</v>
      </c>
      <c r="L43" s="57">
        <v>100</v>
      </c>
      <c r="M43" s="57"/>
      <c r="R43" s="49"/>
    </row>
    <row r="44" spans="2:18" ht="15" hidden="1" customHeight="1">
      <c r="B44" s="49" t="s">
        <v>88</v>
      </c>
      <c r="C44" s="56">
        <f>C8/100</f>
        <v>5.49</v>
      </c>
      <c r="D44" s="56">
        <f>E8/100</f>
        <v>0.53</v>
      </c>
      <c r="E44" s="56">
        <f>MAX(C44:D44,0)</f>
        <v>5.49</v>
      </c>
      <c r="G44" s="1" t="str">
        <f>B44</f>
        <v>per 100 referrals</v>
      </c>
      <c r="L44" s="57">
        <v>100</v>
      </c>
      <c r="M44" s="57"/>
      <c r="R44" s="49"/>
    </row>
    <row r="45" spans="2:18" ht="15" hidden="1" customHeight="1">
      <c r="B45" s="49" t="s">
        <v>89</v>
      </c>
      <c r="C45" s="49">
        <f>C11/100</f>
        <v>5.49</v>
      </c>
      <c r="D45" s="49">
        <f>E11/100</f>
        <v>0.53</v>
      </c>
      <c r="E45" s="56">
        <f>MAX(C45:D45,0)</f>
        <v>5.49</v>
      </c>
      <c r="G45" s="1" t="str">
        <f>B45</f>
        <v>per 100 youth petitioned</v>
      </c>
      <c r="L45" s="57">
        <v>100</v>
      </c>
      <c r="M45" s="57"/>
      <c r="R45" s="49"/>
    </row>
    <row r="46" spans="2:18" ht="15" hidden="1" customHeight="1">
      <c r="B46" s="49" t="s">
        <v>90</v>
      </c>
      <c r="C46" s="49">
        <f>C12/100</f>
        <v>3.97</v>
      </c>
      <c r="D46" s="49">
        <f>E12/100</f>
        <v>0.46</v>
      </c>
      <c r="E46" s="56">
        <f>MAX(C46:D46)</f>
        <v>3.97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59.786000000000001</v>
      </c>
      <c r="D48" s="56">
        <f>D42</f>
        <v>0</v>
      </c>
      <c r="E48" s="56">
        <f>MAX(C48:D48)</f>
        <v>59.786000000000001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1.89</v>
      </c>
      <c r="D49" s="49">
        <f t="shared" si="9"/>
        <v>0</v>
      </c>
      <c r="E49" s="49">
        <f>MAX(C49:D49)</f>
        <v>1.89</v>
      </c>
      <c r="G49" s="1" t="str">
        <f>G43</f>
        <v>per 100 arrests</v>
      </c>
      <c r="L49" s="58">
        <f>IF(($E43&gt;0),L43,L42)</f>
        <v>100</v>
      </c>
      <c r="M49" s="58"/>
      <c r="N49" s="21"/>
      <c r="O49" s="21"/>
      <c r="P49" s="21"/>
      <c r="Q49" s="21"/>
      <c r="R49" s="21"/>
    </row>
    <row r="50" spans="2:18" ht="15" hidden="1" customHeight="1">
      <c r="B50" s="49" t="str">
        <f t="shared" si="9"/>
        <v>per 100 referrals</v>
      </c>
      <c r="C50" s="49">
        <f t="shared" si="9"/>
        <v>5.49</v>
      </c>
      <c r="D50" s="49">
        <f t="shared" si="9"/>
        <v>0.53</v>
      </c>
      <c r="E50" s="49">
        <f>MAX(C50:D50)</f>
        <v>5.49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5.49</v>
      </c>
      <c r="D51" s="49">
        <f>IF(($E45&gt;0),D45,D44)</f>
        <v>0.53</v>
      </c>
      <c r="E51" s="49">
        <f>MAX(C51:D51)</f>
        <v>5.49</v>
      </c>
      <c r="G51" s="1" t="str">
        <f>G45</f>
        <v>per 100 youth petitioned</v>
      </c>
      <c r="L51" s="58">
        <f>IF(($E45&gt;0),L45,L44)</f>
        <v>100</v>
      </c>
      <c r="M51" s="58"/>
    </row>
    <row r="52" spans="2:18" ht="15" hidden="1" customHeight="1">
      <c r="B52" s="49" t="str">
        <f>IF(($E46&gt;0),B46,B45)</f>
        <v>per 100 youth found delinquent</v>
      </c>
      <c r="C52" s="49">
        <f>IF(($E46&gt;0),C46,C45)</f>
        <v>3.97</v>
      </c>
      <c r="D52" s="49">
        <f>IF(($E46&gt;0),D46,D45)</f>
        <v>0.46</v>
      </c>
      <c r="E52" s="56">
        <f>MAX(C52:D52)</f>
        <v>3.97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59.786000000000001</v>
      </c>
      <c r="D54" s="56">
        <f>D48</f>
        <v>0</v>
      </c>
      <c r="E54" s="56">
        <f>MAX(C54:D54)</f>
        <v>59.786000000000001</v>
      </c>
      <c r="G54" s="1" t="str">
        <f>G48</f>
        <v>per 1000 youth</v>
      </c>
      <c r="L54" s="58">
        <f>L48</f>
        <v>1000</v>
      </c>
      <c r="M54" s="58"/>
    </row>
    <row r="55" spans="2:18" ht="15" hidden="1" customHeight="1">
      <c r="B55" s="49" t="str">
        <f t="shared" ref="B55:D56" si="10">IF(($E49&gt;0),B49,B48)</f>
        <v>per 100 arrests</v>
      </c>
      <c r="C55" s="49">
        <f t="shared" si="10"/>
        <v>1.89</v>
      </c>
      <c r="D55" s="49">
        <f t="shared" si="10"/>
        <v>0</v>
      </c>
      <c r="E55" s="49">
        <f>MAX(C55:D55)</f>
        <v>1.89</v>
      </c>
      <c r="G55" s="1" t="str">
        <f>G49</f>
        <v>per 100 arrests</v>
      </c>
      <c r="L55" s="58">
        <f>IF(($E49&gt;0),L49,L48)</f>
        <v>100</v>
      </c>
      <c r="M55" s="58"/>
    </row>
    <row r="56" spans="2:18" ht="15" hidden="1" customHeight="1">
      <c r="B56" s="49" t="str">
        <f t="shared" si="10"/>
        <v>per 100 referrals</v>
      </c>
      <c r="C56" s="49">
        <f t="shared" si="10"/>
        <v>5.49</v>
      </c>
      <c r="D56" s="49">
        <f t="shared" si="10"/>
        <v>0.53</v>
      </c>
      <c r="E56" s="49">
        <f>MAX(C56:D56)</f>
        <v>5.49</v>
      </c>
      <c r="G56" s="1" t="str">
        <f>G50</f>
        <v>per 100 referrals</v>
      </c>
      <c r="L56" s="58">
        <f>IF(($E50&gt;0),L50,L49)</f>
        <v>100</v>
      </c>
      <c r="M56" s="58"/>
    </row>
    <row r="57" spans="2:18" ht="15" hidden="1" customHeight="1">
      <c r="B57" s="49" t="str">
        <f>IF(($E51&gt;0),B51,B49)</f>
        <v>per 100 youth petitioned</v>
      </c>
      <c r="C57" s="49">
        <f>IF(($E51&gt;0),C51,C50)</f>
        <v>5.49</v>
      </c>
      <c r="D57" s="49">
        <f>IF(($E51&gt;0),D51,D50)</f>
        <v>0.53</v>
      </c>
      <c r="E57" s="49">
        <f>MAX(C57:D57)</f>
        <v>5.49</v>
      </c>
      <c r="G57" s="1" t="str">
        <f>G51</f>
        <v>per 100 youth petitioned</v>
      </c>
      <c r="L57" s="58">
        <f>IF(($E51&gt;0),L51,L50)</f>
        <v>100</v>
      </c>
      <c r="M57" s="58"/>
    </row>
    <row r="58" spans="2:18" ht="15" hidden="1" customHeight="1">
      <c r="B58" s="49" t="str">
        <f>IF(($E52&gt;0),B52,B51)</f>
        <v>per 100 youth found delinquent</v>
      </c>
      <c r="C58" s="49">
        <f>IF(($E52&gt;0),C52,C51)</f>
        <v>3.97</v>
      </c>
      <c r="D58" s="49">
        <f>IF(($E52&gt;0),D52,D51)</f>
        <v>0.46</v>
      </c>
      <c r="E58" s="56">
        <f>MAX(C58:D58)</f>
        <v>3.97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59.786000000000001</v>
      </c>
      <c r="D60" s="56">
        <f>D54</f>
        <v>0</v>
      </c>
      <c r="E60" s="56">
        <f>MAX(C60:D60)</f>
        <v>59.786000000000001</v>
      </c>
      <c r="G60" s="1" t="str">
        <f>G54</f>
        <v>per 1000 youth</v>
      </c>
      <c r="L60" s="58">
        <f>L54</f>
        <v>1000</v>
      </c>
      <c r="M60" s="58"/>
    </row>
    <row r="61" spans="2:18" ht="15" hidden="1" customHeight="1">
      <c r="B61" s="49" t="str">
        <f t="shared" ref="B61:D62" si="11">IF(($E55&gt;0),B55,B54)</f>
        <v>per 100 arrests</v>
      </c>
      <c r="C61" s="49">
        <f t="shared" si="11"/>
        <v>1.89</v>
      </c>
      <c r="D61" s="49">
        <f t="shared" si="11"/>
        <v>0</v>
      </c>
      <c r="E61" s="49">
        <f>MAX(C61:D61)</f>
        <v>1.89</v>
      </c>
      <c r="G61" s="1" t="str">
        <f>G55</f>
        <v>per 100 arrests</v>
      </c>
      <c r="L61" s="58">
        <f>IF(($E55&gt;0),L55,L54)</f>
        <v>100</v>
      </c>
      <c r="M61" s="58"/>
    </row>
    <row r="62" spans="2:18" ht="15" hidden="1" customHeight="1">
      <c r="B62" s="49" t="str">
        <f t="shared" si="11"/>
        <v>per 100 referrals</v>
      </c>
      <c r="C62" s="49">
        <f t="shared" si="11"/>
        <v>5.49</v>
      </c>
      <c r="D62" s="49">
        <f t="shared" si="11"/>
        <v>0.53</v>
      </c>
      <c r="E62" s="49">
        <f>MAX(C62:D62)</f>
        <v>5.49</v>
      </c>
      <c r="G62" s="1" t="str">
        <f>G56</f>
        <v>per 100 referrals</v>
      </c>
      <c r="L62" s="58">
        <f>IF(($E56&gt;0),L56,L55)</f>
        <v>100</v>
      </c>
      <c r="M62" s="58"/>
    </row>
    <row r="63" spans="2:18" ht="15" hidden="1" customHeight="1">
      <c r="B63" s="49" t="str">
        <f>IF(($E57&gt;0),B57,B55)</f>
        <v>per 100 youth petitioned</v>
      </c>
      <c r="C63" s="49">
        <f>IF(($E57&gt;0),C57,C56)</f>
        <v>5.49</v>
      </c>
      <c r="D63" s="49">
        <f>IF(($E57&gt;0),D57,D56)</f>
        <v>0.53</v>
      </c>
      <c r="E63" s="49">
        <f>MAX(C63:D63)</f>
        <v>5.49</v>
      </c>
      <c r="G63" s="1" t="str">
        <f>G57</f>
        <v>per 100 youth petitioned</v>
      </c>
      <c r="L63" s="58">
        <f>IF(($E57&gt;0),L57,L56)</f>
        <v>100</v>
      </c>
      <c r="M63" s="58"/>
    </row>
    <row r="64" spans="2:18" ht="15" hidden="1" customHeight="1">
      <c r="B64" s="49" t="str">
        <f>IF(($E58&gt;0),B58,B57)</f>
        <v>per 100 youth found delinquent</v>
      </c>
      <c r="C64" s="49">
        <f>IF(($E58&gt;0),C58,C57)</f>
        <v>3.97</v>
      </c>
      <c r="D64" s="49">
        <f>IF(($E58&gt;0),D58,D57)</f>
        <v>0.46</v>
      </c>
      <c r="E64" s="56">
        <f>MAX(C64:D64)</f>
        <v>3.97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59.786000000000001</v>
      </c>
      <c r="D66" s="56">
        <f>D60</f>
        <v>0</v>
      </c>
      <c r="E66" s="56">
        <f>MAX(C66:D66)</f>
        <v>59.786000000000001</v>
      </c>
      <c r="G66" s="1" t="str">
        <f>G60</f>
        <v>per 1000 youth</v>
      </c>
      <c r="L66" s="58">
        <f>L60</f>
        <v>1000</v>
      </c>
      <c r="M66" s="58">
        <f>IF((B66=G66),1,2)</f>
        <v>1</v>
      </c>
    </row>
    <row r="67" spans="2:13" ht="15" hidden="1" customHeight="1">
      <c r="B67" s="49" t="str">
        <f t="shared" ref="B67:D68" si="12">IF(($E61&gt;0),B61,B60)</f>
        <v>per 100 arrests</v>
      </c>
      <c r="C67" s="49">
        <f t="shared" si="12"/>
        <v>1.89</v>
      </c>
      <c r="D67" s="49">
        <f t="shared" si="12"/>
        <v>0</v>
      </c>
      <c r="E67" s="49">
        <f>MAX(C67:D67)</f>
        <v>1.89</v>
      </c>
      <c r="G67" s="1" t="str">
        <f>G61</f>
        <v>per 100 arrests</v>
      </c>
      <c r="L67" s="58">
        <f>IF(($E61&gt;0),L61,L60)</f>
        <v>100</v>
      </c>
      <c r="M67" s="58">
        <f>IF((B67=G67),1,2)</f>
        <v>1</v>
      </c>
    </row>
    <row r="68" spans="2:13" ht="15" hidden="1" customHeight="1">
      <c r="B68" s="49" t="str">
        <f t="shared" si="12"/>
        <v>per 100 referrals</v>
      </c>
      <c r="C68" s="49">
        <f t="shared" si="12"/>
        <v>5.49</v>
      </c>
      <c r="D68" s="49">
        <f t="shared" si="12"/>
        <v>0.53</v>
      </c>
      <c r="E68" s="49">
        <f>MAX(C68:D68)</f>
        <v>5.49</v>
      </c>
      <c r="G68" s="1" t="str">
        <f>G62</f>
        <v>per 100 referrals</v>
      </c>
      <c r="L68" s="58">
        <f>IF(($E62&gt;0),L62,L61)</f>
        <v>100</v>
      </c>
      <c r="M68" s="58">
        <f>IF((B68=G68),1,2)</f>
        <v>1</v>
      </c>
    </row>
    <row r="69" spans="2:13" ht="15" hidden="1" customHeight="1">
      <c r="B69" s="49" t="str">
        <f>IF(($E63&gt;0),B63,B61)</f>
        <v>per 100 youth petitioned</v>
      </c>
      <c r="C69" s="49">
        <f>IF(($E63&gt;0),C63,C62)</f>
        <v>5.49</v>
      </c>
      <c r="D69" s="49">
        <f>IF(($E63&gt;0),D63,D62)</f>
        <v>0.53</v>
      </c>
      <c r="E69" s="49">
        <f>MAX(C69:D69)</f>
        <v>5.49</v>
      </c>
      <c r="G69" s="1" t="str">
        <f>G63</f>
        <v>per 100 youth petitioned</v>
      </c>
      <c r="L69" s="58">
        <f>IF(($E63&gt;0),L63,L62)</f>
        <v>100</v>
      </c>
      <c r="M69" s="58">
        <f>IF((B69=G69),1,2)</f>
        <v>1</v>
      </c>
    </row>
    <row r="70" spans="2:13" ht="15" hidden="1" customHeight="1">
      <c r="B70" s="49" t="str">
        <f>IF(($E64&gt;0),B64,B63)</f>
        <v>per 100 youth found delinquent</v>
      </c>
      <c r="C70" s="49">
        <f>IF(($E64&gt;0),C64,C63)</f>
        <v>3.97</v>
      </c>
      <c r="D70" s="49">
        <f>IF(($E64&gt;0),D64,D63)</f>
        <v>0.46</v>
      </c>
      <c r="E70" s="56">
        <f>MAX(C70:D70)</f>
        <v>3.97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59786</v>
      </c>
      <c r="D6" s="34"/>
      <c r="E6" s="33">
        <f>'Data Entry'!J6</f>
        <v>24762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189</v>
      </c>
      <c r="D7" s="34">
        <f>IF((AND(C66&gt;0,C7&gt;0)),(C7/C66),0)</f>
        <v>3.1612752149332617</v>
      </c>
      <c r="E7" s="33">
        <f>'Data Entry'!J7</f>
        <v>377</v>
      </c>
      <c r="F7" s="34">
        <f>IF((AND($E$7&gt;0,$D$66&gt;0)),($E$7/$D$66),0)</f>
        <v>15.224941442532913</v>
      </c>
      <c r="G7" s="39">
        <f t="shared" ref="G7:G15" si="0">IF(L$6=100,"*",IF(M7=FALSE,"--",IF(K7=20,"**",($F7/$D7))))</f>
        <v>4.8160759210755177</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377</v>
      </c>
      <c r="O7" s="42">
        <f>E6-E7</f>
        <v>24385</v>
      </c>
      <c r="P7" s="42">
        <f t="shared" ref="P7:P15" si="4">C7</f>
        <v>189</v>
      </c>
      <c r="Q7" s="42">
        <f>C6-C7</f>
        <v>59597</v>
      </c>
      <c r="R7" s="42">
        <f t="shared" ref="R7:R15" si="5">SUM(N7:Q7)</f>
        <v>84548</v>
      </c>
      <c r="S7" s="30">
        <f t="shared" ref="S7:S15" si="6">R7*((((N7*Q7)-(O7*P7))^2))</f>
        <v>2.6966985303782646E+19</v>
      </c>
      <c r="T7" s="30">
        <f t="shared" ref="T7:T15" si="7">(N7+O7)*(P7+Q7)*(N7+P7)*(O7+Q7)</f>
        <v>7.0370050262552784E+16</v>
      </c>
      <c r="U7" s="31">
        <f t="shared" ref="U7:U15" si="8">IF((S7&gt;0),S7/T7,"- -")</f>
        <v>383.21679753201835</v>
      </c>
    </row>
    <row r="8" spans="2:21" ht="18" customHeight="1">
      <c r="B8" s="32" t="str">
        <f>'Data Entry'!A8</f>
        <v>3. Refer to Juvenile Court</v>
      </c>
      <c r="C8" s="33">
        <f>'Data Entry'!C8</f>
        <v>549</v>
      </c>
      <c r="D8" s="34">
        <f>IF((AND(C67&gt;0,C8&gt;0)),(C8/C67),0)</f>
        <v>290.47619047619048</v>
      </c>
      <c r="E8" s="33">
        <f>'Data Entry'!J8</f>
        <v>758</v>
      </c>
      <c r="F8" s="34">
        <f>IF((AND($E$8&gt;0,$D$67&gt;0)),($E8/$D67),0)</f>
        <v>201.06100795755967</v>
      </c>
      <c r="G8" s="39">
        <f t="shared" si="0"/>
        <v>0.69217724050963159</v>
      </c>
      <c r="H8" s="40"/>
      <c r="I8" s="41"/>
      <c r="J8" s="40">
        <f>IF((ABS($U8)&gt;Defaults!D$7),1,2)</f>
        <v>1</v>
      </c>
      <c r="K8" s="39">
        <f>IF((AND(N8&gt;Defaults!B$12,(N8+O8)&gt;Defaults!B$13, P8 &gt; Defaults!B$12, (P8+Q8) &gt; Defaults!B$13)),1,20)</f>
        <v>1</v>
      </c>
      <c r="L8" s="1">
        <f t="shared" si="1"/>
        <v>1</v>
      </c>
      <c r="M8" s="1" t="b">
        <f t="shared" si="2"/>
        <v>1</v>
      </c>
      <c r="N8" s="42">
        <f t="shared" si="3"/>
        <v>758</v>
      </c>
      <c r="O8" s="42">
        <f>((D67*L67)-E8)+0.05</f>
        <v>-380.95</v>
      </c>
      <c r="P8" s="42">
        <f t="shared" si="4"/>
        <v>549</v>
      </c>
      <c r="Q8" s="42">
        <f>(C$67*L67)-C8</f>
        <v>-360</v>
      </c>
      <c r="R8" s="42">
        <f t="shared" si="5"/>
        <v>566.04999999999995</v>
      </c>
      <c r="S8" s="30">
        <f t="shared" si="6"/>
        <v>2299629074256.2358</v>
      </c>
      <c r="T8" s="30">
        <f t="shared" si="7"/>
        <v>-69012099412.042496</v>
      </c>
      <c r="U8" s="31">
        <f t="shared" si="8"/>
        <v>-33.32211443860168</v>
      </c>
    </row>
    <row r="9" spans="2:21" ht="18" customHeight="1">
      <c r="B9" s="32" t="str">
        <f>'Data Entry'!A9</f>
        <v xml:space="preserve">4. Cases Diverted </v>
      </c>
      <c r="C9" s="33">
        <f>'Data Entry'!C9</f>
        <v>99</v>
      </c>
      <c r="D9" s="34">
        <f>IF((AND(C68&gt;0,C9&gt;0)),((C9/C68)),0)</f>
        <v>18.032786885245901</v>
      </c>
      <c r="E9" s="33">
        <f>'Data Entry'!J9</f>
        <v>114</v>
      </c>
      <c r="F9" s="34">
        <f>IF((AND($E$9&gt;0,$D$68&gt;0)),(($E$9/$D$68)),0)</f>
        <v>15.03957783641161</v>
      </c>
      <c r="G9" s="39">
        <f t="shared" si="0"/>
        <v>0.83401295274646203</v>
      </c>
      <c r="H9" s="40"/>
      <c r="I9" s="41"/>
      <c r="J9" s="40">
        <f>IF((ABS($U9)&gt;Defaults!D$7),1,2)</f>
        <v>2</v>
      </c>
      <c r="K9" s="39">
        <f>IF((AND(N9&gt;Defaults!B$12,(N9+O9)&gt;Defaults!B$13, P9 &gt; Defaults!B$12, (P9+Q9) &gt; Defaults!B$13)),1,20)</f>
        <v>1</v>
      </c>
      <c r="L9" s="1">
        <f t="shared" si="1"/>
        <v>2</v>
      </c>
      <c r="M9" s="1" t="b">
        <f t="shared" si="2"/>
        <v>1</v>
      </c>
      <c r="N9" s="42">
        <f t="shared" si="3"/>
        <v>114</v>
      </c>
      <c r="O9" s="42">
        <f>(D$68*L68)-E9</f>
        <v>644</v>
      </c>
      <c r="P9" s="42">
        <f t="shared" si="4"/>
        <v>99</v>
      </c>
      <c r="Q9" s="42">
        <f>(C$68*L68)-C9</f>
        <v>450</v>
      </c>
      <c r="R9" s="42">
        <f t="shared" si="5"/>
        <v>1307</v>
      </c>
      <c r="S9" s="30">
        <f t="shared" si="6"/>
        <v>202783580352</v>
      </c>
      <c r="T9" s="30">
        <f t="shared" si="7"/>
        <v>96970241124</v>
      </c>
      <c r="U9" s="31">
        <f t="shared" si="8"/>
        <v>2.0911939374543986</v>
      </c>
    </row>
    <row r="10" spans="2:21" ht="18" customHeight="1">
      <c r="B10" s="32" t="str">
        <f>'Data Entry'!A10</f>
        <v>5. Cases Involving Secure Detention</v>
      </c>
      <c r="C10" s="33">
        <f>'Data Entry'!C10</f>
        <v>71</v>
      </c>
      <c r="D10" s="34">
        <f>IF(((AND(C68&gt;0,C10&gt;0))),(C10/(C68)),0)</f>
        <v>12.932604735883423</v>
      </c>
      <c r="E10" s="33">
        <f>'Data Entry'!J10</f>
        <v>128</v>
      </c>
      <c r="F10" s="34">
        <f>IF(((AND($E$10&gt;0,$D$68&gt;0))),($E$10/($D$68)),0)</f>
        <v>16.886543535620053</v>
      </c>
      <c r="G10" s="39">
        <f t="shared" si="0"/>
        <v>1.3057341409937198</v>
      </c>
      <c r="H10" s="40"/>
      <c r="I10" s="41"/>
      <c r="J10" s="40">
        <f>IF((ABS($U10)&gt;Defaults!D$7),1,2)</f>
        <v>1</v>
      </c>
      <c r="K10" s="39">
        <f>IF((AND(N10&gt;Defaults!B$12,(N10+O10)&gt;Defaults!B$13, P10 &gt; Defaults!B$12, (P10+Q10) &gt; Defaults!B$13)),1,20)</f>
        <v>1</v>
      </c>
      <c r="L10" s="1">
        <f t="shared" si="1"/>
        <v>1</v>
      </c>
      <c r="M10" s="1" t="b">
        <f t="shared" si="2"/>
        <v>1</v>
      </c>
      <c r="N10" s="42">
        <f t="shared" si="3"/>
        <v>128</v>
      </c>
      <c r="O10" s="42">
        <f>(D$68*L68)-E10</f>
        <v>630</v>
      </c>
      <c r="P10" s="42">
        <f t="shared" si="4"/>
        <v>71</v>
      </c>
      <c r="Q10" s="42">
        <f>(C$68*L68)-C10</f>
        <v>478</v>
      </c>
      <c r="R10" s="42">
        <f t="shared" si="5"/>
        <v>1307</v>
      </c>
      <c r="S10" s="30">
        <f t="shared" si="6"/>
        <v>353849489612</v>
      </c>
      <c r="T10" s="30">
        <f t="shared" si="7"/>
        <v>91755981864</v>
      </c>
      <c r="U10" s="31">
        <f t="shared" si="8"/>
        <v>3.8564187579233029</v>
      </c>
    </row>
    <row r="11" spans="2:21" ht="18" customHeight="1">
      <c r="B11" s="32" t="str">
        <f>'Data Entry'!A11</f>
        <v>6. Cases Petitioned (Charge Filed)</v>
      </c>
      <c r="C11" s="33">
        <f>'Data Entry'!C11</f>
        <v>549</v>
      </c>
      <c r="D11" s="34">
        <f>IF(((AND(C68&gt;0,C11&gt;0))),(C11/(C68)),0)</f>
        <v>100</v>
      </c>
      <c r="E11" s="33">
        <f>'Data Entry'!J11</f>
        <v>758</v>
      </c>
      <c r="F11" s="34">
        <f>IF(((AND($E$11&gt;0,$D$68&gt;0))),($E$11/($D$68)),0)</f>
        <v>100</v>
      </c>
      <c r="G11" s="39" t="str">
        <f t="shared" si="0"/>
        <v>--</v>
      </c>
      <c r="H11" s="40"/>
      <c r="I11" s="41"/>
      <c r="J11" s="40" t="e">
        <f>IF((ABS($U11)&gt;Defaults!D$7),1,2)</f>
        <v>#VALUE!</v>
      </c>
      <c r="K11" s="39">
        <f>IF((AND(N11&gt;Defaults!B$12,(N11+O11)&gt;Defaults!B$13, P11 &gt; Defaults!B$12, (P11+Q11) &gt; Defaults!B$13)),1,20)</f>
        <v>1</v>
      </c>
      <c r="L11" s="1" t="e">
        <f t="shared" si="1"/>
        <v>#VALUE!</v>
      </c>
      <c r="M11" s="1" t="b">
        <f t="shared" si="2"/>
        <v>0</v>
      </c>
      <c r="N11" s="42">
        <f t="shared" si="3"/>
        <v>758</v>
      </c>
      <c r="O11" s="42">
        <f>(D$68*L68)-E11</f>
        <v>0</v>
      </c>
      <c r="P11" s="42">
        <f t="shared" si="4"/>
        <v>549</v>
      </c>
      <c r="Q11" s="42">
        <f>(C$68*L68)-C11</f>
        <v>0</v>
      </c>
      <c r="R11" s="42">
        <f t="shared" si="5"/>
        <v>1307</v>
      </c>
      <c r="S11" s="30">
        <f t="shared" si="6"/>
        <v>0</v>
      </c>
      <c r="T11" s="30">
        <f t="shared" si="7"/>
        <v>0</v>
      </c>
      <c r="U11" s="31" t="str">
        <f t="shared" si="8"/>
        <v>- -</v>
      </c>
    </row>
    <row r="12" spans="2:21" ht="18" customHeight="1">
      <c r="B12" s="32" t="str">
        <f>'Data Entry'!A12</f>
        <v>7. Cases Resulting in Delinquent Findings</v>
      </c>
      <c r="C12" s="33">
        <f>'Data Entry'!C12</f>
        <v>397</v>
      </c>
      <c r="D12" s="34">
        <f>IF(((AND(C69&gt;0,C12&gt;0))),(C12/(C69)),0)</f>
        <v>72.313296903460838</v>
      </c>
      <c r="E12" s="33">
        <f>'Data Entry'!J12</f>
        <v>594</v>
      </c>
      <c r="F12" s="34">
        <f>IF(((AND($D$69&gt;0,$E$12&gt;0))),(E12/(D69)),0)</f>
        <v>78.364116094986812</v>
      </c>
      <c r="G12" s="39">
        <f t="shared" si="0"/>
        <v>1.0836750563261401</v>
      </c>
      <c r="H12" s="40"/>
      <c r="I12" s="41"/>
      <c r="J12" s="40">
        <f>IF((ABS($U12)&gt;Defaults!D$7),1,2)</f>
        <v>1</v>
      </c>
      <c r="K12" s="39">
        <f>IF((AND(N12&gt;Defaults!B$12,(N12+O12)&gt;Defaults!B$13, P12 &gt; Defaults!B$12, (P12+Q12) &gt; Defaults!B$13)),1,20)</f>
        <v>1</v>
      </c>
      <c r="L12" s="1">
        <f t="shared" si="1"/>
        <v>1</v>
      </c>
      <c r="M12" s="1" t="b">
        <f t="shared" si="2"/>
        <v>1</v>
      </c>
      <c r="N12" s="42">
        <f t="shared" si="3"/>
        <v>594</v>
      </c>
      <c r="O12" s="42">
        <f>(D69*L69)-E12</f>
        <v>164</v>
      </c>
      <c r="P12" s="42">
        <f t="shared" si="4"/>
        <v>397</v>
      </c>
      <c r="Q12" s="42">
        <f>(C69*L69)-C12</f>
        <v>152</v>
      </c>
      <c r="R12" s="42">
        <f t="shared" si="5"/>
        <v>1307</v>
      </c>
      <c r="S12" s="30">
        <f t="shared" si="6"/>
        <v>828680346800</v>
      </c>
      <c r="T12" s="30">
        <f t="shared" si="7"/>
        <v>130317364152</v>
      </c>
      <c r="U12" s="31">
        <f t="shared" si="8"/>
        <v>6.3589403621871989</v>
      </c>
    </row>
    <row r="13" spans="2:21" ht="18" customHeight="1">
      <c r="B13" s="32" t="str">
        <f>'Data Entry'!A13</f>
        <v>8. Cases Resulting in Probation Placement</v>
      </c>
      <c r="C13" s="33">
        <f>'Data Entry'!C13</f>
        <v>397</v>
      </c>
      <c r="D13" s="34">
        <f>IF(((AND(C70&gt;0,C13&gt;0))),(C13/(C70)),0)</f>
        <v>100</v>
      </c>
      <c r="E13" s="33">
        <f>'Data Entry'!J13</f>
        <v>594</v>
      </c>
      <c r="F13" s="34">
        <f>IF(((AND($D$70&gt;0,$E$13&gt;0))),($E$13/($D$70)),0)</f>
        <v>100</v>
      </c>
      <c r="G13" s="39" t="str">
        <f t="shared" si="0"/>
        <v>--</v>
      </c>
      <c r="H13" s="40"/>
      <c r="I13" s="41"/>
      <c r="J13" s="40" t="e">
        <f>IF((ABS($U13)&gt;Defaults!D$7),1,2)</f>
        <v>#VALUE!</v>
      </c>
      <c r="K13" s="39">
        <f>IF((AND(N13&gt;Defaults!B$12,(N13+O13)&gt;Defaults!B$13, P13 &gt; Defaults!B$12, (P13+Q13) &gt; Defaults!B$13)),1,20)</f>
        <v>1</v>
      </c>
      <c r="L13" s="1" t="e">
        <f t="shared" si="1"/>
        <v>#VALUE!</v>
      </c>
      <c r="M13" s="1" t="b">
        <f t="shared" si="2"/>
        <v>0</v>
      </c>
      <c r="N13" s="42">
        <f t="shared" si="3"/>
        <v>594</v>
      </c>
      <c r="O13" s="42">
        <f>(D70*L70)-E13</f>
        <v>0</v>
      </c>
      <c r="P13" s="42">
        <f t="shared" si="4"/>
        <v>397</v>
      </c>
      <c r="Q13" s="42">
        <f>(C70*L70)-C13</f>
        <v>0</v>
      </c>
      <c r="R13" s="42">
        <f t="shared" si="5"/>
        <v>991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0.75566750629722923</v>
      </c>
      <c r="E14" s="33">
        <f>'Data Entry'!J14</f>
        <v>2</v>
      </c>
      <c r="F14" s="34">
        <f>IF(((AND($D$70&gt;0,$E$14&gt;0))), (($E$14/($D$70))),0)</f>
        <v>0.33670033670033667</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592</v>
      </c>
      <c r="P14" s="42">
        <f t="shared" si="4"/>
        <v>3</v>
      </c>
      <c r="Q14" s="42">
        <f>(C70*L70)-C14</f>
        <v>394</v>
      </c>
      <c r="R14" s="42">
        <f t="shared" si="5"/>
        <v>991</v>
      </c>
      <c r="S14" s="30">
        <f t="shared" si="6"/>
        <v>967358704</v>
      </c>
      <c r="T14" s="30">
        <f t="shared" si="7"/>
        <v>1162582740</v>
      </c>
      <c r="U14" s="31">
        <f t="shared" si="8"/>
        <v>0.83207729713929868</v>
      </c>
    </row>
    <row r="15" spans="2:21" ht="15.75" customHeight="1">
      <c r="B15" s="32" t="str">
        <f>'Data Entry'!A15</f>
        <v xml:space="preserve">10. Cases Transferred to Adult Court </v>
      </c>
      <c r="C15" s="33">
        <f>'Data Entry'!C15</f>
        <v>1</v>
      </c>
      <c r="D15" s="34">
        <f>IF(((AND(C69&gt;0,C15&gt;0))),((C15/(C69))),0)</f>
        <v>0.18214936247723132</v>
      </c>
      <c r="E15" s="33">
        <f>'Data Entry'!J15</f>
        <v>9</v>
      </c>
      <c r="F15" s="34">
        <f>IF(((AND($D$69&gt;0,$E$15&gt;0))),(($E$15/($D$69))),0)</f>
        <v>1.187335092348285</v>
      </c>
      <c r="G15" s="39" t="str">
        <f t="shared" si="0"/>
        <v>**</v>
      </c>
      <c r="H15" s="40"/>
      <c r="I15" s="41"/>
      <c r="J15" s="40">
        <f>IF((ABS($U15)&gt;Defaults!D$7),1,2)</f>
        <v>1</v>
      </c>
      <c r="K15" s="39">
        <f>IF((AND(N15&gt;Defaults!B$12,(N15+O15)&gt;Defaults!B$13, P15 &gt; Defaults!B$12, (P15+Q15) &gt; Defaults!B$13)),1,20)</f>
        <v>20</v>
      </c>
      <c r="L15" s="1">
        <f t="shared" si="1"/>
        <v>20</v>
      </c>
      <c r="M15" s="1" t="b">
        <f t="shared" si="2"/>
        <v>1</v>
      </c>
      <c r="N15" s="42">
        <f t="shared" si="3"/>
        <v>9</v>
      </c>
      <c r="O15" s="42">
        <f>(D69*L69)-E15</f>
        <v>749</v>
      </c>
      <c r="P15" s="42">
        <f t="shared" si="4"/>
        <v>1</v>
      </c>
      <c r="Q15" s="42">
        <f>(C69*L69)-C15</f>
        <v>548</v>
      </c>
      <c r="R15" s="42">
        <f t="shared" si="5"/>
        <v>1307</v>
      </c>
      <c r="S15" s="30">
        <f t="shared" si="6"/>
        <v>22869218123</v>
      </c>
      <c r="T15" s="30">
        <f t="shared" si="7"/>
        <v>5397361740</v>
      </c>
      <c r="U15" s="31">
        <f t="shared" si="8"/>
        <v>4.2371105041034367</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59.786000000000001</v>
      </c>
      <c r="D42" s="56">
        <f>E6/1000</f>
        <v>24.762</v>
      </c>
      <c r="E42" s="56">
        <f>MAX(C42:D42)</f>
        <v>59.786000000000001</v>
      </c>
      <c r="G42" s="1" t="str">
        <f>B42</f>
        <v>per 1000 youth</v>
      </c>
      <c r="L42" s="57">
        <v>1000</v>
      </c>
      <c r="M42" s="57"/>
      <c r="R42" s="49"/>
    </row>
    <row r="43" spans="2:18" ht="15" hidden="1" customHeight="1">
      <c r="B43" s="49" t="s">
        <v>87</v>
      </c>
      <c r="C43" s="56">
        <f>C7/100</f>
        <v>1.89</v>
      </c>
      <c r="D43" s="56">
        <f>E7/100</f>
        <v>3.77</v>
      </c>
      <c r="E43" s="56">
        <f>MAX(C43:D43,0)</f>
        <v>3.77</v>
      </c>
      <c r="G43" s="1" t="str">
        <f>B43</f>
        <v>per 100 arrests</v>
      </c>
      <c r="L43" s="57">
        <v>100</v>
      </c>
      <c r="M43" s="57"/>
      <c r="R43" s="49"/>
    </row>
    <row r="44" spans="2:18" ht="15" hidden="1" customHeight="1">
      <c r="B44" s="49" t="s">
        <v>88</v>
      </c>
      <c r="C44" s="56">
        <f>C8/100</f>
        <v>5.49</v>
      </c>
      <c r="D44" s="56">
        <f>E8/100</f>
        <v>7.58</v>
      </c>
      <c r="E44" s="56">
        <f>MAX(C44:D44,0)</f>
        <v>7.58</v>
      </c>
      <c r="G44" s="1" t="str">
        <f>B44</f>
        <v>per 100 referrals</v>
      </c>
      <c r="L44" s="57">
        <v>100</v>
      </c>
      <c r="M44" s="57"/>
      <c r="R44" s="49"/>
    </row>
    <row r="45" spans="2:18" ht="15" hidden="1" customHeight="1">
      <c r="B45" s="49" t="s">
        <v>89</v>
      </c>
      <c r="C45" s="49">
        <f>C11/100</f>
        <v>5.49</v>
      </c>
      <c r="D45" s="49">
        <f>E11/100</f>
        <v>7.58</v>
      </c>
      <c r="E45" s="56">
        <f>MAX(C45:D45,0)</f>
        <v>7.58</v>
      </c>
      <c r="G45" s="1" t="str">
        <f>B45</f>
        <v>per 100 youth petitioned</v>
      </c>
      <c r="L45" s="57">
        <v>100</v>
      </c>
      <c r="M45" s="57"/>
      <c r="R45" s="49"/>
    </row>
    <row r="46" spans="2:18" ht="15" hidden="1" customHeight="1">
      <c r="B46" s="49" t="s">
        <v>90</v>
      </c>
      <c r="C46" s="49">
        <f>C12/100</f>
        <v>3.97</v>
      </c>
      <c r="D46" s="49">
        <f>E12/100</f>
        <v>5.94</v>
      </c>
      <c r="E46" s="56">
        <f>MAX(C46:D46)</f>
        <v>5.94</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59.786000000000001</v>
      </c>
      <c r="D48" s="56">
        <f>D42</f>
        <v>24.762</v>
      </c>
      <c r="E48" s="56">
        <f>MAX(C48:D48)</f>
        <v>59.786000000000001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1.89</v>
      </c>
      <c r="D49" s="49">
        <f t="shared" si="9"/>
        <v>3.77</v>
      </c>
      <c r="E49" s="49">
        <f>MAX(C49:D49)</f>
        <v>3.77</v>
      </c>
      <c r="G49" s="1" t="str">
        <f>G43</f>
        <v>per 100 arrests</v>
      </c>
      <c r="L49" s="58">
        <f>IF(($E43&gt;0),L43,L42)</f>
        <v>100</v>
      </c>
      <c r="M49" s="58"/>
      <c r="N49" s="21"/>
      <c r="O49" s="21"/>
      <c r="P49" s="21"/>
      <c r="Q49" s="21"/>
      <c r="R49" s="21"/>
    </row>
    <row r="50" spans="2:18" ht="15" hidden="1" customHeight="1">
      <c r="B50" s="49" t="str">
        <f t="shared" si="9"/>
        <v>per 100 referrals</v>
      </c>
      <c r="C50" s="49">
        <f t="shared" si="9"/>
        <v>5.49</v>
      </c>
      <c r="D50" s="49">
        <f t="shared" si="9"/>
        <v>7.58</v>
      </c>
      <c r="E50" s="49">
        <f>MAX(C50:D50)</f>
        <v>7.58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5.49</v>
      </c>
      <c r="D51" s="49">
        <f>IF(($E45&gt;0),D45,D44)</f>
        <v>7.58</v>
      </c>
      <c r="E51" s="49">
        <f>MAX(C51:D51)</f>
        <v>7.58</v>
      </c>
      <c r="G51" s="1" t="str">
        <f>G45</f>
        <v>per 100 youth petitioned</v>
      </c>
      <c r="L51" s="58">
        <f>IF(($E45&gt;0),L45,L44)</f>
        <v>100</v>
      </c>
      <c r="M51" s="58"/>
    </row>
    <row r="52" spans="2:18" ht="15" hidden="1" customHeight="1">
      <c r="B52" s="49" t="str">
        <f>IF(($E46&gt;0),B46,B45)</f>
        <v>per 100 youth found delinquent</v>
      </c>
      <c r="C52" s="49">
        <f>IF(($E46&gt;0),C46,C45)</f>
        <v>3.97</v>
      </c>
      <c r="D52" s="49">
        <f>IF(($E46&gt;0),D46,D45)</f>
        <v>5.94</v>
      </c>
      <c r="E52" s="56">
        <f>MAX(C52:D52)</f>
        <v>5.94</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59.786000000000001</v>
      </c>
      <c r="D54" s="56">
        <f>D48</f>
        <v>24.762</v>
      </c>
      <c r="E54" s="56">
        <f>MAX(C54:D54)</f>
        <v>59.786000000000001</v>
      </c>
      <c r="G54" s="1" t="str">
        <f>G48</f>
        <v>per 1000 youth</v>
      </c>
      <c r="L54" s="58">
        <f>L48</f>
        <v>1000</v>
      </c>
      <c r="M54" s="58"/>
    </row>
    <row r="55" spans="2:18" ht="15" hidden="1" customHeight="1">
      <c r="B55" s="49" t="str">
        <f t="shared" ref="B55:D56" si="10">IF(($E49&gt;0),B49,B48)</f>
        <v>per 100 arrests</v>
      </c>
      <c r="C55" s="49">
        <f t="shared" si="10"/>
        <v>1.89</v>
      </c>
      <c r="D55" s="49">
        <f t="shared" si="10"/>
        <v>3.77</v>
      </c>
      <c r="E55" s="49">
        <f>MAX(C55:D55)</f>
        <v>3.77</v>
      </c>
      <c r="G55" s="1" t="str">
        <f>G49</f>
        <v>per 100 arrests</v>
      </c>
      <c r="L55" s="58">
        <f>IF(($E49&gt;0),L49,L48)</f>
        <v>100</v>
      </c>
      <c r="M55" s="58"/>
    </row>
    <row r="56" spans="2:18" ht="15" hidden="1" customHeight="1">
      <c r="B56" s="49" t="str">
        <f t="shared" si="10"/>
        <v>per 100 referrals</v>
      </c>
      <c r="C56" s="49">
        <f t="shared" si="10"/>
        <v>5.49</v>
      </c>
      <c r="D56" s="49">
        <f t="shared" si="10"/>
        <v>7.58</v>
      </c>
      <c r="E56" s="49">
        <f>MAX(C56:D56)</f>
        <v>7.58</v>
      </c>
      <c r="G56" s="1" t="str">
        <f>G50</f>
        <v>per 100 referrals</v>
      </c>
      <c r="L56" s="58">
        <f>IF(($E50&gt;0),L50,L49)</f>
        <v>100</v>
      </c>
      <c r="M56" s="58"/>
    </row>
    <row r="57" spans="2:18" ht="15" hidden="1" customHeight="1">
      <c r="B57" s="49" t="str">
        <f>IF(($E51&gt;0),B51,B49)</f>
        <v>per 100 youth petitioned</v>
      </c>
      <c r="C57" s="49">
        <f>IF(($E51&gt;0),C51,C50)</f>
        <v>5.49</v>
      </c>
      <c r="D57" s="49">
        <f>IF(($E51&gt;0),D51,D50)</f>
        <v>7.58</v>
      </c>
      <c r="E57" s="49">
        <f>MAX(C57:D57)</f>
        <v>7.58</v>
      </c>
      <c r="G57" s="1" t="str">
        <f>G51</f>
        <v>per 100 youth petitioned</v>
      </c>
      <c r="L57" s="58">
        <f>IF(($E51&gt;0),L51,L50)</f>
        <v>100</v>
      </c>
      <c r="M57" s="58"/>
    </row>
    <row r="58" spans="2:18" ht="15" hidden="1" customHeight="1">
      <c r="B58" s="49" t="str">
        <f>IF(($E52&gt;0),B52,B51)</f>
        <v>per 100 youth found delinquent</v>
      </c>
      <c r="C58" s="49">
        <f>IF(($E52&gt;0),C52,C51)</f>
        <v>3.97</v>
      </c>
      <c r="D58" s="49">
        <f>IF(($E52&gt;0),D52,D51)</f>
        <v>5.94</v>
      </c>
      <c r="E58" s="56">
        <f>MAX(C58:D58)</f>
        <v>5.94</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59.786000000000001</v>
      </c>
      <c r="D60" s="56">
        <f>D54</f>
        <v>24.762</v>
      </c>
      <c r="E60" s="56">
        <f>MAX(C60:D60)</f>
        <v>59.786000000000001</v>
      </c>
      <c r="G60" s="1" t="str">
        <f>G54</f>
        <v>per 1000 youth</v>
      </c>
      <c r="L60" s="58">
        <f>L54</f>
        <v>1000</v>
      </c>
      <c r="M60" s="58"/>
    </row>
    <row r="61" spans="2:18" ht="15" hidden="1" customHeight="1">
      <c r="B61" s="49" t="str">
        <f t="shared" ref="B61:D62" si="11">IF(($E55&gt;0),B55,B54)</f>
        <v>per 100 arrests</v>
      </c>
      <c r="C61" s="49">
        <f t="shared" si="11"/>
        <v>1.89</v>
      </c>
      <c r="D61" s="49">
        <f t="shared" si="11"/>
        <v>3.77</v>
      </c>
      <c r="E61" s="49">
        <f>MAX(C61:D61)</f>
        <v>3.77</v>
      </c>
      <c r="G61" s="1" t="str">
        <f>G55</f>
        <v>per 100 arrests</v>
      </c>
      <c r="L61" s="58">
        <f>IF(($E55&gt;0),L55,L54)</f>
        <v>100</v>
      </c>
      <c r="M61" s="58"/>
    </row>
    <row r="62" spans="2:18" ht="15" hidden="1" customHeight="1">
      <c r="B62" s="49" t="str">
        <f t="shared" si="11"/>
        <v>per 100 referrals</v>
      </c>
      <c r="C62" s="49">
        <f t="shared" si="11"/>
        <v>5.49</v>
      </c>
      <c r="D62" s="49">
        <f t="shared" si="11"/>
        <v>7.58</v>
      </c>
      <c r="E62" s="49">
        <f>MAX(C62:D62)</f>
        <v>7.58</v>
      </c>
      <c r="G62" s="1" t="str">
        <f>G56</f>
        <v>per 100 referrals</v>
      </c>
      <c r="L62" s="58">
        <f>IF(($E56&gt;0),L56,L55)</f>
        <v>100</v>
      </c>
      <c r="M62" s="58"/>
    </row>
    <row r="63" spans="2:18" ht="15" hidden="1" customHeight="1">
      <c r="B63" s="49" t="str">
        <f>IF(($E57&gt;0),B57,B55)</f>
        <v>per 100 youth petitioned</v>
      </c>
      <c r="C63" s="49">
        <f>IF(($E57&gt;0),C57,C56)</f>
        <v>5.49</v>
      </c>
      <c r="D63" s="49">
        <f>IF(($E57&gt;0),D57,D56)</f>
        <v>7.58</v>
      </c>
      <c r="E63" s="49">
        <f>MAX(C63:D63)</f>
        <v>7.58</v>
      </c>
      <c r="G63" s="1" t="str">
        <f>G57</f>
        <v>per 100 youth petitioned</v>
      </c>
      <c r="L63" s="58">
        <f>IF(($E57&gt;0),L57,L56)</f>
        <v>100</v>
      </c>
      <c r="M63" s="58"/>
    </row>
    <row r="64" spans="2:18" ht="15" hidden="1" customHeight="1">
      <c r="B64" s="49" t="str">
        <f>IF(($E58&gt;0),B58,B57)</f>
        <v>per 100 youth found delinquent</v>
      </c>
      <c r="C64" s="49">
        <f>IF(($E58&gt;0),C58,C57)</f>
        <v>3.97</v>
      </c>
      <c r="D64" s="49">
        <f>IF(($E58&gt;0),D58,D57)</f>
        <v>5.94</v>
      </c>
      <c r="E64" s="56">
        <f>MAX(C64:D64)</f>
        <v>5.94</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59.786000000000001</v>
      </c>
      <c r="D66" s="56">
        <f>D60</f>
        <v>24.762</v>
      </c>
      <c r="E66" s="56">
        <f>MAX(C66:D66)</f>
        <v>59.786000000000001</v>
      </c>
      <c r="G66" s="1" t="str">
        <f>G60</f>
        <v>per 1000 youth</v>
      </c>
      <c r="L66" s="58">
        <f>L60</f>
        <v>1000</v>
      </c>
      <c r="M66" s="58">
        <f>IF((B66=G66),1,2)</f>
        <v>1</v>
      </c>
    </row>
    <row r="67" spans="2:13" ht="15" hidden="1" customHeight="1">
      <c r="B67" s="49" t="str">
        <f t="shared" ref="B67:D68" si="12">IF(($E61&gt;0),B61,B60)</f>
        <v>per 100 arrests</v>
      </c>
      <c r="C67" s="49">
        <f t="shared" si="12"/>
        <v>1.89</v>
      </c>
      <c r="D67" s="49">
        <f t="shared" si="12"/>
        <v>3.77</v>
      </c>
      <c r="E67" s="49">
        <f>MAX(C67:D67)</f>
        <v>3.77</v>
      </c>
      <c r="G67" s="1" t="str">
        <f>G61</f>
        <v>per 100 arrests</v>
      </c>
      <c r="L67" s="58">
        <f>IF(($E61&gt;0),L61,L60)</f>
        <v>100</v>
      </c>
      <c r="M67" s="58">
        <f>IF((B67=G67),1,2)</f>
        <v>1</v>
      </c>
    </row>
    <row r="68" spans="2:13" ht="15" hidden="1" customHeight="1">
      <c r="B68" s="49" t="str">
        <f t="shared" si="12"/>
        <v>per 100 referrals</v>
      </c>
      <c r="C68" s="49">
        <f t="shared" si="12"/>
        <v>5.49</v>
      </c>
      <c r="D68" s="49">
        <f t="shared" si="12"/>
        <v>7.58</v>
      </c>
      <c r="E68" s="49">
        <f>MAX(C68:D68)</f>
        <v>7.58</v>
      </c>
      <c r="G68" s="1" t="str">
        <f>G62</f>
        <v>per 100 referrals</v>
      </c>
      <c r="L68" s="58">
        <f>IF(($E62&gt;0),L62,L61)</f>
        <v>100</v>
      </c>
      <c r="M68" s="58">
        <f>IF((B68=G68),1,2)</f>
        <v>1</v>
      </c>
    </row>
    <row r="69" spans="2:13" ht="15" hidden="1" customHeight="1">
      <c r="B69" s="49" t="str">
        <f>IF(($E63&gt;0),B63,B61)</f>
        <v>per 100 youth petitioned</v>
      </c>
      <c r="C69" s="49">
        <f>IF(($E63&gt;0),C63,C62)</f>
        <v>5.49</v>
      </c>
      <c r="D69" s="49">
        <f>IF(($E63&gt;0),D63,D62)</f>
        <v>7.58</v>
      </c>
      <c r="E69" s="49">
        <f>MAX(C69:D69)</f>
        <v>7.58</v>
      </c>
      <c r="G69" s="1" t="str">
        <f>G63</f>
        <v>per 100 youth petitioned</v>
      </c>
      <c r="L69" s="58">
        <f>IF(($E63&gt;0),L63,L62)</f>
        <v>100</v>
      </c>
      <c r="M69" s="58">
        <f>IF((B69=G69),1,2)</f>
        <v>1</v>
      </c>
    </row>
    <row r="70" spans="2:13" ht="15" hidden="1" customHeight="1">
      <c r="B70" s="49" t="str">
        <f>IF(($E64&gt;0),B64,B63)</f>
        <v>per 100 youth found delinquent</v>
      </c>
      <c r="C70" s="49">
        <f>IF(($E64&gt;0),C64,C63)</f>
        <v>3.97</v>
      </c>
      <c r="D70" s="49">
        <f>IF(($E64&gt;0),D64,D63)</f>
        <v>5.94</v>
      </c>
      <c r="E70" s="56">
        <f>MAX(C70:D70)</f>
        <v>5.94</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Macomb</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7.5169898688417209</v>
      </c>
      <c r="D7" s="72" t="str">
        <f>Hispanic!G7</f>
        <v>**</v>
      </c>
      <c r="E7" s="72">
        <f>Asian!G7</f>
        <v>0.35676094999403274</v>
      </c>
      <c r="F7" s="72" t="str">
        <f>Hawaiian!G7</f>
        <v>*</v>
      </c>
      <c r="G7" s="72" t="str">
        <f>'Am Indian'!G7</f>
        <v>*</v>
      </c>
      <c r="H7" s="72" t="str">
        <f>'Other - Mixed'!G7</f>
        <v>*</v>
      </c>
      <c r="I7" s="73">
        <f>'All Minorities'!G7</f>
        <v>4.8160759210755177</v>
      </c>
      <c r="L7" s="1">
        <f>'Black or African-American'!L7</f>
        <v>1</v>
      </c>
      <c r="M7" s="1">
        <f>Hispanic!L7</f>
        <v>20</v>
      </c>
      <c r="N7" s="1">
        <f>Asian!L7</f>
        <v>1</v>
      </c>
      <c r="O7" s="1" t="e">
        <f>Hawaiian!L7</f>
        <v>#DIV/0!</v>
      </c>
      <c r="P7" s="1">
        <f>'Am Indian'!L7</f>
        <v>139</v>
      </c>
      <c r="Q7" s="1" t="e">
        <f>'Other - Mixed'!L7</f>
        <v>#VALUE!</v>
      </c>
      <c r="R7" s="1">
        <f>'All Minorities'!L7</f>
        <v>1</v>
      </c>
    </row>
    <row r="8" spans="2:18" ht="15" customHeight="1">
      <c r="B8" s="71" t="s">
        <v>9</v>
      </c>
      <c r="C8" s="72">
        <f>'Black or African-American'!$G8</f>
        <v>0.62567561531245819</v>
      </c>
      <c r="D8" s="72" t="str">
        <f>Hispanic!G8</f>
        <v>**</v>
      </c>
      <c r="E8" s="72" t="str">
        <f>Asian!G8</f>
        <v>**</v>
      </c>
      <c r="F8" s="72" t="str">
        <f>Hawaiian!G8</f>
        <v>*</v>
      </c>
      <c r="G8" s="72" t="str">
        <f>'Am Indian'!G8</f>
        <v>*</v>
      </c>
      <c r="H8" s="72" t="str">
        <f>'Other - Mixed'!G8</f>
        <v>*</v>
      </c>
      <c r="I8" s="73">
        <f>'All Minorities'!G8</f>
        <v>0.69217724050963159</v>
      </c>
      <c r="L8" s="1">
        <f>'Black or African-American'!L8</f>
        <v>1</v>
      </c>
      <c r="M8" s="1">
        <f>Hispanic!L8</f>
        <v>20</v>
      </c>
      <c r="N8" s="1">
        <f>Asian!L8</f>
        <v>40</v>
      </c>
      <c r="O8" s="1">
        <f>Hawaiian!L8</f>
        <v>139</v>
      </c>
      <c r="P8" s="1">
        <f>'Am Indian'!L8</f>
        <v>119</v>
      </c>
      <c r="Q8" s="1">
        <f>'Other - Mixed'!L8</f>
        <v>119</v>
      </c>
      <c r="R8" s="1">
        <f>'All Minorities'!L8</f>
        <v>1</v>
      </c>
    </row>
    <row r="9" spans="2:18" ht="15" customHeight="1">
      <c r="B9" s="71" t="s">
        <v>10</v>
      </c>
      <c r="C9" s="72">
        <f>'Black or African-American'!$G9</f>
        <v>0.79814638135477711</v>
      </c>
      <c r="D9" s="72" t="str">
        <f>Hispanic!G9</f>
        <v>**</v>
      </c>
      <c r="E9" s="72" t="str">
        <f>Asian!G9</f>
        <v>**</v>
      </c>
      <c r="F9" s="72" t="str">
        <f>Hawaiian!G9</f>
        <v>*</v>
      </c>
      <c r="G9" s="72" t="str">
        <f>'Am Indian'!G9</f>
        <v>*</v>
      </c>
      <c r="H9" s="72" t="str">
        <f>'Other - Mixed'!G9</f>
        <v>*</v>
      </c>
      <c r="I9" s="73">
        <f>'All Minorities'!G9</f>
        <v>0.83401295274646203</v>
      </c>
      <c r="L9" s="1">
        <f>'Black or African-American'!L9</f>
        <v>2</v>
      </c>
      <c r="M9" s="1">
        <f>Hispanic!L9</f>
        <v>40</v>
      </c>
      <c r="N9" s="1">
        <f>Asian!L9</f>
        <v>40</v>
      </c>
      <c r="O9" s="1" t="e">
        <f>Hawaiian!L9</f>
        <v>#VALUE!</v>
      </c>
      <c r="P9" s="1">
        <f>'Am Indian'!L9</f>
        <v>139</v>
      </c>
      <c r="Q9" s="1">
        <f>'Other - Mixed'!L9</f>
        <v>101</v>
      </c>
      <c r="R9" s="1">
        <f>'All Minorities'!L9</f>
        <v>2</v>
      </c>
    </row>
    <row r="10" spans="2:18" ht="15" customHeight="1">
      <c r="B10" s="71" t="s">
        <v>11</v>
      </c>
      <c r="C10" s="72">
        <f>'Black or African-American'!$G10</f>
        <v>1.39113541820639</v>
      </c>
      <c r="D10" s="72" t="str">
        <f>Hispanic!G10</f>
        <v>**</v>
      </c>
      <c r="E10" s="72" t="str">
        <f>Asian!G10</f>
        <v>**</v>
      </c>
      <c r="F10" s="72" t="str">
        <f>Hawaiian!G10</f>
        <v>*</v>
      </c>
      <c r="G10" s="72" t="str">
        <f>'Am Indian'!G10</f>
        <v>*</v>
      </c>
      <c r="H10" s="72" t="str">
        <f>'Other - Mixed'!G10</f>
        <v>*</v>
      </c>
      <c r="I10" s="73">
        <f>'All Minorities'!G10</f>
        <v>1.3057341409937198</v>
      </c>
      <c r="L10" s="1">
        <f>'Black or African-American'!L10</f>
        <v>1</v>
      </c>
      <c r="M10" s="1">
        <f>Hispanic!L10</f>
        <v>40</v>
      </c>
      <c r="N10" s="1">
        <f>Asian!L10</f>
        <v>40</v>
      </c>
      <c r="O10" s="1" t="e">
        <f>Hawaiian!L10</f>
        <v>#VALUE!</v>
      </c>
      <c r="P10" s="1">
        <f>'Am Indian'!L10</f>
        <v>139</v>
      </c>
      <c r="Q10" s="1">
        <f>'Other - Mixed'!L10</f>
        <v>101</v>
      </c>
      <c r="R10" s="1">
        <f>'All Minorities'!L10</f>
        <v>1</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f>'Black or African-American'!$G12</f>
        <v>1.0801740187840589</v>
      </c>
      <c r="D12" s="72" t="str">
        <f>Hispanic!G12</f>
        <v>**</v>
      </c>
      <c r="E12" s="72" t="str">
        <f>Asian!G12</f>
        <v>**</v>
      </c>
      <c r="F12" s="72" t="str">
        <f>Hawaiian!G12</f>
        <v>*</v>
      </c>
      <c r="G12" s="72" t="str">
        <f>'Am Indian'!G12</f>
        <v>*</v>
      </c>
      <c r="H12" s="72" t="str">
        <f>'Other - Mixed'!G12</f>
        <v>*</v>
      </c>
      <c r="I12" s="73">
        <f>'All Minorities'!G12</f>
        <v>1.0836750563261401</v>
      </c>
      <c r="L12" s="1">
        <f>'Black or African-American'!L12</f>
        <v>1</v>
      </c>
      <c r="M12" s="1">
        <f>Hispanic!L12</f>
        <v>40</v>
      </c>
      <c r="N12" s="1">
        <f>Asian!L12</f>
        <v>40</v>
      </c>
      <c r="O12" s="1" t="e">
        <f>Hawaiian!L12</f>
        <v>#VALUE!</v>
      </c>
      <c r="P12" s="1">
        <f>'Am Indian'!L12</f>
        <v>139</v>
      </c>
      <c r="Q12" s="1">
        <f>'Other - Mixed'!L12</f>
        <v>100</v>
      </c>
      <c r="R12" s="1">
        <f>'All Minorities'!L12</f>
        <v>1</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f>Asian!L14</f>
        <v>40</v>
      </c>
      <c r="O14" s="1" t="e">
        <f>Hawaiian!L14</f>
        <v>#VALUE!</v>
      </c>
      <c r="P14" s="1">
        <f>'Am Indian'!L14</f>
        <v>139</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f>'Black or African-American'!L15</f>
        <v>20</v>
      </c>
      <c r="M15" s="1">
        <f>Hispanic!L15</f>
        <v>40</v>
      </c>
      <c r="N15" s="1">
        <f>Asian!L15</f>
        <v>40</v>
      </c>
      <c r="O15" s="1" t="e">
        <f>Hawaiian!L15</f>
        <v>#VALUE!</v>
      </c>
      <c r="P15" s="1">
        <f>'Am Indian'!L15</f>
        <v>139</v>
      </c>
      <c r="Q15" s="1">
        <f>'Other - Mixed'!L15</f>
        <v>119</v>
      </c>
      <c r="R15" s="1">
        <f>'All Minorities'!L15</f>
        <v>20</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84548</v>
      </c>
      <c r="D3" s="57">
        <f>'Data Entry'!C6</f>
        <v>59786</v>
      </c>
      <c r="E3" s="57">
        <f>'Data Entry'!D6</f>
        <v>15444</v>
      </c>
      <c r="F3" s="57">
        <f>'Data Entry'!E6</f>
        <v>3669</v>
      </c>
      <c r="G3" s="57">
        <f>'Data Entry'!F6</f>
        <v>5320</v>
      </c>
      <c r="H3" s="57">
        <f>'Data Entry'!G6</f>
        <v>0</v>
      </c>
      <c r="I3" s="57">
        <f>'Data Entry'!H6</f>
        <v>329</v>
      </c>
      <c r="J3" s="57">
        <f>'Data Entry'!I6</f>
        <v>0</v>
      </c>
      <c r="K3" s="57">
        <f>'Data Entry'!J6</f>
        <v>24762</v>
      </c>
    </row>
    <row r="4" spans="2:11" ht="15" customHeight="1">
      <c r="B4" s="16" t="s">
        <v>8</v>
      </c>
      <c r="C4" s="1">
        <f>IF((C$3&gt;0),(1000*('Data Entry'!B7/'Data Entry'!B$6)), 0)</f>
        <v>6.7890429105360273</v>
      </c>
      <c r="D4" s="1">
        <f>IF((D$3&gt;0),(1000*('Data Entry'!C7/'Data Entry'!C$6)), 0)</f>
        <v>3.1612752149332621</v>
      </c>
      <c r="E4" s="1">
        <f>IF((E$3&gt;0),(1000*('Data Entry'!D7/'Data Entry'!D$6)), 0)</f>
        <v>23.763273763273762</v>
      </c>
      <c r="F4" s="1">
        <f>IF((F$3&gt;0),(1000*('Data Entry'!E7/'Data Entry'!E$6)), 0)</f>
        <v>0.81766148814390849</v>
      </c>
      <c r="G4" s="1">
        <f>IF((G$3&gt;0),(1000*('Data Entry'!F7/'Data Entry'!F$6)), 0)</f>
        <v>1.1278195488721805</v>
      </c>
      <c r="H4" s="1">
        <f>IF((H$3&gt;0),(1000*('Data Entry'!G7/'Data Entry'!G$6)), 0)</f>
        <v>0</v>
      </c>
      <c r="I4" s="1">
        <f>IF((I$3&gt;0),(1000*('Data Entry'!H7/'Data Entry'!H$6)), 0)</f>
        <v>0</v>
      </c>
      <c r="J4" s="1">
        <f>IF((J$3&gt;0),(1000*('Data Entry'!I7/'Data Entry'!I$6)), 0)</f>
        <v>0</v>
      </c>
      <c r="K4" s="1">
        <f>IF((K$3&gt;0),(1000*('Data Entry'!J7/'Data Entry'!J$6)), 0)</f>
        <v>15.224941442532913</v>
      </c>
    </row>
    <row r="5" spans="2:11" ht="15" customHeight="1">
      <c r="B5" s="16" t="s">
        <v>9</v>
      </c>
      <c r="C5" s="1">
        <f>IF((C$3&gt;0),(1000*('Data Entry'!B8/'Data Entry'!B$6)), 0)</f>
        <v>15.62426077494441</v>
      </c>
      <c r="D5" s="1">
        <f>IF((D$3&gt;0),(1000*('Data Entry'!C8/'Data Entry'!C$6)), 0)</f>
        <v>9.1827518148061422</v>
      </c>
      <c r="E5" s="1">
        <f>IF((E$3&gt;0),(1000*('Data Entry'!D8/'Data Entry'!D$6)), 0)</f>
        <v>43.188293188293187</v>
      </c>
      <c r="F5" s="1">
        <f>IF((F$3&gt;0),(1000*('Data Entry'!E8/'Data Entry'!E$6)), 0)</f>
        <v>5.7236304170073584</v>
      </c>
      <c r="G5" s="1">
        <f>IF((G$3&gt;0),(1000*('Data Entry'!F8/'Data Entry'!F$6)), 0)</f>
        <v>2.4436090225563909</v>
      </c>
      <c r="H5" s="1">
        <f>IF((H$3&gt;0),(1000*('Data Entry'!G8/'Data Entry'!G$6)), 0)</f>
        <v>0</v>
      </c>
      <c r="I5" s="1">
        <f>IF((I$3&gt;0),(1000*('Data Entry'!H8/'Data Entry'!H$6)), 0)</f>
        <v>12.158054711246201</v>
      </c>
      <c r="J5" s="1">
        <f>IF((J$3&gt;0),(1000*('Data Entry'!I8/'Data Entry'!I$6)), 0)</f>
        <v>0</v>
      </c>
      <c r="K5" s="1">
        <f>IF((K$3&gt;0),(1000*('Data Entry'!J8/'Data Entry'!J$6)), 0)</f>
        <v>30.611420725304903</v>
      </c>
    </row>
    <row r="6" spans="2:11" ht="15" customHeight="1">
      <c r="B6" s="16" t="s">
        <v>10</v>
      </c>
      <c r="C6" s="1">
        <f>IF((C$3&gt;0),(1000*('Data Entry'!B9/'Data Entry'!B$6)), 0)</f>
        <v>2.602072195675829</v>
      </c>
      <c r="D6" s="1">
        <f>IF((D$3&gt;0),(1000*('Data Entry'!C9/'Data Entry'!C$6)), 0)</f>
        <v>1.6559060649650419</v>
      </c>
      <c r="E6" s="1">
        <f>IF((E$3&gt;0),(1000*('Data Entry'!D9/'Data Entry'!D$6)), 0)</f>
        <v>6.2160062160062157</v>
      </c>
      <c r="F6" s="1">
        <f>IF((F$3&gt;0),(1000*('Data Entry'!E9/'Data Entry'!E$6)), 0)</f>
        <v>1.0902153175252112</v>
      </c>
      <c r="G6" s="1">
        <f>IF((G$3&gt;0),(1000*('Data Entry'!F9/'Data Entry'!F$6)), 0)</f>
        <v>0.37593984962406019</v>
      </c>
      <c r="H6" s="1">
        <f>IF((H$3&gt;0),(1000*('Data Entry'!G9/'Data Entry'!G$6)), 0)</f>
        <v>0</v>
      </c>
      <c r="I6" s="1">
        <f>IF((I$3&gt;0),(1000*('Data Entry'!H9/'Data Entry'!H$6)), 0)</f>
        <v>0</v>
      </c>
      <c r="J6" s="1">
        <f>IF((J$3&gt;0),(1000*('Data Entry'!I9/'Data Entry'!I$6)), 0)</f>
        <v>0</v>
      </c>
      <c r="K6" s="1">
        <f>IF((K$3&gt;0),(1000*('Data Entry'!J9/'Data Entry'!J$6)), 0)</f>
        <v>4.6038284468136661</v>
      </c>
    </row>
    <row r="7" spans="2:11" ht="15" customHeight="1">
      <c r="B7" s="16" t="s">
        <v>11</v>
      </c>
      <c r="C7" s="1">
        <f>IF((C$3&gt;0),(1000*('Data Entry'!B10/'Data Entry'!B$6)), 0)</f>
        <v>2.3536925769976818</v>
      </c>
      <c r="D7" s="1">
        <f>IF((D$3&gt;0),(1000*('Data Entry'!C10/'Data Entry'!C$6)), 0)</f>
        <v>1.1875689960860403</v>
      </c>
      <c r="E7" s="1">
        <f>IF((E$3&gt;0),(1000*('Data Entry'!D10/'Data Entry'!D$6)), 0)</f>
        <v>7.7700077700077701</v>
      </c>
      <c r="F7" s="1">
        <f>IF((F$3&gt;0),(1000*('Data Entry'!E10/'Data Entry'!E$6)), 0)</f>
        <v>0.27255382938130279</v>
      </c>
      <c r="G7" s="1">
        <f>IF((G$3&gt;0),(1000*('Data Entry'!F10/'Data Entry'!F$6)), 0)</f>
        <v>0.18796992481203009</v>
      </c>
      <c r="H7" s="1">
        <f>IF((H$3&gt;0),(1000*('Data Entry'!G10/'Data Entry'!G$6)), 0)</f>
        <v>0</v>
      </c>
      <c r="I7" s="1">
        <f>IF((I$3&gt;0),(1000*('Data Entry'!H10/'Data Entry'!H$6)), 0)</f>
        <v>0</v>
      </c>
      <c r="J7" s="1">
        <f>IF((J$3&gt;0),(1000*('Data Entry'!I10/'Data Entry'!I$6)), 0)</f>
        <v>0</v>
      </c>
      <c r="K7" s="1">
        <f>IF((K$3&gt;0),(1000*('Data Entry'!J10/'Data Entry'!J$6)), 0)</f>
        <v>5.1692108876504319</v>
      </c>
    </row>
    <row r="8" spans="2:11" ht="15" customHeight="1">
      <c r="B8" s="16" t="s">
        <v>95</v>
      </c>
      <c r="C8" s="1">
        <f>IF((C$3&gt;0),(1000*('Data Entry'!B11/'Data Entry'!B$6)), 0)</f>
        <v>15.62426077494441</v>
      </c>
      <c r="D8" s="1">
        <f>IF((D$3&gt;0),(1000*('Data Entry'!C11/'Data Entry'!C$6)), 0)</f>
        <v>9.1827518148061422</v>
      </c>
      <c r="E8" s="1">
        <f>IF((E$3&gt;0),(1000*('Data Entry'!D11/'Data Entry'!D$6)), 0)</f>
        <v>43.188293188293187</v>
      </c>
      <c r="F8" s="1">
        <f>IF((F$3&gt;0),(1000*('Data Entry'!E11/'Data Entry'!E$6)), 0)</f>
        <v>5.7236304170073584</v>
      </c>
      <c r="G8" s="1">
        <f>IF((G$3&gt;0),(1000*('Data Entry'!F11/'Data Entry'!F$6)), 0)</f>
        <v>2.4436090225563909</v>
      </c>
      <c r="H8" s="1">
        <f>IF((H$3&gt;0),(1000*('Data Entry'!G11/'Data Entry'!G$6)), 0)</f>
        <v>0</v>
      </c>
      <c r="I8" s="1">
        <f>IF((I$3&gt;0),(1000*('Data Entry'!H11/'Data Entry'!H$6)), 0)</f>
        <v>12.158054711246201</v>
      </c>
      <c r="J8" s="1">
        <f>IF((J$3&gt;0),(1000*('Data Entry'!I11/'Data Entry'!I$6)), 0)</f>
        <v>0</v>
      </c>
      <c r="K8" s="1">
        <f>IF((K$3&gt;0),(1000*('Data Entry'!J11/'Data Entry'!J$6)), 0)</f>
        <v>30.611420725304903</v>
      </c>
    </row>
    <row r="9" spans="2:11" ht="15" customHeight="1">
      <c r="B9" s="16" t="s">
        <v>13</v>
      </c>
      <c r="C9" s="1">
        <f>IF((C$3&gt;0),(1000*('Data Entry'!B12/'Data Entry'!B$6)), 0)</f>
        <v>11.768462884988409</v>
      </c>
      <c r="D9" s="1">
        <f>IF((D$3&gt;0),(1000*('Data Entry'!C12/'Data Entry'!C$6)), 0)</f>
        <v>6.6403505837487034</v>
      </c>
      <c r="E9" s="1">
        <f>IF((E$3&gt;0),(1000*('Data Entry'!D12/'Data Entry'!D$6)), 0)</f>
        <v>33.73478373478374</v>
      </c>
      <c r="F9" s="1">
        <f>IF((F$3&gt;0),(1000*('Data Entry'!E12/'Data Entry'!E$6)), 0)</f>
        <v>4.0883074407195421</v>
      </c>
      <c r="G9" s="1">
        <f>IF((G$3&gt;0),(1000*('Data Entry'!F12/'Data Entry'!F$6)), 0)</f>
        <v>1.8796992481203008</v>
      </c>
      <c r="H9" s="1">
        <f>IF((H$3&gt;0),(1000*('Data Entry'!G12/'Data Entry'!G$6)), 0)</f>
        <v>0</v>
      </c>
      <c r="I9" s="1">
        <f>IF((I$3&gt;0),(1000*('Data Entry'!H12/'Data Entry'!H$6)), 0)</f>
        <v>6.0790273556231007</v>
      </c>
      <c r="J9" s="1">
        <f>IF((J$3&gt;0),(1000*('Data Entry'!I12/'Data Entry'!I$6)), 0)</f>
        <v>0</v>
      </c>
      <c r="K9" s="1">
        <f>IF((K$3&gt;0),(1000*('Data Entry'!J12/'Data Entry'!J$6)), 0)</f>
        <v>23.988369275502787</v>
      </c>
    </row>
    <row r="10" spans="2:11" ht="15" customHeight="1">
      <c r="B10" s="16" t="s">
        <v>14</v>
      </c>
      <c r="C10" s="1">
        <f>IF((C$3&gt;0),(1000*('Data Entry'!B13/'Data Entry'!B$6)), 0)</f>
        <v>11.768462884988409</v>
      </c>
      <c r="D10" s="1">
        <f>IF((D$3&gt;0),(1000*('Data Entry'!C13/'Data Entry'!C$6)), 0)</f>
        <v>6.6403505837487034</v>
      </c>
      <c r="E10" s="1">
        <f>IF((E$3&gt;0),(1000*('Data Entry'!D13/'Data Entry'!D$6)), 0)</f>
        <v>33.73478373478374</v>
      </c>
      <c r="F10" s="1">
        <f>IF((F$3&gt;0),(1000*('Data Entry'!E13/'Data Entry'!E$6)), 0)</f>
        <v>4.0883074407195421</v>
      </c>
      <c r="G10" s="1">
        <f>IF((G$3&gt;0),(1000*('Data Entry'!F13/'Data Entry'!F$6)), 0)</f>
        <v>1.8796992481203008</v>
      </c>
      <c r="H10" s="1">
        <f>IF((H$3&gt;0),(1000*('Data Entry'!G13/'Data Entry'!G$6)), 0)</f>
        <v>0</v>
      </c>
      <c r="I10" s="1">
        <f>IF((I$3&gt;0),(1000*('Data Entry'!H13/'Data Entry'!H$6)), 0)</f>
        <v>6.0790273556231007</v>
      </c>
      <c r="J10" s="1">
        <f>IF((J$3&gt;0),(1000*('Data Entry'!I13/'Data Entry'!I$6)), 0)</f>
        <v>0</v>
      </c>
      <c r="K10" s="1">
        <f>IF((K$3&gt;0),(1000*('Data Entry'!J13/'Data Entry'!J$6)), 0)</f>
        <v>23.988369275502787</v>
      </c>
    </row>
    <row r="11" spans="2:11" ht="25.5" customHeight="1">
      <c r="B11" s="16" t="s">
        <v>15</v>
      </c>
      <c r="C11" s="1">
        <f>IF((C$3&gt;0),(1000*('Data Entry'!B14/'Data Entry'!B$6)), 0)</f>
        <v>5.9138004447177935E-2</v>
      </c>
      <c r="D11" s="1">
        <f>IF((D$3&gt;0),(1000*('Data Entry'!C14/'Data Entry'!C$6)), 0)</f>
        <v>5.0178971665607336E-2</v>
      </c>
      <c r="E11" s="1">
        <f>IF((E$3&gt;0),(1000*('Data Entry'!D14/'Data Entry'!D$6)), 0)</f>
        <v>0.12950012950012951</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8.0768920119537999E-2</v>
      </c>
    </row>
    <row r="12" spans="2:11" ht="15" customHeight="1">
      <c r="B12" s="16" t="s">
        <v>16</v>
      </c>
      <c r="C12" s="1">
        <f>IF((C$3&gt;0),(1000*('Data Entry'!B15/'Data Entry'!B$6)), 0)</f>
        <v>0.11827600889435587</v>
      </c>
      <c r="D12" s="1">
        <f>IF((D$3&gt;0),(1000*('Data Entry'!C15/'Data Entry'!C$6)), 0)</f>
        <v>1.6726323888535777E-2</v>
      </c>
      <c r="E12" s="1">
        <f>IF((E$3&gt;0),(1000*('Data Entry'!D15/'Data Entry'!D$6)), 0)</f>
        <v>0.51800051800051805</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0.36346014053792103</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Macomb</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7.51698986884172</v>
      </c>
      <c r="E19" s="72">
        <f t="shared" si="1"/>
        <v>0.25864925783159637</v>
      </c>
      <c r="F19" s="72">
        <f t="shared" si="1"/>
        <v>0.35676094999403268</v>
      </c>
      <c r="G19" s="72" t="str">
        <f t="shared" si="1"/>
        <v>--</v>
      </c>
      <c r="H19" s="72" t="str">
        <f t="shared" si="1"/>
        <v>--</v>
      </c>
      <c r="I19" s="72" t="str">
        <f t="shared" si="1"/>
        <v>--</v>
      </c>
      <c r="J19" s="73">
        <f t="shared" si="1"/>
        <v>4.8160759210755169</v>
      </c>
    </row>
    <row r="20" spans="2:10" ht="15" customHeight="1">
      <c r="B20" s="71" t="s">
        <v>9</v>
      </c>
      <c r="C20" s="72">
        <f t="shared" ref="C20:J27" si="2">IF(AND(($D5&gt;0),(D5&gt;0)), (D5/$D5),"--")</f>
        <v>1</v>
      </c>
      <c r="D20" s="72">
        <f t="shared" si="2"/>
        <v>4.703197261485057</v>
      </c>
      <c r="E20" s="72">
        <f t="shared" si="2"/>
        <v>0.62330230985646984</v>
      </c>
      <c r="F20" s="72">
        <f t="shared" si="2"/>
        <v>0.26610857745456534</v>
      </c>
      <c r="G20" s="72" t="str">
        <f t="shared" si="2"/>
        <v>--</v>
      </c>
      <c r="H20" s="72">
        <f t="shared" si="2"/>
        <v>1.3240099434727968</v>
      </c>
      <c r="I20" s="72" t="str">
        <f t="shared" si="2"/>
        <v>--</v>
      </c>
      <c r="J20" s="73">
        <f t="shared" si="2"/>
        <v>3.3335781411349341</v>
      </c>
    </row>
    <row r="21" spans="2:10" ht="15" customHeight="1">
      <c r="B21" s="71" t="s">
        <v>10</v>
      </c>
      <c r="C21" s="72">
        <f t="shared" si="2"/>
        <v>1</v>
      </c>
      <c r="D21" s="72">
        <f t="shared" si="2"/>
        <v>3.7538398750519963</v>
      </c>
      <c r="E21" s="72">
        <f t="shared" si="2"/>
        <v>0.65837992902588161</v>
      </c>
      <c r="F21" s="72">
        <f t="shared" si="2"/>
        <v>0.22702969545074811</v>
      </c>
      <c r="G21" s="72" t="str">
        <f t="shared" si="2"/>
        <v>--</v>
      </c>
      <c r="H21" s="72" t="str">
        <f t="shared" si="2"/>
        <v>--</v>
      </c>
      <c r="I21" s="72" t="str">
        <f t="shared" si="2"/>
        <v>--</v>
      </c>
      <c r="J21" s="73">
        <f t="shared" si="2"/>
        <v>2.7802473486990085</v>
      </c>
    </row>
    <row r="22" spans="2:10" ht="15" customHeight="1">
      <c r="B22" s="71" t="s">
        <v>11</v>
      </c>
      <c r="C22" s="72">
        <f t="shared" si="2"/>
        <v>1</v>
      </c>
      <c r="D22" s="72">
        <f t="shared" si="2"/>
        <v>6.542784289263162</v>
      </c>
      <c r="E22" s="72">
        <f t="shared" si="2"/>
        <v>0.2295056794843742</v>
      </c>
      <c r="F22" s="72">
        <f t="shared" si="2"/>
        <v>0.15828126654664831</v>
      </c>
      <c r="G22" s="72" t="str">
        <f t="shared" si="2"/>
        <v>--</v>
      </c>
      <c r="H22" s="72" t="str">
        <f t="shared" si="2"/>
        <v>--</v>
      </c>
      <c r="I22" s="72" t="str">
        <f t="shared" si="2"/>
        <v>--</v>
      </c>
      <c r="J22" s="73">
        <f t="shared" si="2"/>
        <v>4.3527667905502634</v>
      </c>
    </row>
    <row r="23" spans="2:10" ht="15" customHeight="1">
      <c r="B23" s="71" t="s">
        <v>95</v>
      </c>
      <c r="C23" s="72">
        <f t="shared" si="2"/>
        <v>1</v>
      </c>
      <c r="D23" s="72">
        <f t="shared" si="2"/>
        <v>4.703197261485057</v>
      </c>
      <c r="E23" s="72">
        <f t="shared" si="2"/>
        <v>0.62330230985646984</v>
      </c>
      <c r="F23" s="72">
        <f t="shared" si="2"/>
        <v>0.26610857745456534</v>
      </c>
      <c r="G23" s="72" t="str">
        <f t="shared" si="2"/>
        <v>--</v>
      </c>
      <c r="H23" s="72">
        <f t="shared" si="2"/>
        <v>1.3240099434727968</v>
      </c>
      <c r="I23" s="72" t="str">
        <f t="shared" si="2"/>
        <v>--</v>
      </c>
      <c r="J23" s="73">
        <f t="shared" si="2"/>
        <v>3.3335781411349341</v>
      </c>
    </row>
    <row r="24" spans="2:10" ht="15" customHeight="1">
      <c r="B24" s="71" t="s">
        <v>13</v>
      </c>
      <c r="C24" s="72">
        <f t="shared" si="2"/>
        <v>1</v>
      </c>
      <c r="D24" s="72">
        <f t="shared" si="2"/>
        <v>5.0802714870724959</v>
      </c>
      <c r="E24" s="72">
        <f t="shared" si="2"/>
        <v>0.61567644496437923</v>
      </c>
      <c r="F24" s="72">
        <f t="shared" si="2"/>
        <v>0.28307229029753228</v>
      </c>
      <c r="G24" s="72" t="str">
        <f t="shared" si="2"/>
        <v>--</v>
      </c>
      <c r="H24" s="72">
        <f t="shared" si="2"/>
        <v>0.9154678324515938</v>
      </c>
      <c r="I24" s="72" t="str">
        <f t="shared" si="2"/>
        <v>--</v>
      </c>
      <c r="J24" s="73">
        <f t="shared" si="2"/>
        <v>3.6125154798619894</v>
      </c>
    </row>
    <row r="25" spans="2:10" ht="15" customHeight="1">
      <c r="B25" s="71" t="s">
        <v>14</v>
      </c>
      <c r="C25" s="72">
        <f t="shared" si="2"/>
        <v>1</v>
      </c>
      <c r="D25" s="72">
        <f t="shared" si="2"/>
        <v>5.0802714870724959</v>
      </c>
      <c r="E25" s="72">
        <f t="shared" si="2"/>
        <v>0.61567644496437923</v>
      </c>
      <c r="F25" s="72">
        <f t="shared" si="2"/>
        <v>0.28307229029753228</v>
      </c>
      <c r="G25" s="72" t="str">
        <f t="shared" si="2"/>
        <v>--</v>
      </c>
      <c r="H25" s="72">
        <f t="shared" si="2"/>
        <v>0.9154678324515938</v>
      </c>
      <c r="I25" s="72" t="str">
        <f t="shared" si="2"/>
        <v>--</v>
      </c>
      <c r="J25" s="73">
        <f t="shared" si="2"/>
        <v>3.6125154798619894</v>
      </c>
    </row>
    <row r="26" spans="2:10" ht="25.5" customHeight="1">
      <c r="B26" s="71" t="s">
        <v>15</v>
      </c>
      <c r="C26" s="72">
        <f t="shared" si="2"/>
        <v>1</v>
      </c>
      <c r="D26" s="72">
        <f t="shared" si="2"/>
        <v>2.5807649140982476</v>
      </c>
      <c r="E26" s="72" t="str">
        <f t="shared" si="2"/>
        <v>--</v>
      </c>
      <c r="F26" s="72" t="str">
        <f t="shared" si="2"/>
        <v>--</v>
      </c>
      <c r="G26" s="72" t="str">
        <f t="shared" si="2"/>
        <v>--</v>
      </c>
      <c r="H26" s="72" t="str">
        <f t="shared" si="2"/>
        <v>--</v>
      </c>
      <c r="I26" s="72" t="str">
        <f t="shared" si="2"/>
        <v>--</v>
      </c>
      <c r="J26" s="73">
        <f t="shared" si="2"/>
        <v>1.6096168860888995</v>
      </c>
    </row>
    <row r="27" spans="2:10" ht="15" customHeight="1">
      <c r="B27" s="71" t="s">
        <v>16</v>
      </c>
      <c r="C27" s="72">
        <f t="shared" si="2"/>
        <v>1</v>
      </c>
      <c r="D27" s="72">
        <f t="shared" si="2"/>
        <v>30.969178969178973</v>
      </c>
      <c r="E27" s="72" t="str">
        <f t="shared" si="2"/>
        <v>--</v>
      </c>
      <c r="F27" s="72" t="str">
        <f t="shared" si="2"/>
        <v>--</v>
      </c>
      <c r="G27" s="72" t="str">
        <f t="shared" si="2"/>
        <v>--</v>
      </c>
      <c r="H27" s="72" t="str">
        <f t="shared" si="2"/>
        <v>--</v>
      </c>
      <c r="I27" s="72" t="str">
        <f t="shared" si="2"/>
        <v>--</v>
      </c>
      <c r="J27" s="73">
        <f t="shared" si="2"/>
        <v>21.729827962200147</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113</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Macomb</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111</v>
      </c>
      <c r="C6" s="146" t="s">
        <v>109</v>
      </c>
      <c r="D6" s="147" t="s">
        <v>109</v>
      </c>
      <c r="E6" s="148" t="s">
        <v>110</v>
      </c>
      <c r="F6" s="147" t="s">
        <v>109</v>
      </c>
      <c r="G6" s="148" t="s">
        <v>110</v>
      </c>
      <c r="H6" s="147" t="s">
        <v>109</v>
      </c>
      <c r="I6" s="148" t="s">
        <v>110</v>
      </c>
      <c r="J6" s="147" t="s">
        <v>109</v>
      </c>
      <c r="K6" s="148" t="s">
        <v>110</v>
      </c>
      <c r="L6" s="147" t="s">
        <v>109</v>
      </c>
      <c r="M6" s="148" t="s">
        <v>110</v>
      </c>
      <c r="N6" s="147" t="s">
        <v>109</v>
      </c>
      <c r="O6" s="148" t="s">
        <v>110</v>
      </c>
      <c r="P6" s="147" t="s">
        <v>109</v>
      </c>
      <c r="Q6" s="149" t="s">
        <v>110</v>
      </c>
    </row>
    <row r="7" spans="2:26" s="8" customFormat="1" ht="18" customHeight="1">
      <c r="B7" s="143" t="str">
        <f>'Data Entry'!A6</f>
        <v>1. Population at Risk (age 10 through 17)</v>
      </c>
      <c r="C7" s="103">
        <f>'Data Entry'!C6</f>
        <v>59786</v>
      </c>
      <c r="D7" s="104">
        <f>'Data Entry'!D6</f>
        <v>15444</v>
      </c>
      <c r="E7" s="105"/>
      <c r="F7" s="106">
        <f>'Data Entry'!E6</f>
        <v>3669</v>
      </c>
      <c r="G7" s="105"/>
      <c r="H7" s="106">
        <f>'Data Entry'!F6</f>
        <v>5320</v>
      </c>
      <c r="I7" s="105"/>
      <c r="J7" s="106">
        <f>'Data Entry'!G6</f>
        <v>0</v>
      </c>
      <c r="K7" s="105"/>
      <c r="L7" s="106">
        <f>'Data Entry'!H6</f>
        <v>329</v>
      </c>
      <c r="M7" s="105"/>
      <c r="N7" s="106">
        <f>'Data Entry'!I6</f>
        <v>0</v>
      </c>
      <c r="O7" s="105"/>
      <c r="P7" s="106">
        <f>'Data Entry'!J6</f>
        <v>24762</v>
      </c>
      <c r="Q7" s="107"/>
    </row>
    <row r="8" spans="2:26" s="1" customFormat="1" ht="15" customHeight="1">
      <c r="B8" s="142" t="s">
        <v>8</v>
      </c>
      <c r="C8" s="103">
        <f>'Data Entry'!C7</f>
        <v>189</v>
      </c>
      <c r="D8" s="104">
        <f>'Data Entry'!D7</f>
        <v>367</v>
      </c>
      <c r="E8" s="105">
        <f>'Black or African-American'!$G7</f>
        <v>7.5169898688417209</v>
      </c>
      <c r="F8" s="106">
        <f>'Data Entry'!E7</f>
        <v>3</v>
      </c>
      <c r="G8" s="105" t="str">
        <f>Hispanic!G7</f>
        <v>**</v>
      </c>
      <c r="H8" s="106">
        <f>'Data Entry'!F7</f>
        <v>6</v>
      </c>
      <c r="I8" s="105">
        <f>Asian!G7</f>
        <v>0.35676094999403274</v>
      </c>
      <c r="J8" s="106">
        <f>'Data Entry'!G7</f>
        <v>1</v>
      </c>
      <c r="K8" s="105" t="str">
        <f>Hawaiian!G7</f>
        <v>*</v>
      </c>
      <c r="L8" s="106">
        <f>'Data Entry'!H7</f>
        <v>0</v>
      </c>
      <c r="M8" s="105" t="str">
        <f>'Am Indian'!G7</f>
        <v>*</v>
      </c>
      <c r="N8" s="106">
        <f>'Data Entry'!I7</f>
        <v>0</v>
      </c>
      <c r="O8" s="105" t="str">
        <f>'Other - Mixed'!G7</f>
        <v>*</v>
      </c>
      <c r="P8" s="106">
        <f>'Data Entry'!J7</f>
        <v>377</v>
      </c>
      <c r="Q8" s="107">
        <f>'All Minorities'!G7</f>
        <v>4.8160759210755177</v>
      </c>
      <c r="R8"/>
      <c r="T8" s="1">
        <f>'Black or African-American'!L7</f>
        <v>1</v>
      </c>
      <c r="U8" s="1">
        <f>Hispanic!L7</f>
        <v>20</v>
      </c>
      <c r="V8" s="1">
        <f>Asian!L7</f>
        <v>1</v>
      </c>
      <c r="W8" s="1" t="e">
        <f>Hawaiian!L7</f>
        <v>#DIV/0!</v>
      </c>
      <c r="X8" s="1">
        <f>'Am Indian'!L7</f>
        <v>139</v>
      </c>
      <c r="Y8" s="1" t="e">
        <f>'Other - Mixed'!L7</f>
        <v>#VALUE!</v>
      </c>
      <c r="Z8" s="1">
        <f>'All Minorities'!L7</f>
        <v>1</v>
      </c>
    </row>
    <row r="9" spans="2:26" s="1" customFormat="1" ht="15" customHeight="1">
      <c r="B9" s="142" t="s">
        <v>126</v>
      </c>
      <c r="C9" s="103">
        <f>'Data Entry'!C8</f>
        <v>549</v>
      </c>
      <c r="D9" s="108">
        <f>'Data Entry'!D8</f>
        <v>667</v>
      </c>
      <c r="E9" s="109">
        <f>'Black or African-American'!$G8</f>
        <v>0.62567561531245819</v>
      </c>
      <c r="F9" s="110">
        <f>'Data Entry'!E8</f>
        <v>21</v>
      </c>
      <c r="G9" s="109" t="str">
        <f>Hispanic!G8</f>
        <v>**</v>
      </c>
      <c r="H9" s="110">
        <f>'Data Entry'!F8</f>
        <v>13</v>
      </c>
      <c r="I9" s="109" t="str">
        <f>Asian!G8</f>
        <v>**</v>
      </c>
      <c r="J9" s="110">
        <f>'Data Entry'!G8</f>
        <v>0</v>
      </c>
      <c r="K9" s="109" t="str">
        <f>Hawaiian!G8</f>
        <v>*</v>
      </c>
      <c r="L9" s="110">
        <f>'Data Entry'!H8</f>
        <v>4</v>
      </c>
      <c r="M9" s="109" t="str">
        <f>'Am Indian'!G8</f>
        <v>*</v>
      </c>
      <c r="N9" s="110">
        <f>'Data Entry'!I8</f>
        <v>53</v>
      </c>
      <c r="O9" s="109" t="str">
        <f>'Other - Mixed'!G8</f>
        <v>*</v>
      </c>
      <c r="P9" s="110">
        <f>'Data Entry'!J8</f>
        <v>758</v>
      </c>
      <c r="Q9" s="111">
        <f>'All Minorities'!G8</f>
        <v>0.69217724050963159</v>
      </c>
      <c r="R9"/>
      <c r="T9" s="1">
        <f>'Black or African-American'!L8</f>
        <v>1</v>
      </c>
      <c r="U9" s="1">
        <f>Hispanic!L8</f>
        <v>20</v>
      </c>
      <c r="V9" s="1">
        <f>Asian!L8</f>
        <v>40</v>
      </c>
      <c r="W9" s="1">
        <f>Hawaiian!L8</f>
        <v>139</v>
      </c>
      <c r="X9" s="1">
        <f>'Am Indian'!L8</f>
        <v>119</v>
      </c>
      <c r="Y9" s="1">
        <f>'Other - Mixed'!L8</f>
        <v>119</v>
      </c>
      <c r="Z9" s="1">
        <f>'All Minorities'!L8</f>
        <v>1</v>
      </c>
    </row>
    <row r="10" spans="2:26" s="1" customFormat="1" ht="15" customHeight="1">
      <c r="B10" s="142" t="s">
        <v>10</v>
      </c>
      <c r="C10" s="103">
        <f>'Data Entry'!C9</f>
        <v>99</v>
      </c>
      <c r="D10" s="112">
        <f>'Data Entry'!D9</f>
        <v>96</v>
      </c>
      <c r="E10" s="113">
        <f>'Black or African-American'!$G9</f>
        <v>0.79814638135477711</v>
      </c>
      <c r="F10" s="114">
        <f>'Data Entry'!E9</f>
        <v>4</v>
      </c>
      <c r="G10" s="113" t="str">
        <f>Hispanic!G9</f>
        <v>**</v>
      </c>
      <c r="H10" s="114">
        <f>'Data Entry'!F9</f>
        <v>2</v>
      </c>
      <c r="I10" s="113" t="str">
        <f>Asian!G9</f>
        <v>**</v>
      </c>
      <c r="J10" s="114">
        <f>'Data Entry'!G9</f>
        <v>0</v>
      </c>
      <c r="K10" s="113" t="str">
        <f>Hawaiian!G9</f>
        <v>*</v>
      </c>
      <c r="L10" s="114">
        <f>'Data Entry'!H9</f>
        <v>0</v>
      </c>
      <c r="M10" s="113" t="str">
        <f>'Am Indian'!G9</f>
        <v>*</v>
      </c>
      <c r="N10" s="114">
        <f>'Data Entry'!I9</f>
        <v>12</v>
      </c>
      <c r="O10" s="113" t="str">
        <f>'Other - Mixed'!G9</f>
        <v>*</v>
      </c>
      <c r="P10" s="114">
        <f>'Data Entry'!J9</f>
        <v>114</v>
      </c>
      <c r="Q10" s="115">
        <f>'All Minorities'!G9</f>
        <v>0.83401295274646203</v>
      </c>
      <c r="R10"/>
      <c r="T10" s="1">
        <f>'Black or African-American'!L9</f>
        <v>2</v>
      </c>
      <c r="U10" s="1">
        <f>Hispanic!L9</f>
        <v>40</v>
      </c>
      <c r="V10" s="1">
        <f>Asian!L9</f>
        <v>40</v>
      </c>
      <c r="W10" s="1" t="e">
        <f>Hawaiian!L9</f>
        <v>#VALUE!</v>
      </c>
      <c r="X10" s="1">
        <f>'Am Indian'!L9</f>
        <v>139</v>
      </c>
      <c r="Y10" s="1">
        <f>'Other - Mixed'!L9</f>
        <v>101</v>
      </c>
      <c r="Z10" s="1">
        <f>'All Minorities'!L9</f>
        <v>2</v>
      </c>
    </row>
    <row r="11" spans="2:26" s="1" customFormat="1" ht="15" customHeight="1">
      <c r="B11" s="142" t="s">
        <v>11</v>
      </c>
      <c r="C11" s="103">
        <f>'Data Entry'!C10</f>
        <v>71</v>
      </c>
      <c r="D11" s="108">
        <f>'Data Entry'!D10</f>
        <v>120</v>
      </c>
      <c r="E11" s="109">
        <f>'Black or African-American'!$G10</f>
        <v>1.39113541820639</v>
      </c>
      <c r="F11" s="110">
        <f>'Data Entry'!E10</f>
        <v>1</v>
      </c>
      <c r="G11" s="109" t="str">
        <f>Hispanic!G10</f>
        <v>**</v>
      </c>
      <c r="H11" s="110">
        <f>'Data Entry'!F10</f>
        <v>1</v>
      </c>
      <c r="I11" s="109" t="str">
        <f>Asian!G10</f>
        <v>**</v>
      </c>
      <c r="J11" s="110">
        <f>'Data Entry'!G10</f>
        <v>0</v>
      </c>
      <c r="K11" s="109" t="str">
        <f>Hawaiian!G10</f>
        <v>*</v>
      </c>
      <c r="L11" s="110">
        <f>'Data Entry'!H10</f>
        <v>0</v>
      </c>
      <c r="M11" s="109" t="str">
        <f>'Am Indian'!G10</f>
        <v>*</v>
      </c>
      <c r="N11" s="110">
        <f>'Data Entry'!I10</f>
        <v>6</v>
      </c>
      <c r="O11" s="109" t="str">
        <f>'Other - Mixed'!G10</f>
        <v>*</v>
      </c>
      <c r="P11" s="110">
        <f>'Data Entry'!J10</f>
        <v>128</v>
      </c>
      <c r="Q11" s="111">
        <f>'All Minorities'!G10</f>
        <v>1.3057341409937198</v>
      </c>
      <c r="R11"/>
      <c r="T11" s="1">
        <f>'Black or African-American'!L10</f>
        <v>1</v>
      </c>
      <c r="U11" s="1">
        <f>Hispanic!L10</f>
        <v>40</v>
      </c>
      <c r="V11" s="1">
        <f>Asian!L10</f>
        <v>40</v>
      </c>
      <c r="W11" s="1" t="e">
        <f>Hawaiian!L10</f>
        <v>#VALUE!</v>
      </c>
      <c r="X11" s="1">
        <f>'Am Indian'!L10</f>
        <v>139</v>
      </c>
      <c r="Y11" s="1">
        <f>'Other - Mixed'!L10</f>
        <v>101</v>
      </c>
      <c r="Z11" s="1">
        <f>'All Minorities'!L10</f>
        <v>1</v>
      </c>
    </row>
    <row r="12" spans="2:26" s="1" customFormat="1" ht="15" customHeight="1">
      <c r="B12" s="142" t="s">
        <v>95</v>
      </c>
      <c r="C12" s="103">
        <f>'Data Entry'!C11</f>
        <v>549</v>
      </c>
      <c r="D12" s="112">
        <f>'Data Entry'!D11</f>
        <v>667</v>
      </c>
      <c r="E12" s="113" t="str">
        <f>'Black or African-American'!$G11</f>
        <v>--</v>
      </c>
      <c r="F12" s="114">
        <f>'Data Entry'!E11</f>
        <v>21</v>
      </c>
      <c r="G12" s="113" t="str">
        <f>Hispanic!G11</f>
        <v>--</v>
      </c>
      <c r="H12" s="114">
        <f>'Data Entry'!F11</f>
        <v>13</v>
      </c>
      <c r="I12" s="113" t="str">
        <f>Asian!G11</f>
        <v>--</v>
      </c>
      <c r="J12" s="114">
        <f>'Data Entry'!G11</f>
        <v>0</v>
      </c>
      <c r="K12" s="113" t="str">
        <f>Hawaiian!G11</f>
        <v>*</v>
      </c>
      <c r="L12" s="114">
        <f>'Data Entry'!H11</f>
        <v>4</v>
      </c>
      <c r="M12" s="113" t="str">
        <f>'Am Indian'!G11</f>
        <v>*</v>
      </c>
      <c r="N12" s="114">
        <f>'Data Entry'!I11</f>
        <v>53</v>
      </c>
      <c r="O12" s="113" t="str">
        <f>'Other - Mixed'!G11</f>
        <v>*</v>
      </c>
      <c r="P12" s="114">
        <f>'Data Entry'!J11</f>
        <v>758</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397</v>
      </c>
      <c r="D13" s="108">
        <f>'Data Entry'!D12</f>
        <v>521</v>
      </c>
      <c r="E13" s="109">
        <f>'Black or African-American'!$G12</f>
        <v>1.0801740187840589</v>
      </c>
      <c r="F13" s="110">
        <f>'Data Entry'!E12</f>
        <v>15</v>
      </c>
      <c r="G13" s="109" t="str">
        <f>Hispanic!G12</f>
        <v>**</v>
      </c>
      <c r="H13" s="110">
        <f>'Data Entry'!F12</f>
        <v>10</v>
      </c>
      <c r="I13" s="109" t="str">
        <f>Asian!G12</f>
        <v>**</v>
      </c>
      <c r="J13" s="110">
        <f>'Data Entry'!G12</f>
        <v>0</v>
      </c>
      <c r="K13" s="109" t="str">
        <f>Hawaiian!G12</f>
        <v>*</v>
      </c>
      <c r="L13" s="110">
        <f>'Data Entry'!H12</f>
        <v>2</v>
      </c>
      <c r="M13" s="109" t="str">
        <f>'Am Indian'!G12</f>
        <v>*</v>
      </c>
      <c r="N13" s="110">
        <f>'Data Entry'!I12</f>
        <v>46</v>
      </c>
      <c r="O13" s="109" t="str">
        <f>'Other - Mixed'!G12</f>
        <v>*</v>
      </c>
      <c r="P13" s="110">
        <f>'Data Entry'!J12</f>
        <v>594</v>
      </c>
      <c r="Q13" s="111">
        <f>'All Minorities'!G12</f>
        <v>1.0836750563261401</v>
      </c>
      <c r="R13"/>
      <c r="T13" s="1">
        <f>'Black or African-American'!L12</f>
        <v>1</v>
      </c>
      <c r="U13" s="1">
        <f>Hispanic!L12</f>
        <v>40</v>
      </c>
      <c r="V13" s="1">
        <f>Asian!L12</f>
        <v>40</v>
      </c>
      <c r="W13" s="1" t="e">
        <f>Hawaiian!L12</f>
        <v>#VALUE!</v>
      </c>
      <c r="X13" s="1">
        <f>'Am Indian'!L12</f>
        <v>139</v>
      </c>
      <c r="Y13" s="1">
        <f>'Other - Mixed'!L12</f>
        <v>100</v>
      </c>
      <c r="Z13" s="1">
        <f>'All Minorities'!L12</f>
        <v>1</v>
      </c>
    </row>
    <row r="14" spans="2:26" s="1" customFormat="1" ht="15" customHeight="1">
      <c r="B14" s="142" t="s">
        <v>125</v>
      </c>
      <c r="C14" s="103">
        <f>'Data Entry'!C13</f>
        <v>397</v>
      </c>
      <c r="D14" s="112">
        <f>'Data Entry'!D13</f>
        <v>521</v>
      </c>
      <c r="E14" s="113" t="str">
        <f>'Black or African-American'!$G13</f>
        <v>--</v>
      </c>
      <c r="F14" s="114">
        <f>'Data Entry'!E13</f>
        <v>15</v>
      </c>
      <c r="G14" s="113" t="str">
        <f>Hispanic!G13</f>
        <v>--</v>
      </c>
      <c r="H14" s="114">
        <f>'Data Entry'!F13</f>
        <v>10</v>
      </c>
      <c r="I14" s="113" t="str">
        <f>Asian!G13</f>
        <v>--</v>
      </c>
      <c r="J14" s="114">
        <f>'Data Entry'!G13</f>
        <v>0</v>
      </c>
      <c r="K14" s="113" t="str">
        <f>Hawaiian!G13</f>
        <v>*</v>
      </c>
      <c r="L14" s="114">
        <f>'Data Entry'!H13</f>
        <v>2</v>
      </c>
      <c r="M14" s="113" t="str">
        <f>'Am Indian'!G13</f>
        <v>*</v>
      </c>
      <c r="N14" s="114">
        <f>'Data Entry'!I13</f>
        <v>46</v>
      </c>
      <c r="O14" s="113" t="str">
        <f>'Other - Mixed'!G13</f>
        <v>*</v>
      </c>
      <c r="P14" s="114">
        <f>'Data Entry'!J13</f>
        <v>594</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115</v>
      </c>
      <c r="C15" s="103">
        <f>'Data Entry'!C14</f>
        <v>3</v>
      </c>
      <c r="D15" s="108">
        <f>'Data Entry'!D14</f>
        <v>2</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2</v>
      </c>
      <c r="Q15" s="111" t="str">
        <f>'All Minorities'!G14</f>
        <v>**</v>
      </c>
      <c r="R15"/>
      <c r="T15" s="1">
        <f>'Black or African-American'!L14</f>
        <v>40</v>
      </c>
      <c r="U15" s="1">
        <f>Hispanic!L14</f>
        <v>40</v>
      </c>
      <c r="V15" s="1">
        <f>Asian!L14</f>
        <v>40</v>
      </c>
      <c r="W15" s="1" t="e">
        <f>Hawaiian!L14</f>
        <v>#VALUE!</v>
      </c>
      <c r="X15" s="1">
        <f>'Am Indian'!L14</f>
        <v>139</v>
      </c>
      <c r="Y15" s="1">
        <f>'Other - Mixed'!L14</f>
        <v>139</v>
      </c>
      <c r="Z15" s="1">
        <f>'All Minorities'!L14</f>
        <v>40</v>
      </c>
    </row>
    <row r="16" spans="2:26" s="1" customFormat="1" ht="15" customHeight="1">
      <c r="B16" s="142" t="s">
        <v>16</v>
      </c>
      <c r="C16" s="103">
        <f>'Data Entry'!C15</f>
        <v>1</v>
      </c>
      <c r="D16" s="116">
        <f>'Data Entry'!D15</f>
        <v>8</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1</v>
      </c>
      <c r="O16" s="117" t="str">
        <f>'Other - Mixed'!G15</f>
        <v>*</v>
      </c>
      <c r="P16" s="118">
        <f>'Data Entry'!J15</f>
        <v>9</v>
      </c>
      <c r="Q16" s="119" t="str">
        <f>'All Minorities'!G15</f>
        <v>**</v>
      </c>
      <c r="R16"/>
      <c r="T16" s="1">
        <f>'Black or African-American'!L15</f>
        <v>20</v>
      </c>
      <c r="U16" s="1">
        <f>Hispanic!L15</f>
        <v>40</v>
      </c>
      <c r="V16" s="1">
        <f>Asian!L15</f>
        <v>40</v>
      </c>
      <c r="W16" s="1" t="e">
        <f>Hawaiian!L15</f>
        <v>#VALUE!</v>
      </c>
      <c r="X16" s="1">
        <f>'Am Indian'!L15</f>
        <v>139</v>
      </c>
      <c r="Y16" s="1">
        <f>'Other - Mixed'!L15</f>
        <v>119</v>
      </c>
      <c r="Z16" s="1">
        <f>'All Minorities'!L15</f>
        <v>20</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120</v>
      </c>
      <c r="I19" s="134" t="s">
        <v>51</v>
      </c>
      <c r="J19" s="131"/>
      <c r="K19" s="131"/>
      <c r="L19" s="131"/>
      <c r="M19" s="131"/>
      <c r="N19" s="131"/>
      <c r="O19" s="132"/>
      <c r="P19" s="93"/>
      <c r="Q19" s="93"/>
    </row>
    <row r="20" spans="2:18" ht="16.5">
      <c r="B20" s="93"/>
      <c r="C20" s="153" t="s">
        <v>117</v>
      </c>
      <c r="D20" s="159"/>
      <c r="E20" s="160"/>
      <c r="F20" s="161"/>
      <c r="G20" s="162" t="s">
        <v>53</v>
      </c>
      <c r="H20" s="159"/>
      <c r="I20" s="153" t="s">
        <v>56</v>
      </c>
      <c r="J20" s="159"/>
      <c r="K20" s="159"/>
      <c r="L20" s="159"/>
      <c r="M20" s="159"/>
      <c r="N20" s="159"/>
      <c r="O20" s="154" t="s">
        <v>57</v>
      </c>
      <c r="Q20" s="93"/>
    </row>
    <row r="21" spans="2:18" ht="15" customHeight="1">
      <c r="B21" s="93"/>
      <c r="C21" s="155" t="s">
        <v>119</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Macomb County Juvenile Court</v>
      </c>
      <c r="E27" s="1" t="str">
        <f>'Data Entry'!D20</f>
        <v>Item 4.Diversion: Macomb County Juvenile Court</v>
      </c>
      <c r="I27" s="96"/>
      <c r="J27" s="96"/>
    </row>
    <row r="28" spans="2:18" ht="12.75" customHeight="1">
      <c r="B28" s="1" t="str">
        <f>'Data Entry'!A21</f>
        <v>Item 5.Detention: Macomb County Juvenile Court</v>
      </c>
      <c r="E28" s="1" t="str">
        <f>'Data Entry'!D21</f>
        <v>Item 6.Petitioned: Macomb County Juvenile Court</v>
      </c>
      <c r="I28" s="96"/>
      <c r="J28" s="96"/>
    </row>
    <row r="29" spans="2:18" ht="12.75" customHeight="1">
      <c r="B29" s="1" t="str">
        <f>'Data Entry'!A22</f>
        <v>Item 7.Delinquent: Macomb County Juvenile Court</v>
      </c>
      <c r="E29" s="1" t="str">
        <f>'Data Entry'!D22</f>
        <v>Item 8.Probation: Macomb County Juvenile Court</v>
      </c>
      <c r="I29" s="96"/>
      <c r="J29" s="96"/>
    </row>
    <row r="30" spans="2:18" ht="12.75" customHeight="1">
      <c r="B30" s="1" t="str">
        <f>'Data Entry'!A23</f>
        <v>Item 9.Confinement: Macomb County Juvenile Court</v>
      </c>
      <c r="E30" s="1" t="str">
        <f>'Data Entry'!D23</f>
        <v>Item 10.Transferred: Macomb County Juvenile Court</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Macomb</v>
      </c>
    </row>
    <row r="6" spans="1:12">
      <c r="A6" s="135" t="str">
        <f>CONCATENATE("Percentage of Minorities at Stages of the Juvenile Justice System, ", A5, " 2024")</f>
        <v>Percentage of Minorities at Stages of the Juvenile Justice System, County: Macomb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122</v>
      </c>
      <c r="I6" s="96" t="str">
        <f>'Data Entry'!C5</f>
        <v>White</v>
      </c>
      <c r="K6" s="135" t="s">
        <v>123</v>
      </c>
      <c r="L6" s="135" t="s">
        <v>121</v>
      </c>
    </row>
    <row r="7" spans="1:12">
      <c r="A7" s="128" t="str">
        <f>CONCATENATE("Waivers, total N=", 'Data Entry'!B15)</f>
        <v>Waivers, total N=10</v>
      </c>
      <c r="B7" s="150">
        <f>'Data Entry'!D15/'Data Entry'!B15</f>
        <v>0.8</v>
      </c>
      <c r="C7" s="150">
        <f>'Data Entry'!E15/'Data Entry'!B15</f>
        <v>0</v>
      </c>
      <c r="D7" s="150">
        <f>'Data Entry'!F15/'Data Entry'!B15</f>
        <v>0</v>
      </c>
      <c r="E7" s="150">
        <f>'Data Entry'!G15/'Data Entry'!B15</f>
        <v>0</v>
      </c>
      <c r="F7" s="150">
        <f>'Data Entry'!H15/'Data Entry'!B15</f>
        <v>0</v>
      </c>
      <c r="G7" s="150">
        <f>'Data Entry'!I15/'Data Entry'!B15</f>
        <v>0.1</v>
      </c>
      <c r="H7" s="150">
        <f>SUM(D7:G7)/'Data Entry'!B15</f>
        <v>0.01</v>
      </c>
      <c r="I7" s="150">
        <f>'Data Entry'!C15/'Data Entry'!B15</f>
        <v>0.1</v>
      </c>
      <c r="K7" s="96" t="str">
        <f t="shared" ref="K7:K14" si="0">A7</f>
        <v>Waivers, total N=10</v>
      </c>
      <c r="L7">
        <f>I14/(SUM(B14:G14))</f>
        <v>2.4144253291333495</v>
      </c>
    </row>
    <row r="8" spans="1:12" ht="25.5" customHeight="1">
      <c r="A8" s="151" t="str">
        <f>CONCATENATE("Confinement, total N=", 'Data Entry'!B14)</f>
        <v>Confinement, total N=5</v>
      </c>
      <c r="B8" s="150">
        <f>'Data Entry'!D14/'Data Entry'!B14</f>
        <v>0.4</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0.6</v>
      </c>
      <c r="K8" s="96" t="str">
        <f>A8</f>
        <v>Confinement, total N=5</v>
      </c>
      <c r="L8">
        <f>I14/(SUM(B14:G14))</f>
        <v>2.4144253291333495</v>
      </c>
    </row>
    <row r="9" spans="1:12">
      <c r="A9" s="128" t="str">
        <f>CONCATENATE("Delinquent Findings, total N=", 'Data Entry'!B12)</f>
        <v>Delinquent Findings, total N=995</v>
      </c>
      <c r="B9" s="150">
        <f>'Data Entry'!D12/'Data Entry'!B12</f>
        <v>0.52361809045226126</v>
      </c>
      <c r="C9" s="150">
        <f>'Data Entry'!E12/'Data Entry'!B12</f>
        <v>1.507537688442211E-2</v>
      </c>
      <c r="D9" s="150">
        <f>'Data Entry'!F12/'Data Entry'!B12</f>
        <v>1.0050251256281407E-2</v>
      </c>
      <c r="E9" s="150">
        <f>'Data Entry'!G12/'Data Entry'!B12</f>
        <v>0</v>
      </c>
      <c r="F9" s="150">
        <f>'Data Entry'!H12/'Data Entry'!B12</f>
        <v>2.0100502512562816E-3</v>
      </c>
      <c r="G9" s="150">
        <f>'Data Entry'!I12/'Data Entry'!B12</f>
        <v>4.6231155778894473E-2</v>
      </c>
      <c r="H9" s="150">
        <f>SUM(D9:G9)/'Data Entry'!B12</f>
        <v>5.8584379182343883E-5</v>
      </c>
      <c r="I9" s="150">
        <f>'Data Entry'!C12/'Data Entry'!B12</f>
        <v>0.39899497487437185</v>
      </c>
      <c r="K9" s="96" t="str">
        <f t="shared" si="0"/>
        <v>Delinquent Findings, total N=995</v>
      </c>
      <c r="L9">
        <f>I14/(SUM(B14:G14))</f>
        <v>2.4144253291333495</v>
      </c>
    </row>
    <row r="10" spans="1:12">
      <c r="A10" s="128" t="str">
        <f>CONCATENATE("Petitions, total N=", 'Data Entry'!B11)</f>
        <v>Petitions, total N=1321</v>
      </c>
      <c r="B10" s="150">
        <f>'Data Entry'!D11/'Data Entry'!B11</f>
        <v>0.50492051476154431</v>
      </c>
      <c r="C10" s="150">
        <f>'Data Entry'!E11/'Data Entry'!B11</f>
        <v>1.5897047691143074E-2</v>
      </c>
      <c r="D10" s="150">
        <f>'Data Entry'!F11/'Data Entry'!B11</f>
        <v>9.8410295230885701E-3</v>
      </c>
      <c r="E10" s="150">
        <f>'Data Entry'!G11/'Data Entry'!B11</f>
        <v>0</v>
      </c>
      <c r="F10" s="150">
        <f>'Data Entry'!H11/'Data Entry'!B11</f>
        <v>3.0280090840272521E-3</v>
      </c>
      <c r="G10" s="150">
        <f>'Data Entry'!I11/'Data Entry'!B11</f>
        <v>4.0121120363361087E-2</v>
      </c>
      <c r="H10" s="150">
        <f>SUM(D10:G10)/'Data Entry'!B11</f>
        <v>4.0113670681663066E-5</v>
      </c>
      <c r="I10" s="150">
        <f>'Data Entry'!C11/'Data Entry'!B11</f>
        <v>0.41559424678274037</v>
      </c>
      <c r="K10" s="96" t="str">
        <f t="shared" si="0"/>
        <v>Petitions, total N=1321</v>
      </c>
      <c r="L10">
        <f>I14/(SUM(B14:G14))</f>
        <v>2.4144253291333495</v>
      </c>
    </row>
    <row r="11" spans="1:12">
      <c r="A11" s="128" t="str">
        <f>CONCATENATE("Detentions, total N=", 'Data Entry'!B10)</f>
        <v>Detentions, total N=199</v>
      </c>
      <c r="B11" s="150">
        <f>'Data Entry'!D10/'Data Entry'!B10</f>
        <v>0.60301507537688437</v>
      </c>
      <c r="C11" s="150">
        <f>'Data Entry'!E10/'Data Entry'!B10</f>
        <v>5.0251256281407036E-3</v>
      </c>
      <c r="D11" s="150">
        <f>'Data Entry'!F10/'Data Entry'!B10</f>
        <v>5.0251256281407036E-3</v>
      </c>
      <c r="E11" s="150">
        <f>'Data Entry'!G10/'Data Entry'!B10</f>
        <v>0</v>
      </c>
      <c r="F11" s="150">
        <f>'Data Entry'!H10/'Data Entry'!B10</f>
        <v>0</v>
      </c>
      <c r="G11" s="150">
        <f>'Data Entry'!I10/'Data Entry'!B10</f>
        <v>3.015075376884422E-2</v>
      </c>
      <c r="H11" s="150">
        <f>SUM(D11:G11)/'Data Entry'!B10</f>
        <v>1.7676321305017551E-4</v>
      </c>
      <c r="I11" s="150">
        <f>'Data Entry'!C10/'Data Entry'!B10</f>
        <v>0.35678391959798994</v>
      </c>
      <c r="K11" s="96" t="str">
        <f t="shared" si="0"/>
        <v>Detentions, total N=199</v>
      </c>
      <c r="L11">
        <f>I14/(SUM(B14:G14))</f>
        <v>2.4144253291333495</v>
      </c>
    </row>
    <row r="12" spans="1:12">
      <c r="A12" s="128" t="str">
        <f>CONCATENATE("Referrals, total N=", 'Data Entry'!B8)</f>
        <v>Referrals, total N=1321</v>
      </c>
      <c r="B12" s="150">
        <f>'Data Entry'!D8/'Data Entry'!B8</f>
        <v>0.50492051476154431</v>
      </c>
      <c r="C12" s="150">
        <f>'Data Entry'!E8/'Data Entry'!B8</f>
        <v>1.5897047691143074E-2</v>
      </c>
      <c r="D12" s="150">
        <f>'Data Entry'!F8/'Data Entry'!B8</f>
        <v>9.8410295230885701E-3</v>
      </c>
      <c r="E12" s="150">
        <f>'Data Entry'!G8/'Data Entry'!B8</f>
        <v>0</v>
      </c>
      <c r="F12" s="150">
        <f>'Data Entry'!H8/'Data Entry'!B8</f>
        <v>3.0280090840272521E-3</v>
      </c>
      <c r="G12" s="150">
        <f>'Data Entry'!I8/'Data Entry'!B8</f>
        <v>4.0121120363361087E-2</v>
      </c>
      <c r="H12" s="150">
        <f>SUM(D12:G12)/'Data Entry'!B8</f>
        <v>4.0113670681663066E-5</v>
      </c>
      <c r="I12" s="150">
        <f>'Data Entry'!C8/'Data Entry'!B8</f>
        <v>0.41559424678274037</v>
      </c>
      <c r="K12" s="96" t="str">
        <f t="shared" si="0"/>
        <v>Referrals, total N=1321</v>
      </c>
      <c r="L12">
        <f>I14/(SUM(B14:G14))</f>
        <v>2.4144253291333495</v>
      </c>
    </row>
    <row r="13" spans="1:12">
      <c r="A13" s="128" t="str">
        <f>CONCATENATE("Arrests, total N=", 'Data Entry'!B7)</f>
        <v>Arrests, total N=574</v>
      </c>
      <c r="B13" s="150">
        <f>'Data Entry'!D7/'Data Entry'!B7</f>
        <v>0.63937282229965153</v>
      </c>
      <c r="C13" s="150">
        <f>'Data Entry'!E7/'Data Entry'!B7</f>
        <v>5.2264808362369342E-3</v>
      </c>
      <c r="D13" s="150">
        <f>'Data Entry'!F7/'Data Entry'!B7</f>
        <v>1.0452961672473868E-2</v>
      </c>
      <c r="E13" s="150">
        <f>'Data Entry'!G7/'Data Entry'!B7</f>
        <v>1.7421602787456446E-3</v>
      </c>
      <c r="F13" s="150">
        <f>'Data Entry'!H7/'Data Entry'!B7</f>
        <v>0</v>
      </c>
      <c r="G13" s="150">
        <f>'Data Entry'!I7/'Data Entry'!B7</f>
        <v>0</v>
      </c>
      <c r="H13" s="150">
        <f>SUM(D13:G13)/'Data Entry'!B7</f>
        <v>2.1245857057873714E-5</v>
      </c>
      <c r="I13" s="150">
        <f>'Data Entry'!C7/'Data Entry'!B7</f>
        <v>0.32926829268292684</v>
      </c>
      <c r="K13" s="96" t="str">
        <f t="shared" si="0"/>
        <v>Arrests, total N=574</v>
      </c>
      <c r="L13">
        <f>I14/(SUM(B14:G14))</f>
        <v>2.4144253291333495</v>
      </c>
    </row>
    <row r="14" spans="1:12">
      <c r="A14" s="128" t="str">
        <f>CONCATENATE("Population, total N=", 'Data Entry'!B6)</f>
        <v>Population, total N=84548</v>
      </c>
      <c r="B14" s="150">
        <f>'Data Entry'!D6/'Data Entry'!B6</f>
        <v>0.18266546813644322</v>
      </c>
      <c r="C14" s="150">
        <f>'Data Entry'!E6/'Data Entry'!B6</f>
        <v>4.3395467663339168E-2</v>
      </c>
      <c r="D14" s="150">
        <f>'Data Entry'!F6/'Data Entry'!B6</f>
        <v>6.2922836731797327E-2</v>
      </c>
      <c r="E14" s="150">
        <f>'Data Entry'!G6/'Data Entry'!B6</f>
        <v>0</v>
      </c>
      <c r="F14" s="150">
        <f>'Data Entry'!H6/'Data Entry'!B6</f>
        <v>3.8912806926243082E-3</v>
      </c>
      <c r="G14" s="150">
        <f>'Data Entry'!I6/'Data Entry'!B6</f>
        <v>0</v>
      </c>
      <c r="H14" s="150">
        <f>SUM(D14:G14)/'Data Entry'!B6</f>
        <v>7.9025071467594301E-7</v>
      </c>
      <c r="I14" s="150">
        <f>'Data Entry'!C6/'Data Entry'!B6</f>
        <v>0.70712494677579596</v>
      </c>
      <c r="K14" s="96" t="str">
        <f t="shared" si="0"/>
        <v>Population, total N=84548</v>
      </c>
      <c r="L14">
        <f>I14/(SUM(B14:G14))</f>
        <v>2.4144253291333495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113</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Macomb</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111</v>
      </c>
      <c r="C6" s="122" t="s">
        <v>109</v>
      </c>
      <c r="D6" s="123" t="s">
        <v>109</v>
      </c>
      <c r="E6" s="124" t="s">
        <v>110</v>
      </c>
      <c r="F6" s="123" t="s">
        <v>109</v>
      </c>
      <c r="G6" s="124" t="s">
        <v>110</v>
      </c>
      <c r="H6" s="123" t="s">
        <v>109</v>
      </c>
      <c r="I6" s="124" t="s">
        <v>110</v>
      </c>
      <c r="J6" s="123" t="s">
        <v>109</v>
      </c>
      <c r="K6" s="125" t="s">
        <v>110</v>
      </c>
    </row>
    <row r="7" spans="2:30" s="8" customFormat="1" ht="18" customHeight="1">
      <c r="B7" s="141" t="str">
        <f>'Data Entry'!A6</f>
        <v>1. Population at Risk (age 10 through 17)</v>
      </c>
      <c r="C7" s="103">
        <f>'Data Entry'!C6</f>
        <v>59786</v>
      </c>
      <c r="D7" s="104">
        <f>'Data Entry'!D6</f>
        <v>15444</v>
      </c>
      <c r="E7" s="105"/>
      <c r="F7" s="106">
        <f>'Data Entry'!E6</f>
        <v>3669</v>
      </c>
      <c r="G7" s="105"/>
      <c r="H7" s="106">
        <f>'Data Entry'!F6</f>
        <v>5320</v>
      </c>
      <c r="I7" s="105"/>
      <c r="J7" s="106">
        <f>'Data Entry'!J6</f>
        <v>24762</v>
      </c>
      <c r="K7" s="107"/>
    </row>
    <row r="8" spans="2:30" s="1" customFormat="1" ht="15" customHeight="1">
      <c r="B8" s="121" t="s">
        <v>8</v>
      </c>
      <c r="C8" s="103">
        <f>'Data Entry'!C7</f>
        <v>189</v>
      </c>
      <c r="D8" s="104">
        <f>'Data Entry'!D7</f>
        <v>367</v>
      </c>
      <c r="E8" s="105">
        <f>'Black or African-American'!$G7</f>
        <v>7.5169898688417209</v>
      </c>
      <c r="F8" s="106">
        <f>'Data Entry'!E7</f>
        <v>3</v>
      </c>
      <c r="G8" s="105" t="str">
        <f>Hispanic!G7</f>
        <v>**</v>
      </c>
      <c r="H8" s="106">
        <f>'Data Entry'!F7</f>
        <v>6</v>
      </c>
      <c r="I8" s="105">
        <f>Asian!G7</f>
        <v>0.35676094999403274</v>
      </c>
      <c r="J8" s="106">
        <f>'Data Entry'!J7</f>
        <v>377</v>
      </c>
      <c r="K8" s="107">
        <f>'All Minorities'!G7</f>
        <v>4.8160759210755177</v>
      </c>
      <c r="L8"/>
      <c r="N8" s="1">
        <f>'Black or African-American'!L7</f>
        <v>1</v>
      </c>
      <c r="O8" s="1">
        <f>Hispanic!L7</f>
        <v>20</v>
      </c>
      <c r="P8" s="1">
        <f>Asian!L7</f>
        <v>1</v>
      </c>
      <c r="Q8" s="1" t="e">
        <f>Hawaiian!L7</f>
        <v>#DIV/0!</v>
      </c>
      <c r="R8" s="1">
        <f>'Am Indian'!L7</f>
        <v>139</v>
      </c>
      <c r="S8" s="1" t="e">
        <f>'Other - Mixed'!L7</f>
        <v>#VALUE!</v>
      </c>
      <c r="T8" s="1">
        <f>'All Minorities'!L7</f>
        <v>1</v>
      </c>
    </row>
    <row r="9" spans="2:30" s="1" customFormat="1" ht="15" customHeight="1">
      <c r="B9" s="121" t="s">
        <v>126</v>
      </c>
      <c r="C9" s="103">
        <f>'Data Entry'!C8</f>
        <v>549</v>
      </c>
      <c r="D9" s="108">
        <f>'Data Entry'!D8</f>
        <v>667</v>
      </c>
      <c r="E9" s="109">
        <f>'Black or African-American'!$G8</f>
        <v>0.62567561531245819</v>
      </c>
      <c r="F9" s="110">
        <f>'Data Entry'!E8</f>
        <v>21</v>
      </c>
      <c r="G9" s="109" t="str">
        <f>Hispanic!G8</f>
        <v>**</v>
      </c>
      <c r="H9" s="110">
        <f>'Data Entry'!F8</f>
        <v>13</v>
      </c>
      <c r="I9" s="109" t="str">
        <f>Asian!G8</f>
        <v>**</v>
      </c>
      <c r="J9" s="110">
        <f>'Data Entry'!J8</f>
        <v>758</v>
      </c>
      <c r="K9" s="111">
        <f>'All Minorities'!G8</f>
        <v>0.69217724050963159</v>
      </c>
      <c r="L9"/>
      <c r="N9" s="1">
        <f>'Black or African-American'!L8</f>
        <v>1</v>
      </c>
      <c r="O9" s="1">
        <f>Hispanic!L8</f>
        <v>20</v>
      </c>
      <c r="P9" s="1">
        <f>Asian!L8</f>
        <v>40</v>
      </c>
      <c r="Q9" s="1">
        <f>Hawaiian!L8</f>
        <v>139</v>
      </c>
      <c r="R9" s="1">
        <f>'Am Indian'!L8</f>
        <v>119</v>
      </c>
      <c r="S9" s="1">
        <f>'Other - Mixed'!L8</f>
        <v>119</v>
      </c>
      <c r="T9" s="1">
        <f>'All Minorities'!L8</f>
        <v>1</v>
      </c>
    </row>
    <row r="10" spans="2:30" s="1" customFormat="1" ht="15" customHeight="1">
      <c r="B10" s="121" t="s">
        <v>10</v>
      </c>
      <c r="C10" s="103">
        <f>'Data Entry'!C9</f>
        <v>99</v>
      </c>
      <c r="D10" s="112">
        <f>'Data Entry'!D9</f>
        <v>96</v>
      </c>
      <c r="E10" s="113">
        <f>'Black or African-American'!$G9</f>
        <v>0.79814638135477711</v>
      </c>
      <c r="F10" s="114">
        <f>'Data Entry'!E9</f>
        <v>4</v>
      </c>
      <c r="G10" s="113" t="str">
        <f>Hispanic!G9</f>
        <v>**</v>
      </c>
      <c r="H10" s="114">
        <f>'Data Entry'!F9</f>
        <v>2</v>
      </c>
      <c r="I10" s="113" t="str">
        <f>Asian!G9</f>
        <v>**</v>
      </c>
      <c r="J10" s="114">
        <f>'Data Entry'!J9</f>
        <v>114</v>
      </c>
      <c r="K10" s="115">
        <f>'All Minorities'!G9</f>
        <v>0.83401295274646203</v>
      </c>
      <c r="L10"/>
      <c r="N10" s="1">
        <f>'Black or African-American'!L9</f>
        <v>2</v>
      </c>
      <c r="O10" s="1">
        <f>Hispanic!L9</f>
        <v>40</v>
      </c>
      <c r="P10" s="1">
        <f>Asian!L9</f>
        <v>40</v>
      </c>
      <c r="Q10" s="1" t="e">
        <f>Hawaiian!L9</f>
        <v>#VALUE!</v>
      </c>
      <c r="R10" s="1">
        <f>'Am Indian'!L9</f>
        <v>139</v>
      </c>
      <c r="S10" s="1">
        <f>'Other - Mixed'!L9</f>
        <v>101</v>
      </c>
      <c r="T10" s="1">
        <f>'All Minorities'!L9</f>
        <v>2</v>
      </c>
    </row>
    <row r="11" spans="2:30" s="1" customFormat="1" ht="15" customHeight="1">
      <c r="B11" s="121" t="s">
        <v>11</v>
      </c>
      <c r="C11" s="103">
        <f>'Data Entry'!C10</f>
        <v>71</v>
      </c>
      <c r="D11" s="108">
        <f>'Data Entry'!D10</f>
        <v>120</v>
      </c>
      <c r="E11" s="109">
        <f>'Black or African-American'!$G10</f>
        <v>1.39113541820639</v>
      </c>
      <c r="F11" s="110">
        <f>'Data Entry'!E10</f>
        <v>1</v>
      </c>
      <c r="G11" s="109" t="str">
        <f>Hispanic!G10</f>
        <v>**</v>
      </c>
      <c r="H11" s="110">
        <f>'Data Entry'!F10</f>
        <v>1</v>
      </c>
      <c r="I11" s="109" t="str">
        <f>Asian!G10</f>
        <v>**</v>
      </c>
      <c r="J11" s="110">
        <f>'Data Entry'!J10</f>
        <v>128</v>
      </c>
      <c r="K11" s="111">
        <f>'All Minorities'!G10</f>
        <v>1.3057341409937198</v>
      </c>
      <c r="L11"/>
      <c r="N11" s="1">
        <f>'Black or African-American'!L10</f>
        <v>1</v>
      </c>
      <c r="O11" s="1">
        <f>Hispanic!L10</f>
        <v>40</v>
      </c>
      <c r="P11" s="1">
        <f>Asian!L10</f>
        <v>40</v>
      </c>
      <c r="Q11" s="1" t="e">
        <f>Hawaiian!L10</f>
        <v>#VALUE!</v>
      </c>
      <c r="R11" s="1">
        <f>'Am Indian'!L10</f>
        <v>139</v>
      </c>
      <c r="S11" s="1">
        <f>'Other - Mixed'!L10</f>
        <v>101</v>
      </c>
      <c r="T11" s="1">
        <f>'All Minorities'!L10</f>
        <v>1</v>
      </c>
    </row>
    <row r="12" spans="2:30" s="1" customFormat="1" ht="15" customHeight="1">
      <c r="B12" s="121" t="s">
        <v>95</v>
      </c>
      <c r="C12" s="103">
        <f>'Data Entry'!C11</f>
        <v>549</v>
      </c>
      <c r="D12" s="112">
        <f>'Data Entry'!D11</f>
        <v>667</v>
      </c>
      <c r="E12" s="113" t="str">
        <f>'Black or African-American'!$G11</f>
        <v>--</v>
      </c>
      <c r="F12" s="114">
        <f>'Data Entry'!E11</f>
        <v>21</v>
      </c>
      <c r="G12" s="113" t="str">
        <f>Hispanic!G11</f>
        <v>--</v>
      </c>
      <c r="H12" s="114">
        <f>'Data Entry'!F11</f>
        <v>13</v>
      </c>
      <c r="I12" s="113" t="str">
        <f>Asian!G11</f>
        <v>--</v>
      </c>
      <c r="J12" s="114">
        <f>'Data Entry'!J11</f>
        <v>758</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397</v>
      </c>
      <c r="D13" s="108">
        <f>'Data Entry'!D12</f>
        <v>521</v>
      </c>
      <c r="E13" s="109">
        <f>'Black or African-American'!$G12</f>
        <v>1.0801740187840589</v>
      </c>
      <c r="F13" s="110">
        <f>'Data Entry'!E12</f>
        <v>15</v>
      </c>
      <c r="G13" s="109" t="str">
        <f>Hispanic!G12</f>
        <v>**</v>
      </c>
      <c r="H13" s="110">
        <f>'Data Entry'!F12</f>
        <v>10</v>
      </c>
      <c r="I13" s="109" t="str">
        <f>Asian!G12</f>
        <v>**</v>
      </c>
      <c r="J13" s="110">
        <f>'Data Entry'!J12</f>
        <v>594</v>
      </c>
      <c r="K13" s="111">
        <f>'All Minorities'!G12</f>
        <v>1.0836750563261401</v>
      </c>
      <c r="L13"/>
      <c r="N13" s="1">
        <f>'Black or African-American'!L12</f>
        <v>1</v>
      </c>
      <c r="O13" s="1">
        <f>Hispanic!L12</f>
        <v>40</v>
      </c>
      <c r="P13" s="1">
        <f>Asian!L12</f>
        <v>40</v>
      </c>
      <c r="Q13" s="1" t="e">
        <f>Hawaiian!L12</f>
        <v>#VALUE!</v>
      </c>
      <c r="R13" s="1">
        <f>'Am Indian'!L12</f>
        <v>139</v>
      </c>
      <c r="S13" s="1">
        <f>'Other - Mixed'!L12</f>
        <v>100</v>
      </c>
      <c r="T13" s="1">
        <f>'All Minorities'!L12</f>
        <v>1</v>
      </c>
      <c r="W13" s="8"/>
      <c r="X13" s="8"/>
      <c r="Y13" s="8"/>
      <c r="Z13" s="8"/>
      <c r="AA13" s="8"/>
      <c r="AB13" s="8"/>
      <c r="AC13" s="8"/>
      <c r="AD13" s="8"/>
    </row>
    <row r="14" spans="2:30" s="1" customFormat="1" ht="15" customHeight="1">
      <c r="B14" s="121" t="s">
        <v>14</v>
      </c>
      <c r="C14" s="103">
        <f>'Data Entry'!C13</f>
        <v>397</v>
      </c>
      <c r="D14" s="112">
        <f>'Data Entry'!D13</f>
        <v>521</v>
      </c>
      <c r="E14" s="113" t="str">
        <f>'Black or African-American'!$G13</f>
        <v>--</v>
      </c>
      <c r="F14" s="114">
        <f>'Data Entry'!E13</f>
        <v>15</v>
      </c>
      <c r="G14" s="113" t="str">
        <f>Hispanic!G13</f>
        <v>--</v>
      </c>
      <c r="H14" s="114">
        <f>'Data Entry'!F13</f>
        <v>10</v>
      </c>
      <c r="I14" s="113" t="str">
        <f>Asian!G13</f>
        <v>--</v>
      </c>
      <c r="J14" s="114">
        <f>'Data Entry'!J13</f>
        <v>594</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115</v>
      </c>
      <c r="C15" s="103">
        <f>'Data Entry'!C14</f>
        <v>3</v>
      </c>
      <c r="D15" s="108">
        <f>'Data Entry'!D14</f>
        <v>2</v>
      </c>
      <c r="E15" s="109" t="str">
        <f>'Black or African-American'!$G14</f>
        <v>**</v>
      </c>
      <c r="F15" s="110">
        <f>'Data Entry'!E14</f>
        <v>0</v>
      </c>
      <c r="G15" s="109" t="str">
        <f>Hispanic!G14</f>
        <v>**</v>
      </c>
      <c r="H15" s="110">
        <f>'Data Entry'!F14</f>
        <v>0</v>
      </c>
      <c r="I15" s="109" t="str">
        <f>Asian!G14</f>
        <v>**</v>
      </c>
      <c r="J15" s="110">
        <f>'Data Entry'!J14</f>
        <v>2</v>
      </c>
      <c r="K15" s="111" t="str">
        <f>'All Minorities'!G14</f>
        <v>**</v>
      </c>
      <c r="L15"/>
      <c r="N15" s="1">
        <f>'Black or African-American'!L14</f>
        <v>40</v>
      </c>
      <c r="O15" s="1">
        <f>Hispanic!L14</f>
        <v>40</v>
      </c>
      <c r="P15" s="1">
        <f>Asian!L14</f>
        <v>40</v>
      </c>
      <c r="Q15" s="1" t="e">
        <f>Hawaiian!L14</f>
        <v>#VALUE!</v>
      </c>
      <c r="R15" s="1">
        <f>'Am Indian'!L14</f>
        <v>139</v>
      </c>
      <c r="S15" s="1">
        <f>'Other - Mixed'!L14</f>
        <v>139</v>
      </c>
      <c r="T15" s="1">
        <f>'All Minorities'!L14</f>
        <v>40</v>
      </c>
      <c r="W15" s="8"/>
      <c r="X15" s="8"/>
      <c r="Y15" s="8"/>
      <c r="Z15" s="8"/>
      <c r="AA15" s="8"/>
      <c r="AB15" s="8"/>
      <c r="AC15" s="8"/>
      <c r="AD15" s="8"/>
    </row>
    <row r="16" spans="2:30" s="1" customFormat="1" ht="15" customHeight="1">
      <c r="B16" s="121" t="s">
        <v>16</v>
      </c>
      <c r="C16" s="103">
        <f>'Data Entry'!C15</f>
        <v>1</v>
      </c>
      <c r="D16" s="116">
        <f>'Data Entry'!D15</f>
        <v>8</v>
      </c>
      <c r="E16" s="117" t="str">
        <f>'Black or African-American'!$G15</f>
        <v>**</v>
      </c>
      <c r="F16" s="118">
        <f>'Data Entry'!E15</f>
        <v>0</v>
      </c>
      <c r="G16" s="117" t="str">
        <f>Hispanic!G15</f>
        <v>**</v>
      </c>
      <c r="H16" s="118">
        <f>'Data Entry'!F15</f>
        <v>0</v>
      </c>
      <c r="I16" s="117" t="str">
        <f>Asian!G15</f>
        <v>**</v>
      </c>
      <c r="J16" s="118">
        <f>'Data Entry'!J15</f>
        <v>9</v>
      </c>
      <c r="K16" s="119" t="str">
        <f>'All Minorities'!G15</f>
        <v>**</v>
      </c>
      <c r="L16"/>
      <c r="N16" s="1">
        <f>'Black or African-American'!L15</f>
        <v>20</v>
      </c>
      <c r="O16" s="1">
        <f>Hispanic!L15</f>
        <v>40</v>
      </c>
      <c r="P16" s="1">
        <f>Asian!L15</f>
        <v>40</v>
      </c>
      <c r="Q16" s="1" t="e">
        <f>Hawaiian!L15</f>
        <v>#VALUE!</v>
      </c>
      <c r="R16" s="1">
        <f>'Am Indian'!L15</f>
        <v>139</v>
      </c>
      <c r="S16" s="1">
        <f>'Other - Mixed'!L15</f>
        <v>119</v>
      </c>
      <c r="T16" s="1">
        <f>'All Minorities'!L15</f>
        <v>20</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112</v>
      </c>
      <c r="C19" s="193"/>
      <c r="D19" s="193"/>
      <c r="E19" s="193"/>
      <c r="F19" s="193"/>
      <c r="G19" s="193"/>
      <c r="H19" s="193"/>
      <c r="I19" s="194"/>
      <c r="J19" s="195"/>
      <c r="K19" s="196"/>
    </row>
    <row r="20" spans="2:30" ht="15.75">
      <c r="B20" s="153" t="s">
        <v>117</v>
      </c>
      <c r="C20" s="200" t="s">
        <v>53</v>
      </c>
      <c r="D20" s="201"/>
      <c r="E20" s="184" t="s">
        <v>56</v>
      </c>
      <c r="F20" s="185"/>
      <c r="G20" s="185"/>
      <c r="H20" s="185"/>
      <c r="I20" s="185"/>
      <c r="J20" s="185"/>
      <c r="K20" s="154" t="s">
        <v>57</v>
      </c>
    </row>
    <row r="21" spans="2:30" ht="15" customHeight="1">
      <c r="B21" s="155" t="s">
        <v>118</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Macomb County Juvenile Court</v>
      </c>
      <c r="E27" s="1" t="str">
        <f>'Data Entry'!D20</f>
        <v>Item 4.Diversion: Macomb County Juvenile Court</v>
      </c>
      <c r="I27" s="96"/>
    </row>
    <row r="28" spans="2:30" ht="12.75" customHeight="1">
      <c r="B28" s="1" t="str">
        <f>'Data Entry'!A21</f>
        <v>Item 5.Detention: Macomb County Juvenile Court</v>
      </c>
      <c r="E28" s="1" t="str">
        <f>'Data Entry'!D21</f>
        <v>Item 6.Petitioned: Macomb County Juvenile Court</v>
      </c>
      <c r="I28" s="96"/>
    </row>
    <row r="29" spans="2:30" ht="12.75" customHeight="1">
      <c r="B29" s="1" t="str">
        <f>'Data Entry'!A22</f>
        <v>Item 7.Delinquent: Macomb County Juvenile Court</v>
      </c>
      <c r="E29" s="1" t="str">
        <f>'Data Entry'!D22</f>
        <v>Item 8.Probation: Macomb County Juvenile Court</v>
      </c>
      <c r="I29" s="96"/>
    </row>
    <row r="30" spans="2:30" ht="12.75" customHeight="1">
      <c r="B30" s="1" t="str">
        <f>'Data Entry'!A23</f>
        <v>Item 9.Confinement: Macomb County Juvenile Court</v>
      </c>
      <c r="E30" s="1" t="str">
        <f>'Data Entry'!D23</f>
        <v>Item 10.Transferred: Macomb County Juvenile Court</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59786</v>
      </c>
      <c r="D6" s="34"/>
      <c r="E6" s="33">
        <f>'Data Entry'!D6</f>
        <v>15444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189</v>
      </c>
      <c r="D7" s="34">
        <f>IF((AND(C66&gt;0,C7&gt;0)),(C7/C66),0)</f>
        <v>3.1612752149332617</v>
      </c>
      <c r="E7" s="33">
        <f>'Data Entry'!D7</f>
        <v>367</v>
      </c>
      <c r="F7" s="34">
        <f>IF((AND($E$7&gt;0,$D$66&gt;0)),($E$7/$D$66),0)</f>
        <v>23.763273763273762</v>
      </c>
      <c r="G7" s="39">
        <f>IF(L$6=100,"*",IF(M7=FALSE,"--",IF(K7=20,"**",($F7/$D7))))</f>
        <v>7.5169898688417209</v>
      </c>
      <c r="H7" s="40"/>
      <c r="I7" s="41"/>
      <c r="J7" s="40">
        <f>IF((ABS($U7)&gt;Defaults!D$7),1,2)</f>
        <v>1</v>
      </c>
      <c r="K7" s="39">
        <f>IF((AND(N7&gt;Defaults!B$12,(N7+O7)&gt;Defaults!B$13, P7 &gt; Defaults!B$12, (P7+Q7) &gt; Defaults!B$13)),1,20)</f>
        <v>1</v>
      </c>
      <c r="L7" s="1">
        <f>(J7*K7+L$6)-1</f>
        <v>1</v>
      </c>
      <c r="M7" s="1" t="b">
        <f t="shared" ref="M7:M15" si="0">(ISNUMBER(J7))</f>
        <v>1</v>
      </c>
      <c r="N7" s="42">
        <f t="shared" ref="N7:N15" si="1">E7</f>
        <v>367</v>
      </c>
      <c r="O7" s="42">
        <f>E6-E7</f>
        <v>15077</v>
      </c>
      <c r="P7" s="42">
        <f t="shared" ref="P7:P15" si="2">C7</f>
        <v>189</v>
      </c>
      <c r="Q7" s="42">
        <f>C6-C7</f>
        <v>59597</v>
      </c>
      <c r="R7" s="42">
        <f t="shared" ref="R7:R15" si="3">SUM(N7:Q7)</f>
        <v>75230</v>
      </c>
      <c r="S7" s="30">
        <f t="shared" ref="S7:S15" si="4">R7*((((N7*Q7)-(O7*P7))^2))</f>
        <v>2.7222521393112785E+19</v>
      </c>
      <c r="T7" s="30">
        <f t="shared" ref="T7:T15" si="5">(N7+O7)*(P7+Q7)*(N7+P7)*(O7+Q7)</f>
        <v>3.8335708826940096E+16</v>
      </c>
      <c r="U7" s="31">
        <f t="shared" ref="U7:U15" si="6">IF((S7&gt;0),S7/T7,"- -")</f>
        <v>710.10872698361027</v>
      </c>
    </row>
    <row r="8" spans="2:21" ht="18" customHeight="1">
      <c r="B8" s="32" t="str">
        <f>'Data Entry'!A8</f>
        <v>3. Refer to Juvenile Court</v>
      </c>
      <c r="C8" s="33">
        <f>'Data Entry'!C8</f>
        <v>549</v>
      </c>
      <c r="D8" s="34">
        <f>IF((AND(C67&gt;0,C8&gt;0)),(C8/C67),0)</f>
        <v>290.47619047619048</v>
      </c>
      <c r="E8" s="33">
        <f>'Data Entry'!D8</f>
        <v>667</v>
      </c>
      <c r="F8" s="34">
        <f>IF((AND($E$8&gt;0,$D$67&gt;0)),($E8/$D67),0)</f>
        <v>181.74386920980928</v>
      </c>
      <c r="G8" s="39">
        <f t="shared" ref="G8:G15" si="7">IF(L$6=100,"*",IF(M8=FALSE,"--",IF(K8=20,"**",($F8/$D8))))</f>
        <v>0.62567561531245819</v>
      </c>
      <c r="H8" s="40"/>
      <c r="I8" s="41"/>
      <c r="J8" s="40">
        <f>IF((ABS($U8)&gt;Defaults!D$7),1,2)</f>
        <v>1</v>
      </c>
      <c r="K8" s="39">
        <f>IF((AND(N8&gt;Defaults!B$12,(N8+O8)&gt;Defaults!B$13, P8 &gt; Defaults!B$12, (P8+Q8) &gt; Defaults!B$13)),1,20)</f>
        <v>1</v>
      </c>
      <c r="L8" s="1">
        <f t="shared" ref="L8:L15" si="8">(J8*K8+L$6)-1</f>
        <v>1</v>
      </c>
      <c r="M8" s="1" t="b">
        <f t="shared" si="0"/>
        <v>1</v>
      </c>
      <c r="N8" s="42">
        <f t="shared" si="1"/>
        <v>667</v>
      </c>
      <c r="O8" s="42">
        <f>((D67*L67)-E8)+0.05</f>
        <v>-299.95</v>
      </c>
      <c r="P8" s="42">
        <f t="shared" si="2"/>
        <v>549</v>
      </c>
      <c r="Q8" s="42">
        <f>(C$67*L67)-C8</f>
        <v>-360</v>
      </c>
      <c r="R8" s="42">
        <f t="shared" si="3"/>
        <v>556.04999999999995</v>
      </c>
      <c r="S8" s="30">
        <f t="shared" si="4"/>
        <v>3165213263480.9658</v>
      </c>
      <c r="T8" s="30">
        <f t="shared" si="5"/>
        <v>-55671335627.040009</v>
      </c>
      <c r="U8" s="31">
        <f t="shared" si="6"/>
        <v>-56.85534984620697</v>
      </c>
    </row>
    <row r="9" spans="2:21" ht="18" customHeight="1">
      <c r="B9" s="32" t="str">
        <f>'Data Entry'!A9</f>
        <v xml:space="preserve">4. Cases Diverted </v>
      </c>
      <c r="C9" s="33">
        <f>'Data Entry'!C9</f>
        <v>99</v>
      </c>
      <c r="D9" s="34">
        <f>IF((AND(C68&gt;0,C9&gt;0)),((C9/C68)),0)</f>
        <v>18.032786885245901</v>
      </c>
      <c r="E9" s="33">
        <f>'Data Entry'!D9</f>
        <v>96</v>
      </c>
      <c r="F9" s="34">
        <f>IF((AND($E$9&gt;0,$D$68&gt;0)),(($E$9/$D$68)),0)</f>
        <v>14.392803598200899</v>
      </c>
      <c r="G9" s="39">
        <f t="shared" si="7"/>
        <v>0.79814638135477711</v>
      </c>
      <c r="H9" s="40"/>
      <c r="I9" s="41"/>
      <c r="J9" s="40">
        <f>IF((ABS($U9)&gt;Defaults!D$7),1,2)</f>
        <v>2</v>
      </c>
      <c r="K9" s="39">
        <f>IF((AND(N9&gt;Defaults!B$12,(N9+O9)&gt;Defaults!B$13, P9 &gt; Defaults!B$12, (P9+Q9) &gt; Defaults!B$13)),1,20)</f>
        <v>1</v>
      </c>
      <c r="L9" s="1">
        <f t="shared" si="8"/>
        <v>2</v>
      </c>
      <c r="M9" s="1" t="b">
        <f t="shared" si="0"/>
        <v>1</v>
      </c>
      <c r="N9" s="42">
        <f t="shared" si="1"/>
        <v>96</v>
      </c>
      <c r="O9" s="42">
        <f>(D$68*L68)-E9</f>
        <v>571</v>
      </c>
      <c r="P9" s="42">
        <f t="shared" si="2"/>
        <v>99</v>
      </c>
      <c r="Q9" s="42">
        <f>(C$68*L68)-C9</f>
        <v>450</v>
      </c>
      <c r="R9" s="42">
        <f t="shared" si="3"/>
        <v>1216</v>
      </c>
      <c r="S9" s="30">
        <f t="shared" si="4"/>
        <v>216037285056</v>
      </c>
      <c r="T9" s="30">
        <f t="shared" si="5"/>
        <v>72905204385</v>
      </c>
      <c r="U9" s="31">
        <f t="shared" si="6"/>
        <v>2.9632628682466042</v>
      </c>
    </row>
    <row r="10" spans="2:21" ht="18" customHeight="1">
      <c r="B10" s="32" t="str">
        <f>'Data Entry'!A10</f>
        <v>5. Cases Involving Secure Detention</v>
      </c>
      <c r="C10" s="33">
        <f>'Data Entry'!C10</f>
        <v>71</v>
      </c>
      <c r="D10" s="34">
        <f>IF(((AND(C68&gt;0,C10&gt;0))),(C10/(C68)),0)</f>
        <v>12.932604735883423</v>
      </c>
      <c r="E10" s="33">
        <f>'Data Entry'!D10</f>
        <v>120</v>
      </c>
      <c r="F10" s="34">
        <f>IF(((AND($E$10&gt;0,$D$68&gt;0))),($E$10/($D$68)),0)</f>
        <v>17.991004497751124</v>
      </c>
      <c r="G10" s="39">
        <f t="shared" si="7"/>
        <v>1.39113541820639</v>
      </c>
      <c r="H10" s="40"/>
      <c r="I10" s="41"/>
      <c r="J10" s="40">
        <f>IF((ABS($U10)&gt;Defaults!D$7),1,2)</f>
        <v>1</v>
      </c>
      <c r="K10" s="39">
        <f>IF((AND(N10&gt;Defaults!B$12,(N10+O10)&gt;Defaults!B$13, P10 &gt; Defaults!B$12, (P10+Q10) &gt; Defaults!B$13)),1,20)</f>
        <v>1</v>
      </c>
      <c r="L10" s="1">
        <f t="shared" si="8"/>
        <v>1</v>
      </c>
      <c r="M10" s="1" t="b">
        <f t="shared" si="0"/>
        <v>1</v>
      </c>
      <c r="N10" s="42">
        <f t="shared" si="1"/>
        <v>120</v>
      </c>
      <c r="O10" s="42">
        <f>(D$68*L68)-E10</f>
        <v>547</v>
      </c>
      <c r="P10" s="42">
        <f t="shared" si="2"/>
        <v>71</v>
      </c>
      <c r="Q10" s="42">
        <f>(C$68*L68)-C10</f>
        <v>478</v>
      </c>
      <c r="R10" s="42">
        <f t="shared" si="3"/>
        <v>1216</v>
      </c>
      <c r="S10" s="30">
        <f t="shared" si="4"/>
        <v>417211459264</v>
      </c>
      <c r="T10" s="30">
        <f t="shared" si="5"/>
        <v>71689476825</v>
      </c>
      <c r="U10" s="31">
        <f t="shared" si="6"/>
        <v>5.819702943047667</v>
      </c>
    </row>
    <row r="11" spans="2:21" ht="18" customHeight="1">
      <c r="B11" s="32" t="str">
        <f>'Data Entry'!A11</f>
        <v>6. Cases Petitioned (Charge Filed)</v>
      </c>
      <c r="C11" s="33">
        <f>'Data Entry'!C11</f>
        <v>549</v>
      </c>
      <c r="D11" s="34">
        <f>IF(((AND(C68&gt;0,C11&gt;0))),(C11/(C68)),0)</f>
        <v>100</v>
      </c>
      <c r="E11" s="33">
        <f>'Data Entry'!D11</f>
        <v>667</v>
      </c>
      <c r="F11" s="34">
        <f>IF(((AND($E$11&gt;0,$D$68&gt;0))),($E$11/($D$68)),0)</f>
        <v>100</v>
      </c>
      <c r="G11" s="39" t="str">
        <f t="shared" si="7"/>
        <v>--</v>
      </c>
      <c r="H11" s="40"/>
      <c r="I11" s="41"/>
      <c r="J11" s="40" t="e">
        <f>IF((ABS($U11)&gt;Defaults!D$7),1,2)</f>
        <v>#VALUE!</v>
      </c>
      <c r="K11" s="39">
        <f>IF((AND(N11&gt;Defaults!B$12,(N11+O11)&gt;Defaults!B$13, P11 &gt; Defaults!B$12, (P11+Q11) &gt; Defaults!B$13)),1,20)</f>
        <v>1</v>
      </c>
      <c r="L11" s="1" t="e">
        <f t="shared" si="8"/>
        <v>#VALUE!</v>
      </c>
      <c r="M11" s="1" t="b">
        <f t="shared" si="0"/>
        <v>0</v>
      </c>
      <c r="N11" s="42">
        <f t="shared" si="1"/>
        <v>667</v>
      </c>
      <c r="O11" s="42">
        <f>(D$68*L68)-E11</f>
        <v>0</v>
      </c>
      <c r="P11" s="42">
        <f t="shared" si="2"/>
        <v>549</v>
      </c>
      <c r="Q11" s="42">
        <f>(C$68*L68)-C11</f>
        <v>0</v>
      </c>
      <c r="R11" s="42">
        <f t="shared" si="3"/>
        <v>1216</v>
      </c>
      <c r="S11" s="30">
        <f t="shared" si="4"/>
        <v>0</v>
      </c>
      <c r="T11" s="30">
        <f t="shared" si="5"/>
        <v>0</v>
      </c>
      <c r="U11" s="31" t="str">
        <f t="shared" si="6"/>
        <v>- -</v>
      </c>
    </row>
    <row r="12" spans="2:21" ht="18" customHeight="1">
      <c r="B12" s="32" t="str">
        <f>'Data Entry'!A12</f>
        <v>7. Cases Resulting in Delinquent Findings</v>
      </c>
      <c r="C12" s="33">
        <f>'Data Entry'!C12</f>
        <v>397</v>
      </c>
      <c r="D12" s="34">
        <f>IF(((AND(C69&gt;0,C12&gt;0))),(C12/(C69)),0)</f>
        <v>72.313296903460838</v>
      </c>
      <c r="E12" s="33">
        <f>'Data Entry'!D12</f>
        <v>521</v>
      </c>
      <c r="F12" s="34">
        <f>IF(((AND($D$69&gt;0,$E$12&gt;0))),(E12/(D69)),0)</f>
        <v>78.110944527736137</v>
      </c>
      <c r="G12" s="39">
        <f t="shared" si="7"/>
        <v>1.0801740187840589</v>
      </c>
      <c r="H12" s="40"/>
      <c r="I12" s="41"/>
      <c r="J12" s="40">
        <f>IF((ABS($U12)&gt;Defaults!D$7),1,2)</f>
        <v>1</v>
      </c>
      <c r="K12" s="39">
        <f>IF((AND(N12&gt;Defaults!B$12,(N12+O12)&gt;Defaults!B$13, P12 &gt; Defaults!B$12, (P12+Q12) &gt; Defaults!B$13)),1,20)</f>
        <v>1</v>
      </c>
      <c r="L12" s="1">
        <f t="shared" si="8"/>
        <v>1</v>
      </c>
      <c r="M12" s="1" t="b">
        <f t="shared" si="0"/>
        <v>1</v>
      </c>
      <c r="N12" s="42">
        <f t="shared" si="1"/>
        <v>521</v>
      </c>
      <c r="O12" s="42">
        <f>(D69*L69)-E12</f>
        <v>146</v>
      </c>
      <c r="P12" s="42">
        <f t="shared" si="2"/>
        <v>397</v>
      </c>
      <c r="Q12" s="42">
        <f>(C69*L69)-C12</f>
        <v>152</v>
      </c>
      <c r="R12" s="42">
        <f t="shared" si="3"/>
        <v>1216</v>
      </c>
      <c r="S12" s="30">
        <f t="shared" si="4"/>
        <v>548066886400</v>
      </c>
      <c r="T12" s="30">
        <f t="shared" si="5"/>
        <v>100174486212</v>
      </c>
      <c r="U12" s="31">
        <f t="shared" si="6"/>
        <v>5.471122509579156</v>
      </c>
    </row>
    <row r="13" spans="2:21" ht="18" customHeight="1">
      <c r="B13" s="32" t="str">
        <f>'Data Entry'!A13</f>
        <v>8. Cases Resulting in Probation Placement</v>
      </c>
      <c r="C13" s="33">
        <f>'Data Entry'!C13</f>
        <v>397</v>
      </c>
      <c r="D13" s="34">
        <f>IF(((AND(C70&gt;0,C13&gt;0))),(C13/(C70)),0)</f>
        <v>100</v>
      </c>
      <c r="E13" s="33">
        <f>'Data Entry'!D13</f>
        <v>521</v>
      </c>
      <c r="F13" s="34">
        <f>IF(((AND($D$70&gt;0,$E$13&gt;0))),($E$13/($D$70)),0)</f>
        <v>100</v>
      </c>
      <c r="G13" s="39" t="str">
        <f t="shared" si="7"/>
        <v>--</v>
      </c>
      <c r="H13" s="40"/>
      <c r="I13" s="41"/>
      <c r="J13" s="40" t="e">
        <f>IF((ABS($U13)&gt;Defaults!D$7),1,2)</f>
        <v>#VALUE!</v>
      </c>
      <c r="K13" s="39">
        <f>IF((AND(N13&gt;Defaults!B$12,(N13+O13)&gt;Defaults!B$13, P13 &gt; Defaults!B$12, (P13+Q13) &gt; Defaults!B$13)),1,20)</f>
        <v>1</v>
      </c>
      <c r="L13" s="1" t="e">
        <f t="shared" si="8"/>
        <v>#VALUE!</v>
      </c>
      <c r="M13" s="1" t="b">
        <f t="shared" si="0"/>
        <v>0</v>
      </c>
      <c r="N13" s="42">
        <f t="shared" si="1"/>
        <v>521</v>
      </c>
      <c r="O13" s="42">
        <f>(D70*L70)-E13</f>
        <v>0</v>
      </c>
      <c r="P13" s="42">
        <f t="shared" si="2"/>
        <v>397</v>
      </c>
      <c r="Q13" s="42">
        <f>(C70*L70)-C13</f>
        <v>0</v>
      </c>
      <c r="R13" s="42">
        <f t="shared" si="3"/>
        <v>918</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3</v>
      </c>
      <c r="D14" s="34">
        <f>IF(((AND(C70&gt;0,C14&gt;0))), ((C14/(C70))),0)</f>
        <v>0.75566750629722923</v>
      </c>
      <c r="E14" s="33">
        <f>'Data Entry'!D14</f>
        <v>2</v>
      </c>
      <c r="F14" s="34">
        <f>IF(((AND($D$70&gt;0,$E$14&gt;0))), (($E$14/($D$70))),0)</f>
        <v>0.38387715930902111</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2</v>
      </c>
      <c r="O14" s="42">
        <f>(D70*L70)-E14</f>
        <v>519</v>
      </c>
      <c r="P14" s="42">
        <f t="shared" si="2"/>
        <v>3</v>
      </c>
      <c r="Q14" s="42">
        <f>(C70*L70)-C14</f>
        <v>394</v>
      </c>
      <c r="R14" s="42">
        <f t="shared" si="3"/>
        <v>918</v>
      </c>
      <c r="S14" s="30">
        <f t="shared" si="4"/>
        <v>542869398</v>
      </c>
      <c r="T14" s="30">
        <f t="shared" si="5"/>
        <v>944210905</v>
      </c>
      <c r="U14" s="31">
        <f t="shared" si="6"/>
        <v>0.57494506272409551</v>
      </c>
    </row>
    <row r="15" spans="2:21" ht="15.75" customHeight="1">
      <c r="B15" s="32" t="str">
        <f>'Data Entry'!A15</f>
        <v xml:space="preserve">10. Cases Transferred to Adult Court </v>
      </c>
      <c r="C15" s="33">
        <f>'Data Entry'!C15</f>
        <v>1</v>
      </c>
      <c r="D15" s="34">
        <f>IF(((AND(C69&gt;0,C15&gt;0))),((C15/(C69))),0)</f>
        <v>0.18214936247723132</v>
      </c>
      <c r="E15" s="33">
        <f>'Data Entry'!D15</f>
        <v>8</v>
      </c>
      <c r="F15" s="34">
        <f>IF(((AND($D$69&gt;0,$E$15&gt;0))),(($E$15/($D$69))),0)</f>
        <v>1.199400299850075</v>
      </c>
      <c r="G15" s="39" t="str">
        <f t="shared" si="7"/>
        <v>**</v>
      </c>
      <c r="H15" s="40"/>
      <c r="I15" s="41"/>
      <c r="J15" s="40">
        <f>IF((ABS($U15)&gt;Defaults!D$7),1,2)</f>
        <v>1</v>
      </c>
      <c r="K15" s="39">
        <f>IF((AND(N15&gt;Defaults!B$12,(N15+O15)&gt;Defaults!B$13, P15 &gt; Defaults!B$12, (P15+Q15) &gt; Defaults!B$13)),1,20)</f>
        <v>20</v>
      </c>
      <c r="L15" s="1">
        <f t="shared" si="8"/>
        <v>20</v>
      </c>
      <c r="M15" s="1" t="b">
        <f t="shared" si="0"/>
        <v>1</v>
      </c>
      <c r="N15" s="42">
        <f t="shared" si="1"/>
        <v>8</v>
      </c>
      <c r="O15" s="42">
        <f>(D69*L69)-E15</f>
        <v>659</v>
      </c>
      <c r="P15" s="42">
        <f t="shared" si="2"/>
        <v>1</v>
      </c>
      <c r="Q15" s="42">
        <f>(C69*L69)-C15</f>
        <v>548</v>
      </c>
      <c r="R15" s="42">
        <f t="shared" si="3"/>
        <v>1216</v>
      </c>
      <c r="S15" s="30">
        <f t="shared" si="4"/>
        <v>16872760000</v>
      </c>
      <c r="T15" s="30">
        <f t="shared" si="5"/>
        <v>3977845929</v>
      </c>
      <c r="U15" s="31">
        <f t="shared" si="6"/>
        <v>4.2416826345613847</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59.786000000000001</v>
      </c>
      <c r="D42" s="56">
        <f>E6/1000</f>
        <v>15.444000000000001</v>
      </c>
      <c r="E42" s="56">
        <f>MAX(C42:D42)</f>
        <v>59.786000000000001</v>
      </c>
      <c r="G42" s="1" t="str">
        <f>B42</f>
        <v>per 1000 youth</v>
      </c>
      <c r="L42" s="57">
        <v>1000</v>
      </c>
      <c r="M42" s="57"/>
      <c r="R42" s="49"/>
    </row>
    <row r="43" spans="2:18" ht="15" hidden="1" customHeight="1">
      <c r="B43" s="49" t="s">
        <v>87</v>
      </c>
      <c r="C43" s="56">
        <f>C7/100</f>
        <v>1.89</v>
      </c>
      <c r="D43" s="56">
        <f>E7/100</f>
        <v>3.67</v>
      </c>
      <c r="E43" s="56">
        <f>MAX(C43:D43,0)</f>
        <v>3.67</v>
      </c>
      <c r="G43" s="1" t="str">
        <f>B43</f>
        <v>per 100 arrests</v>
      </c>
      <c r="L43" s="57">
        <v>100</v>
      </c>
      <c r="M43" s="57"/>
      <c r="R43" s="49"/>
    </row>
    <row r="44" spans="2:18" ht="15" hidden="1" customHeight="1">
      <c r="B44" s="49" t="s">
        <v>88</v>
      </c>
      <c r="C44" s="56">
        <f>C8/100</f>
        <v>5.49</v>
      </c>
      <c r="D44" s="56">
        <f>E8/100</f>
        <v>6.67</v>
      </c>
      <c r="E44" s="56">
        <f>MAX(C44:D44,0)</f>
        <v>6.67</v>
      </c>
      <c r="G44" s="1" t="str">
        <f>B44</f>
        <v>per 100 referrals</v>
      </c>
      <c r="L44" s="57">
        <v>100</v>
      </c>
      <c r="M44" s="57"/>
      <c r="R44" s="49"/>
    </row>
    <row r="45" spans="2:18" ht="15" hidden="1" customHeight="1">
      <c r="B45" s="49" t="s">
        <v>89</v>
      </c>
      <c r="C45" s="49">
        <f>C11/100</f>
        <v>5.49</v>
      </c>
      <c r="D45" s="49">
        <f>E11/100</f>
        <v>6.67</v>
      </c>
      <c r="E45" s="56">
        <f>MAX(C45:D45,0)</f>
        <v>6.67</v>
      </c>
      <c r="G45" s="1" t="str">
        <f>B45</f>
        <v>per 100 youth petitioned</v>
      </c>
      <c r="L45" s="57">
        <v>100</v>
      </c>
      <c r="M45" s="57"/>
      <c r="R45" s="49"/>
    </row>
    <row r="46" spans="2:18" ht="15" hidden="1" customHeight="1">
      <c r="B46" s="49" t="s">
        <v>90</v>
      </c>
      <c r="C46" s="49">
        <f>C12/100</f>
        <v>3.97</v>
      </c>
      <c r="D46" s="49">
        <f>E12/100</f>
        <v>5.21</v>
      </c>
      <c r="E46" s="56">
        <f>MAX(C46:D46)</f>
        <v>5.21</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59.786000000000001</v>
      </c>
      <c r="D48" s="56">
        <f>D42</f>
        <v>15.444000000000001</v>
      </c>
      <c r="E48" s="56">
        <f>MAX(C48:D48)</f>
        <v>59.786000000000001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1.89</v>
      </c>
      <c r="D49" s="49">
        <f t="shared" si="9"/>
        <v>3.67</v>
      </c>
      <c r="E49" s="49">
        <f>MAX(C49:D49)</f>
        <v>3.67</v>
      </c>
      <c r="G49" s="1" t="str">
        <f>G43</f>
        <v>per 100 arrests</v>
      </c>
      <c r="L49" s="58">
        <f>IF(($E43&gt;0),L43,L42)</f>
        <v>100</v>
      </c>
      <c r="M49" s="58"/>
      <c r="N49" s="21"/>
      <c r="O49" s="21"/>
      <c r="P49" s="21"/>
      <c r="Q49" s="21"/>
      <c r="R49" s="21"/>
    </row>
    <row r="50" spans="2:18" ht="15" hidden="1" customHeight="1">
      <c r="B50" s="49" t="str">
        <f t="shared" si="9"/>
        <v>per 100 referrals</v>
      </c>
      <c r="C50" s="49">
        <f t="shared" si="9"/>
        <v>5.49</v>
      </c>
      <c r="D50" s="49">
        <f t="shared" si="9"/>
        <v>6.67</v>
      </c>
      <c r="E50" s="49">
        <f>MAX(C50:D50)</f>
        <v>6.67</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5.49</v>
      </c>
      <c r="D51" s="49">
        <f>IF(($E45&gt;0),D45,D44)</f>
        <v>6.67</v>
      </c>
      <c r="E51" s="49">
        <f>MAX(C51:D51)</f>
        <v>6.67</v>
      </c>
      <c r="G51" s="1" t="str">
        <f>G45</f>
        <v>per 100 youth petitioned</v>
      </c>
      <c r="L51" s="58">
        <f>IF(($E45&gt;0),L45,L44)</f>
        <v>100</v>
      </c>
      <c r="M51" s="58"/>
    </row>
    <row r="52" spans="2:18" ht="15" hidden="1" customHeight="1">
      <c r="B52" s="49" t="str">
        <f>IF(($E46&gt;0),B46,B45)</f>
        <v>per 100 youth found delinquent</v>
      </c>
      <c r="C52" s="49">
        <f>IF(($E46&gt;0),C46,C45)</f>
        <v>3.97</v>
      </c>
      <c r="D52" s="49">
        <f>IF(($E46&gt;0),D46,D45)</f>
        <v>5.21</v>
      </c>
      <c r="E52" s="56">
        <f>MAX(C52:D52)</f>
        <v>5.21</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59.786000000000001</v>
      </c>
      <c r="D54" s="56">
        <f>D48</f>
        <v>15.444000000000001</v>
      </c>
      <c r="E54" s="56">
        <f>MAX(C54:D54)</f>
        <v>59.786000000000001</v>
      </c>
      <c r="G54" s="1" t="str">
        <f>G48</f>
        <v>per 1000 youth</v>
      </c>
      <c r="L54" s="58">
        <f>L48</f>
        <v>1000</v>
      </c>
      <c r="M54" s="58"/>
    </row>
    <row r="55" spans="2:18" ht="15" hidden="1" customHeight="1">
      <c r="B55" s="49" t="str">
        <f t="shared" ref="B55:D56" si="10">IF(($E49&gt;0),B49,B48)</f>
        <v>per 100 arrests</v>
      </c>
      <c r="C55" s="49">
        <f t="shared" si="10"/>
        <v>1.89</v>
      </c>
      <c r="D55" s="49">
        <f t="shared" si="10"/>
        <v>3.67</v>
      </c>
      <c r="E55" s="49">
        <f>MAX(C55:D55)</f>
        <v>3.67</v>
      </c>
      <c r="G55" s="1" t="str">
        <f>G49</f>
        <v>per 100 arrests</v>
      </c>
      <c r="L55" s="58">
        <f>IF(($E49&gt;0),L49,L48)</f>
        <v>100</v>
      </c>
      <c r="M55" s="58"/>
    </row>
    <row r="56" spans="2:18" ht="15" hidden="1" customHeight="1">
      <c r="B56" s="49" t="str">
        <f t="shared" si="10"/>
        <v>per 100 referrals</v>
      </c>
      <c r="C56" s="49">
        <f t="shared" si="10"/>
        <v>5.49</v>
      </c>
      <c r="D56" s="49">
        <f t="shared" si="10"/>
        <v>6.67</v>
      </c>
      <c r="E56" s="49">
        <f>MAX(C56:D56)</f>
        <v>6.67</v>
      </c>
      <c r="G56" s="1" t="str">
        <f>G50</f>
        <v>per 100 referrals</v>
      </c>
      <c r="L56" s="58">
        <f>IF(($E50&gt;0),L50,L49)</f>
        <v>100</v>
      </c>
      <c r="M56" s="58"/>
    </row>
    <row r="57" spans="2:18" ht="15" hidden="1" customHeight="1">
      <c r="B57" s="49" t="str">
        <f>IF(($E51&gt;0),B51,B49)</f>
        <v>per 100 youth petitioned</v>
      </c>
      <c r="C57" s="49">
        <f>IF(($E51&gt;0),C51,C50)</f>
        <v>5.49</v>
      </c>
      <c r="D57" s="49">
        <f>IF(($E51&gt;0),D51,D50)</f>
        <v>6.67</v>
      </c>
      <c r="E57" s="49">
        <f>MAX(C57:D57)</f>
        <v>6.67</v>
      </c>
      <c r="G57" s="1" t="str">
        <f>G51</f>
        <v>per 100 youth petitioned</v>
      </c>
      <c r="L57" s="58">
        <f>IF(($E51&gt;0),L51,L50)</f>
        <v>100</v>
      </c>
      <c r="M57" s="58"/>
    </row>
    <row r="58" spans="2:18" ht="15" hidden="1" customHeight="1">
      <c r="B58" s="49" t="str">
        <f>IF(($E52&gt;0),B52,B51)</f>
        <v>per 100 youth found delinquent</v>
      </c>
      <c r="C58" s="49">
        <f>IF(($E52&gt;0),C52,C51)</f>
        <v>3.97</v>
      </c>
      <c r="D58" s="49">
        <f>IF(($E52&gt;0),D52,D51)</f>
        <v>5.21</v>
      </c>
      <c r="E58" s="56">
        <f>MAX(C58:D58)</f>
        <v>5.21</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59.786000000000001</v>
      </c>
      <c r="D60" s="56">
        <f>D54</f>
        <v>15.444000000000001</v>
      </c>
      <c r="E60" s="56">
        <f>MAX(C60:D60)</f>
        <v>59.786000000000001</v>
      </c>
      <c r="G60" s="1" t="str">
        <f>G54</f>
        <v>per 1000 youth</v>
      </c>
      <c r="L60" s="58">
        <f>L54</f>
        <v>1000</v>
      </c>
      <c r="M60" s="58"/>
    </row>
    <row r="61" spans="2:18" ht="15" hidden="1" customHeight="1">
      <c r="B61" s="49" t="str">
        <f t="shared" ref="B61:D62" si="11">IF(($E55&gt;0),B55,B54)</f>
        <v>per 100 arrests</v>
      </c>
      <c r="C61" s="49">
        <f t="shared" si="11"/>
        <v>1.89</v>
      </c>
      <c r="D61" s="49">
        <f t="shared" si="11"/>
        <v>3.67</v>
      </c>
      <c r="E61" s="49">
        <f>MAX(C61:D61)</f>
        <v>3.67</v>
      </c>
      <c r="G61" s="1" t="str">
        <f>G55</f>
        <v>per 100 arrests</v>
      </c>
      <c r="L61" s="58">
        <f>IF(($E55&gt;0),L55,L54)</f>
        <v>100</v>
      </c>
      <c r="M61" s="58"/>
    </row>
    <row r="62" spans="2:18" ht="15" hidden="1" customHeight="1">
      <c r="B62" s="49" t="str">
        <f t="shared" si="11"/>
        <v>per 100 referrals</v>
      </c>
      <c r="C62" s="49">
        <f t="shared" si="11"/>
        <v>5.49</v>
      </c>
      <c r="D62" s="49">
        <f t="shared" si="11"/>
        <v>6.67</v>
      </c>
      <c r="E62" s="49">
        <f>MAX(C62:D62)</f>
        <v>6.67</v>
      </c>
      <c r="G62" s="1" t="str">
        <f>G56</f>
        <v>per 100 referrals</v>
      </c>
      <c r="L62" s="58">
        <f>IF(($E56&gt;0),L56,L55)</f>
        <v>100</v>
      </c>
      <c r="M62" s="58"/>
    </row>
    <row r="63" spans="2:18" ht="15" hidden="1" customHeight="1">
      <c r="B63" s="49" t="str">
        <f>IF(($E57&gt;0),B57,B55)</f>
        <v>per 100 youth petitioned</v>
      </c>
      <c r="C63" s="49">
        <f>IF(($E57&gt;0),C57,C56)</f>
        <v>5.49</v>
      </c>
      <c r="D63" s="49">
        <f>IF(($E57&gt;0),D57,D56)</f>
        <v>6.67</v>
      </c>
      <c r="E63" s="49">
        <f>MAX(C63:D63)</f>
        <v>6.67</v>
      </c>
      <c r="G63" s="1" t="str">
        <f>G57</f>
        <v>per 100 youth petitioned</v>
      </c>
      <c r="L63" s="58">
        <f>IF(($E57&gt;0),L57,L56)</f>
        <v>100</v>
      </c>
      <c r="M63" s="58"/>
    </row>
    <row r="64" spans="2:18" ht="15" hidden="1" customHeight="1">
      <c r="B64" s="49" t="str">
        <f>IF(($E58&gt;0),B58,B57)</f>
        <v>per 100 youth found delinquent</v>
      </c>
      <c r="C64" s="49">
        <f>IF(($E58&gt;0),C58,C57)</f>
        <v>3.97</v>
      </c>
      <c r="D64" s="49">
        <f>IF(($E58&gt;0),D58,D57)</f>
        <v>5.21</v>
      </c>
      <c r="E64" s="56">
        <f>MAX(C64:D64)</f>
        <v>5.21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59.786000000000001</v>
      </c>
      <c r="D66" s="56">
        <f>D60</f>
        <v>15.444000000000001</v>
      </c>
      <c r="E66" s="56">
        <f>MAX(C66:D66)</f>
        <v>59.786000000000001</v>
      </c>
      <c r="G66" s="1" t="str">
        <f>G60</f>
        <v>per 1000 youth</v>
      </c>
      <c r="L66" s="58">
        <f>L60</f>
        <v>1000</v>
      </c>
      <c r="M66" s="58">
        <f>IF((B66=G66),1,2)</f>
        <v>1</v>
      </c>
    </row>
    <row r="67" spans="2:13" ht="15" hidden="1" customHeight="1">
      <c r="B67" s="49" t="str">
        <f t="shared" ref="B67:D68" si="12">IF(($E61&gt;0),B61,B60)</f>
        <v>per 100 arrests</v>
      </c>
      <c r="C67" s="49">
        <f t="shared" si="12"/>
        <v>1.89</v>
      </c>
      <c r="D67" s="49">
        <f t="shared" si="12"/>
        <v>3.67</v>
      </c>
      <c r="E67" s="49">
        <f>MAX(C67:D67)</f>
        <v>3.67</v>
      </c>
      <c r="G67" s="1" t="str">
        <f>G61</f>
        <v>per 100 arrests</v>
      </c>
      <c r="L67" s="58">
        <f>IF(($E61&gt;0),L61,L60)</f>
        <v>100</v>
      </c>
      <c r="M67" s="58">
        <f>IF((B67=G67),1,2)</f>
        <v>1</v>
      </c>
    </row>
    <row r="68" spans="2:13" ht="15" hidden="1" customHeight="1">
      <c r="B68" s="49" t="str">
        <f t="shared" si="12"/>
        <v>per 100 referrals</v>
      </c>
      <c r="C68" s="49">
        <f t="shared" si="12"/>
        <v>5.49</v>
      </c>
      <c r="D68" s="49">
        <f t="shared" si="12"/>
        <v>6.67</v>
      </c>
      <c r="E68" s="49">
        <f>MAX(C68:D68)</f>
        <v>6.67</v>
      </c>
      <c r="G68" s="1" t="str">
        <f>G62</f>
        <v>per 100 referrals</v>
      </c>
      <c r="L68" s="58">
        <f>IF(($E62&gt;0),L62,L61)</f>
        <v>100</v>
      </c>
      <c r="M68" s="58">
        <f>IF((B68=G68),1,2)</f>
        <v>1</v>
      </c>
    </row>
    <row r="69" spans="2:13" ht="15" hidden="1" customHeight="1">
      <c r="B69" s="49" t="str">
        <f>IF(($E63&gt;0),B63,B61)</f>
        <v>per 100 youth petitioned</v>
      </c>
      <c r="C69" s="49">
        <f>IF(($E63&gt;0),C63,C62)</f>
        <v>5.49</v>
      </c>
      <c r="D69" s="49">
        <f>IF(($E63&gt;0),D63,D62)</f>
        <v>6.67</v>
      </c>
      <c r="E69" s="49">
        <f>MAX(C69:D69)</f>
        <v>6.67</v>
      </c>
      <c r="G69" s="1" t="str">
        <f>G63</f>
        <v>per 100 youth petitioned</v>
      </c>
      <c r="L69" s="58">
        <f>IF(($E63&gt;0),L63,L62)</f>
        <v>100</v>
      </c>
      <c r="M69" s="58">
        <f>IF((B69=G69),1,2)</f>
        <v>1</v>
      </c>
    </row>
    <row r="70" spans="2:13" ht="15" hidden="1" customHeight="1">
      <c r="B70" s="49" t="str">
        <f>IF(($E64&gt;0),B64,B63)</f>
        <v>per 100 youth found delinquent</v>
      </c>
      <c r="C70" s="49">
        <f>IF(($E64&gt;0),C64,C63)</f>
        <v>3.97</v>
      </c>
      <c r="D70" s="49">
        <f>IF(($E64&gt;0),D64,D63)</f>
        <v>5.21</v>
      </c>
      <c r="E70" s="56">
        <f>MAX(C70:D70)</f>
        <v>5.21</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59786</v>
      </c>
      <c r="D6" s="34"/>
      <c r="E6" s="33">
        <f>'Data Entry'!F6</f>
        <v>5320</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189</v>
      </c>
      <c r="D7" s="34">
        <f>IF((AND(C66&gt;0,C7&gt;0)),(C7/C66),0)</f>
        <v>3.1612752149332617</v>
      </c>
      <c r="E7" s="33">
        <f>'Data Entry'!F7</f>
        <v>6</v>
      </c>
      <c r="F7" s="34">
        <f>IF((AND($E$7&gt;0,$D$66&gt;0)),($E$7/$D$66),0)</f>
        <v>1.1278195488721805</v>
      </c>
      <c r="G7" s="39">
        <f t="shared" ref="G7:G15" si="0">IF(L$6=100,"*",IF(M7=FALSE,"--",IF(K7=20,"**",($F7/$D7))))</f>
        <v>0.35676094999403274</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6</v>
      </c>
      <c r="O7" s="42">
        <f>E6-E7</f>
        <v>5314</v>
      </c>
      <c r="P7" s="42">
        <f t="shared" ref="P7:P15" si="4">C7</f>
        <v>189</v>
      </c>
      <c r="Q7" s="42">
        <f>C6-C7</f>
        <v>59597</v>
      </c>
      <c r="R7" s="42">
        <f t="shared" ref="R7:R15" si="5">SUM(N7:Q7)</f>
        <v>65106</v>
      </c>
      <c r="S7" s="30">
        <f t="shared" ref="S7:S15" si="6">R7*((((N7*Q7)-(O7*P7))^2))</f>
        <v>2.7234078849439776E+16</v>
      </c>
      <c r="T7" s="30">
        <f t="shared" ref="T7:T15" si="7">(N7+O7)*(P7+Q7)*(N7+P7)*(O7+Q7)</f>
        <v>4025909808320400</v>
      </c>
      <c r="U7" s="31">
        <f t="shared" ref="U7:U15" si="8">IF((S7&gt;0),S7/T7,"- -")</f>
        <v>6.7647016813826166</v>
      </c>
    </row>
    <row r="8" spans="2:21" ht="18" customHeight="1">
      <c r="B8" s="32" t="str">
        <f>'Data Entry'!A8</f>
        <v>3. Refer to Juvenile Court</v>
      </c>
      <c r="C8" s="33">
        <f>'Data Entry'!C8</f>
        <v>549</v>
      </c>
      <c r="D8" s="34">
        <f>IF((AND(C67&gt;0,C8&gt;0)),(C8/C67),0)</f>
        <v>290.47619047619048</v>
      </c>
      <c r="E8" s="33">
        <f>'Data Entry'!F8</f>
        <v>13</v>
      </c>
      <c r="F8" s="34">
        <f>IF((AND($E$8&gt;0,$D$67&gt;0)),($E8/$D67),0)</f>
        <v>216.66666666666669</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13</v>
      </c>
      <c r="O8" s="42">
        <f>((D67*L67)-E8)+0.05</f>
        <v>-6.95</v>
      </c>
      <c r="P8" s="42">
        <f t="shared" si="4"/>
        <v>549</v>
      </c>
      <c r="Q8" s="42">
        <f>(C$67*L67)-C8</f>
        <v>-360</v>
      </c>
      <c r="R8" s="42">
        <f t="shared" si="5"/>
        <v>195.04999999999995</v>
      </c>
      <c r="S8" s="30">
        <f t="shared" si="6"/>
        <v>145755755.17762488</v>
      </c>
      <c r="T8" s="30">
        <f t="shared" si="7"/>
        <v>-235809005.35499999</v>
      </c>
      <c r="U8" s="31">
        <f t="shared" si="8"/>
        <v>-0.61810936761382829</v>
      </c>
    </row>
    <row r="9" spans="2:21" ht="18" customHeight="1">
      <c r="B9" s="32" t="str">
        <f>'Data Entry'!A9</f>
        <v xml:space="preserve">4. Cases Diverted </v>
      </c>
      <c r="C9" s="33">
        <f>'Data Entry'!C9</f>
        <v>99</v>
      </c>
      <c r="D9" s="34">
        <f>IF((AND(C68&gt;0,C9&gt;0)),((C9/C68)),0)</f>
        <v>18.032786885245901</v>
      </c>
      <c r="E9" s="33">
        <f>'Data Entry'!F9</f>
        <v>2</v>
      </c>
      <c r="F9" s="34">
        <f>IF((AND($E$9&gt;0,$D$68&gt;0)),(($E$9/$D$68)),0)</f>
        <v>15.384615384615383</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2</v>
      </c>
      <c r="O9" s="42">
        <f>(D$68*L68)-E9</f>
        <v>11</v>
      </c>
      <c r="P9" s="42">
        <f t="shared" si="4"/>
        <v>99</v>
      </c>
      <c r="Q9" s="42">
        <f>(C$68*L68)-C9</f>
        <v>450</v>
      </c>
      <c r="R9" s="42">
        <f t="shared" si="5"/>
        <v>562</v>
      </c>
      <c r="S9" s="30">
        <f t="shared" si="6"/>
        <v>20075202</v>
      </c>
      <c r="T9" s="30">
        <f t="shared" si="7"/>
        <v>332305857</v>
      </c>
      <c r="U9" s="31">
        <f t="shared" si="8"/>
        <v>6.0411821149453891E-2</v>
      </c>
    </row>
    <row r="10" spans="2:21" ht="18" customHeight="1">
      <c r="B10" s="32" t="str">
        <f>'Data Entry'!A10</f>
        <v>5. Cases Involving Secure Detention</v>
      </c>
      <c r="C10" s="33">
        <f>'Data Entry'!C10</f>
        <v>71</v>
      </c>
      <c r="D10" s="34">
        <f>IF(((AND(C68&gt;0,C10&gt;0))),(C10/(C68)),0)</f>
        <v>12.932604735883423</v>
      </c>
      <c r="E10" s="33">
        <f>'Data Entry'!F10</f>
        <v>1</v>
      </c>
      <c r="F10" s="34">
        <f>IF(((AND($E$10&gt;0,$D$68&gt;0))),($E$10/($D$68)),0)</f>
        <v>7.6923076923076916</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12</v>
      </c>
      <c r="P10" s="42">
        <f t="shared" si="4"/>
        <v>71</v>
      </c>
      <c r="Q10" s="42">
        <f>(C$68*L68)-C10</f>
        <v>478</v>
      </c>
      <c r="R10" s="42">
        <f t="shared" si="5"/>
        <v>562</v>
      </c>
      <c r="S10" s="30">
        <f t="shared" si="6"/>
        <v>78610312</v>
      </c>
      <c r="T10" s="30">
        <f t="shared" si="7"/>
        <v>251793360</v>
      </c>
      <c r="U10" s="31">
        <f t="shared" si="8"/>
        <v>0.31220168792378006</v>
      </c>
    </row>
    <row r="11" spans="2:21" ht="18" customHeight="1">
      <c r="B11" s="32" t="str">
        <f>'Data Entry'!A11</f>
        <v>6. Cases Petitioned (Charge Filed)</v>
      </c>
      <c r="C11" s="33">
        <f>'Data Entry'!C11</f>
        <v>549</v>
      </c>
      <c r="D11" s="34">
        <f>IF(((AND(C68&gt;0,C11&gt;0))),(C11/(C68)),0)</f>
        <v>100</v>
      </c>
      <c r="E11" s="33">
        <f>'Data Entry'!F11</f>
        <v>13</v>
      </c>
      <c r="F11" s="34">
        <f>IF(((AND($E$11&gt;0,$D$68&gt;0))),($E$11/($D$68)),0)</f>
        <v>100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13</v>
      </c>
      <c r="O11" s="42">
        <f>(D$68*L68)-E11</f>
        <v>0</v>
      </c>
      <c r="P11" s="42">
        <f t="shared" si="4"/>
        <v>549</v>
      </c>
      <c r="Q11" s="42">
        <f>(C$68*L68)-C11</f>
        <v>0</v>
      </c>
      <c r="R11" s="42">
        <f t="shared" si="5"/>
        <v>562</v>
      </c>
      <c r="S11" s="30">
        <f t="shared" si="6"/>
        <v>0</v>
      </c>
      <c r="T11" s="30">
        <f t="shared" si="7"/>
        <v>0</v>
      </c>
      <c r="U11" s="31" t="str">
        <f t="shared" si="8"/>
        <v>- -</v>
      </c>
    </row>
    <row r="12" spans="2:21" ht="18" customHeight="1">
      <c r="B12" s="32" t="str">
        <f>'Data Entry'!A12</f>
        <v>7. Cases Resulting in Delinquent Findings</v>
      </c>
      <c r="C12" s="33">
        <f>'Data Entry'!C12</f>
        <v>397</v>
      </c>
      <c r="D12" s="34">
        <f>IF(((AND(C69&gt;0,C12&gt;0))),(C12/(C69)),0)</f>
        <v>72.313296903460838</v>
      </c>
      <c r="E12" s="33">
        <f>'Data Entry'!F12</f>
        <v>10</v>
      </c>
      <c r="F12" s="34">
        <f>IF(((AND($D$69&gt;0,$E$12&gt;0))),(E12/(D69)),0)</f>
        <v>76.92307692307692</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10</v>
      </c>
      <c r="O12" s="42">
        <f>(D69*L69)-E12</f>
        <v>3</v>
      </c>
      <c r="P12" s="42">
        <f t="shared" si="4"/>
        <v>397</v>
      </c>
      <c r="Q12" s="42">
        <f>(C69*L69)-C12</f>
        <v>152</v>
      </c>
      <c r="R12" s="42">
        <f t="shared" si="5"/>
        <v>562</v>
      </c>
      <c r="S12" s="30">
        <f t="shared" si="6"/>
        <v>60831442</v>
      </c>
      <c r="T12" s="30">
        <f t="shared" si="7"/>
        <v>450237645</v>
      </c>
      <c r="U12" s="31">
        <f t="shared" si="8"/>
        <v>0.13510963082618291</v>
      </c>
    </row>
    <row r="13" spans="2:21" ht="18" customHeight="1">
      <c r="B13" s="32" t="str">
        <f>'Data Entry'!A13</f>
        <v>8. Cases Resulting in Probation Placement</v>
      </c>
      <c r="C13" s="33">
        <f>'Data Entry'!C13</f>
        <v>397</v>
      </c>
      <c r="D13" s="34">
        <f>IF(((AND(C70&gt;0,C13&gt;0))),(C13/(C70)),0)</f>
        <v>100</v>
      </c>
      <c r="E13" s="33">
        <f>'Data Entry'!F13</f>
        <v>10</v>
      </c>
      <c r="F13" s="34">
        <f>IF(((AND($D$70&gt;0,$E$13&gt;0))),($E$13/($D$70)),0)</f>
        <v>100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10</v>
      </c>
      <c r="O13" s="42">
        <f>(D70*L70)-E13</f>
        <v>0</v>
      </c>
      <c r="P13" s="42">
        <f t="shared" si="4"/>
        <v>397</v>
      </c>
      <c r="Q13" s="42">
        <f>(C70*L70)-C13</f>
        <v>0</v>
      </c>
      <c r="R13" s="42">
        <f t="shared" si="5"/>
        <v>407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0.75566750629722923</v>
      </c>
      <c r="E14" s="33">
        <f>'Data Entry'!F14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10</v>
      </c>
      <c r="P14" s="42">
        <f t="shared" si="4"/>
        <v>3</v>
      </c>
      <c r="Q14" s="42">
        <f>(C70*L70)-C14</f>
        <v>394</v>
      </c>
      <c r="R14" s="42">
        <f t="shared" si="5"/>
        <v>407</v>
      </c>
      <c r="S14" s="30">
        <f t="shared" si="6"/>
        <v>366300</v>
      </c>
      <c r="T14" s="30">
        <f t="shared" si="7"/>
        <v>4811640</v>
      </c>
      <c r="U14" s="31">
        <f t="shared" si="8"/>
        <v>7.6127889867072349E-2</v>
      </c>
    </row>
    <row r="15" spans="2:21" ht="15.75" customHeight="1">
      <c r="B15" s="32" t="str">
        <f>'Data Entry'!A15</f>
        <v xml:space="preserve">10. Cases Transferred to Adult Court </v>
      </c>
      <c r="C15" s="33">
        <f>'Data Entry'!C15</f>
        <v>1</v>
      </c>
      <c r="D15" s="34">
        <f>IF(((AND(C69&gt;0,C15&gt;0))),((C15/(C69))),0)</f>
        <v>0.18214936247723132</v>
      </c>
      <c r="E15" s="33">
        <f>'Data Entry'!F15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13</v>
      </c>
      <c r="P15" s="42">
        <f t="shared" si="4"/>
        <v>1</v>
      </c>
      <c r="Q15" s="42">
        <f>(C69*L69)-C15</f>
        <v>548</v>
      </c>
      <c r="R15" s="42">
        <f t="shared" si="5"/>
        <v>562</v>
      </c>
      <c r="S15" s="30">
        <f t="shared" si="6"/>
        <v>94978</v>
      </c>
      <c r="T15" s="30">
        <f t="shared" si="7"/>
        <v>4003857</v>
      </c>
      <c r="U15" s="31">
        <f t="shared" si="8"/>
        <v>2.3721626421722854E-2</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59.786000000000001</v>
      </c>
      <c r="D42" s="56">
        <f>E6/1000</f>
        <v>5.32</v>
      </c>
      <c r="E42" s="56">
        <f>MAX(C42:D42)</f>
        <v>59.786000000000001</v>
      </c>
      <c r="G42" s="1" t="str">
        <f>B42</f>
        <v>per 1000 youth</v>
      </c>
      <c r="L42" s="57">
        <v>1000</v>
      </c>
      <c r="M42" s="57"/>
      <c r="R42" s="49"/>
    </row>
    <row r="43" spans="2:18" ht="15" hidden="1" customHeight="1">
      <c r="B43" s="49" t="s">
        <v>87</v>
      </c>
      <c r="C43" s="56">
        <f>C7/100</f>
        <v>1.89</v>
      </c>
      <c r="D43" s="56">
        <f>E7/100</f>
        <v>0.06</v>
      </c>
      <c r="E43" s="56">
        <f>MAX(C43:D43,0)</f>
        <v>1.89</v>
      </c>
      <c r="G43" s="1" t="str">
        <f>B43</f>
        <v>per 100 arrests</v>
      </c>
      <c r="L43" s="57">
        <v>100</v>
      </c>
      <c r="M43" s="57"/>
      <c r="R43" s="49"/>
    </row>
    <row r="44" spans="2:18" ht="15" hidden="1" customHeight="1">
      <c r="B44" s="49" t="s">
        <v>88</v>
      </c>
      <c r="C44" s="56">
        <f>C8/100</f>
        <v>5.49</v>
      </c>
      <c r="D44" s="56">
        <f>E8/100</f>
        <v>0.13</v>
      </c>
      <c r="E44" s="56">
        <f>MAX(C44:D44,0)</f>
        <v>5.49</v>
      </c>
      <c r="G44" s="1" t="str">
        <f>B44</f>
        <v>per 100 referrals</v>
      </c>
      <c r="L44" s="57">
        <v>100</v>
      </c>
      <c r="M44" s="57"/>
      <c r="R44" s="49"/>
    </row>
    <row r="45" spans="2:18" ht="15" hidden="1" customHeight="1">
      <c r="B45" s="49" t="s">
        <v>89</v>
      </c>
      <c r="C45" s="49">
        <f>C11/100</f>
        <v>5.49</v>
      </c>
      <c r="D45" s="49">
        <f>E11/100</f>
        <v>0.13</v>
      </c>
      <c r="E45" s="56">
        <f>MAX(C45:D45,0)</f>
        <v>5.49</v>
      </c>
      <c r="G45" s="1" t="str">
        <f>B45</f>
        <v>per 100 youth petitioned</v>
      </c>
      <c r="L45" s="57">
        <v>100</v>
      </c>
      <c r="M45" s="57"/>
      <c r="R45" s="49"/>
    </row>
    <row r="46" spans="2:18" ht="15" hidden="1" customHeight="1">
      <c r="B46" s="49" t="s">
        <v>90</v>
      </c>
      <c r="C46" s="49">
        <f>C12/100</f>
        <v>3.97</v>
      </c>
      <c r="D46" s="49">
        <f>E12/100</f>
        <v>0.1</v>
      </c>
      <c r="E46" s="56">
        <f>MAX(C46:D46)</f>
        <v>3.97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59.786000000000001</v>
      </c>
      <c r="D48" s="56">
        <f>D42</f>
        <v>5.32</v>
      </c>
      <c r="E48" s="56">
        <f>MAX(C48:D48)</f>
        <v>59.786000000000001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1.89</v>
      </c>
      <c r="D49" s="49">
        <f t="shared" si="9"/>
        <v>0.06</v>
      </c>
      <c r="E49" s="49">
        <f>MAX(C49:D49)</f>
        <v>1.89</v>
      </c>
      <c r="G49" s="1" t="str">
        <f>G43</f>
        <v>per 100 arrests</v>
      </c>
      <c r="L49" s="58">
        <f>IF(($E43&gt;0),L43,L42)</f>
        <v>100</v>
      </c>
      <c r="M49" s="58"/>
      <c r="N49" s="21"/>
      <c r="O49" s="21"/>
      <c r="P49" s="21"/>
      <c r="Q49" s="21"/>
      <c r="R49" s="21"/>
    </row>
    <row r="50" spans="2:18" ht="15" hidden="1" customHeight="1">
      <c r="B50" s="49" t="str">
        <f t="shared" si="9"/>
        <v>per 100 referrals</v>
      </c>
      <c r="C50" s="49">
        <f t="shared" si="9"/>
        <v>5.49</v>
      </c>
      <c r="D50" s="49">
        <f t="shared" si="9"/>
        <v>0.13</v>
      </c>
      <c r="E50" s="49">
        <f>MAX(C50:D50)</f>
        <v>5.49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5.49</v>
      </c>
      <c r="D51" s="49">
        <f>IF(($E45&gt;0),D45,D44)</f>
        <v>0.13</v>
      </c>
      <c r="E51" s="49">
        <f>MAX(C51:D51)</f>
        <v>5.49</v>
      </c>
      <c r="G51" s="1" t="str">
        <f>G45</f>
        <v>per 100 youth petitioned</v>
      </c>
      <c r="L51" s="58">
        <f>IF(($E45&gt;0),L45,L44)</f>
        <v>100</v>
      </c>
      <c r="M51" s="58"/>
    </row>
    <row r="52" spans="2:18" ht="15" hidden="1" customHeight="1">
      <c r="B52" s="49" t="str">
        <f>IF(($E46&gt;0),B46,B45)</f>
        <v>per 100 youth found delinquent</v>
      </c>
      <c r="C52" s="49">
        <f>IF(($E46&gt;0),C46,C45)</f>
        <v>3.97</v>
      </c>
      <c r="D52" s="49">
        <f>IF(($E46&gt;0),D46,D45)</f>
        <v>0.1</v>
      </c>
      <c r="E52" s="56">
        <f>MAX(C52:D52)</f>
        <v>3.97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59.786000000000001</v>
      </c>
      <c r="D54" s="56">
        <f>D48</f>
        <v>5.32</v>
      </c>
      <c r="E54" s="56">
        <f>MAX(C54:D54)</f>
        <v>59.786000000000001</v>
      </c>
      <c r="G54" s="1" t="str">
        <f>G48</f>
        <v>per 1000 youth</v>
      </c>
      <c r="L54" s="58">
        <f>L48</f>
        <v>1000</v>
      </c>
      <c r="M54" s="58"/>
    </row>
    <row r="55" spans="2:18" ht="15" hidden="1" customHeight="1">
      <c r="B55" s="49" t="str">
        <f t="shared" ref="B55:D56" si="10">IF(($E49&gt;0),B49,B48)</f>
        <v>per 100 arrests</v>
      </c>
      <c r="C55" s="49">
        <f t="shared" si="10"/>
        <v>1.89</v>
      </c>
      <c r="D55" s="49">
        <f t="shared" si="10"/>
        <v>0.06</v>
      </c>
      <c r="E55" s="49">
        <f>MAX(C55:D55)</f>
        <v>1.89</v>
      </c>
      <c r="G55" s="1" t="str">
        <f>G49</f>
        <v>per 100 arrests</v>
      </c>
      <c r="L55" s="58">
        <f>IF(($E49&gt;0),L49,L48)</f>
        <v>100</v>
      </c>
      <c r="M55" s="58"/>
    </row>
    <row r="56" spans="2:18" ht="15" hidden="1" customHeight="1">
      <c r="B56" s="49" t="str">
        <f t="shared" si="10"/>
        <v>per 100 referrals</v>
      </c>
      <c r="C56" s="49">
        <f t="shared" si="10"/>
        <v>5.49</v>
      </c>
      <c r="D56" s="49">
        <f t="shared" si="10"/>
        <v>0.13</v>
      </c>
      <c r="E56" s="49">
        <f>MAX(C56:D56)</f>
        <v>5.49</v>
      </c>
      <c r="G56" s="1" t="str">
        <f>G50</f>
        <v>per 100 referrals</v>
      </c>
      <c r="L56" s="58">
        <f>IF(($E50&gt;0),L50,L49)</f>
        <v>100</v>
      </c>
      <c r="M56" s="58"/>
    </row>
    <row r="57" spans="2:18" ht="15" hidden="1" customHeight="1">
      <c r="B57" s="49" t="str">
        <f>IF(($E51&gt;0),B51,B49)</f>
        <v>per 100 youth petitioned</v>
      </c>
      <c r="C57" s="49">
        <f>IF(($E51&gt;0),C51,C50)</f>
        <v>5.49</v>
      </c>
      <c r="D57" s="49">
        <f>IF(($E51&gt;0),D51,D50)</f>
        <v>0.13</v>
      </c>
      <c r="E57" s="49">
        <f>MAX(C57:D57)</f>
        <v>5.49</v>
      </c>
      <c r="G57" s="1" t="str">
        <f>G51</f>
        <v>per 100 youth petitioned</v>
      </c>
      <c r="L57" s="58">
        <f>IF(($E51&gt;0),L51,L50)</f>
        <v>100</v>
      </c>
      <c r="M57" s="58"/>
    </row>
    <row r="58" spans="2:18" ht="15" hidden="1" customHeight="1">
      <c r="B58" s="49" t="str">
        <f>IF(($E52&gt;0),B52,B51)</f>
        <v>per 100 youth found delinquent</v>
      </c>
      <c r="C58" s="49">
        <f>IF(($E52&gt;0),C52,C51)</f>
        <v>3.97</v>
      </c>
      <c r="D58" s="49">
        <f>IF(($E52&gt;0),D52,D51)</f>
        <v>0.1</v>
      </c>
      <c r="E58" s="56">
        <f>MAX(C58:D58)</f>
        <v>3.97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59.786000000000001</v>
      </c>
      <c r="D60" s="56">
        <f>D54</f>
        <v>5.32</v>
      </c>
      <c r="E60" s="56">
        <f>MAX(C60:D60)</f>
        <v>59.786000000000001</v>
      </c>
      <c r="G60" s="1" t="str">
        <f>G54</f>
        <v>per 1000 youth</v>
      </c>
      <c r="L60" s="58">
        <f>L54</f>
        <v>1000</v>
      </c>
      <c r="M60" s="58"/>
    </row>
    <row r="61" spans="2:18" ht="15" hidden="1" customHeight="1">
      <c r="B61" s="49" t="str">
        <f t="shared" ref="B61:D62" si="11">IF(($E55&gt;0),B55,B54)</f>
        <v>per 100 arrests</v>
      </c>
      <c r="C61" s="49">
        <f t="shared" si="11"/>
        <v>1.89</v>
      </c>
      <c r="D61" s="49">
        <f t="shared" si="11"/>
        <v>0.06</v>
      </c>
      <c r="E61" s="49">
        <f>MAX(C61:D61)</f>
        <v>1.89</v>
      </c>
      <c r="G61" s="1" t="str">
        <f>G55</f>
        <v>per 100 arrests</v>
      </c>
      <c r="L61" s="58">
        <f>IF(($E55&gt;0),L55,L54)</f>
        <v>100</v>
      </c>
      <c r="M61" s="58"/>
    </row>
    <row r="62" spans="2:18" ht="15" hidden="1" customHeight="1">
      <c r="B62" s="49" t="str">
        <f t="shared" si="11"/>
        <v>per 100 referrals</v>
      </c>
      <c r="C62" s="49">
        <f t="shared" si="11"/>
        <v>5.49</v>
      </c>
      <c r="D62" s="49">
        <f t="shared" si="11"/>
        <v>0.13</v>
      </c>
      <c r="E62" s="49">
        <f>MAX(C62:D62)</f>
        <v>5.49</v>
      </c>
      <c r="G62" s="1" t="str">
        <f>G56</f>
        <v>per 100 referrals</v>
      </c>
      <c r="L62" s="58">
        <f>IF(($E56&gt;0),L56,L55)</f>
        <v>100</v>
      </c>
      <c r="M62" s="58"/>
    </row>
    <row r="63" spans="2:18" ht="15" hidden="1" customHeight="1">
      <c r="B63" s="49" t="str">
        <f>IF(($E57&gt;0),B57,B55)</f>
        <v>per 100 youth petitioned</v>
      </c>
      <c r="C63" s="49">
        <f>IF(($E57&gt;0),C57,C56)</f>
        <v>5.49</v>
      </c>
      <c r="D63" s="49">
        <f>IF(($E57&gt;0),D57,D56)</f>
        <v>0.13</v>
      </c>
      <c r="E63" s="49">
        <f>MAX(C63:D63)</f>
        <v>5.49</v>
      </c>
      <c r="G63" s="1" t="str">
        <f>G57</f>
        <v>per 100 youth petitioned</v>
      </c>
      <c r="L63" s="58">
        <f>IF(($E57&gt;0),L57,L56)</f>
        <v>100</v>
      </c>
      <c r="M63" s="58"/>
    </row>
    <row r="64" spans="2:18" ht="15" hidden="1" customHeight="1">
      <c r="B64" s="49" t="str">
        <f>IF(($E58&gt;0),B58,B57)</f>
        <v>per 100 youth found delinquent</v>
      </c>
      <c r="C64" s="49">
        <f>IF(($E58&gt;0),C58,C57)</f>
        <v>3.97</v>
      </c>
      <c r="D64" s="49">
        <f>IF(($E58&gt;0),D58,D57)</f>
        <v>0.1</v>
      </c>
      <c r="E64" s="56">
        <f>MAX(C64:D64)</f>
        <v>3.97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59.786000000000001</v>
      </c>
      <c r="D66" s="56">
        <f>D60</f>
        <v>5.32</v>
      </c>
      <c r="E66" s="56">
        <f>MAX(C66:D66)</f>
        <v>59.786000000000001</v>
      </c>
      <c r="G66" s="1" t="str">
        <f>G60</f>
        <v>per 1000 youth</v>
      </c>
      <c r="L66" s="58">
        <f>L60</f>
        <v>1000</v>
      </c>
      <c r="M66" s="58">
        <f>IF((B66=G66),1,2)</f>
        <v>1</v>
      </c>
    </row>
    <row r="67" spans="2:13" ht="15" hidden="1" customHeight="1">
      <c r="B67" s="49" t="str">
        <f t="shared" ref="B67:D68" si="12">IF(($E61&gt;0),B61,B60)</f>
        <v>per 100 arrests</v>
      </c>
      <c r="C67" s="49">
        <f t="shared" si="12"/>
        <v>1.89</v>
      </c>
      <c r="D67" s="49">
        <f t="shared" si="12"/>
        <v>0.06</v>
      </c>
      <c r="E67" s="49">
        <f>MAX(C67:D67)</f>
        <v>1.89</v>
      </c>
      <c r="G67" s="1" t="str">
        <f>G61</f>
        <v>per 100 arrests</v>
      </c>
      <c r="L67" s="58">
        <f>IF(($E61&gt;0),L61,L60)</f>
        <v>100</v>
      </c>
      <c r="M67" s="58">
        <f>IF((B67=G67),1,2)</f>
        <v>1</v>
      </c>
    </row>
    <row r="68" spans="2:13" ht="15" hidden="1" customHeight="1">
      <c r="B68" s="49" t="str">
        <f t="shared" si="12"/>
        <v>per 100 referrals</v>
      </c>
      <c r="C68" s="49">
        <f t="shared" si="12"/>
        <v>5.49</v>
      </c>
      <c r="D68" s="49">
        <f t="shared" si="12"/>
        <v>0.13</v>
      </c>
      <c r="E68" s="49">
        <f>MAX(C68:D68)</f>
        <v>5.49</v>
      </c>
      <c r="G68" s="1" t="str">
        <f>G62</f>
        <v>per 100 referrals</v>
      </c>
      <c r="L68" s="58">
        <f>IF(($E62&gt;0),L62,L61)</f>
        <v>100</v>
      </c>
      <c r="M68" s="58">
        <f>IF((B68=G68),1,2)</f>
        <v>1</v>
      </c>
    </row>
    <row r="69" spans="2:13" ht="15" hidden="1" customHeight="1">
      <c r="B69" s="49" t="str">
        <f>IF(($E63&gt;0),B63,B61)</f>
        <v>per 100 youth petitioned</v>
      </c>
      <c r="C69" s="49">
        <f>IF(($E63&gt;0),C63,C62)</f>
        <v>5.49</v>
      </c>
      <c r="D69" s="49">
        <f>IF(($E63&gt;0),D63,D62)</f>
        <v>0.13</v>
      </c>
      <c r="E69" s="49">
        <f>MAX(C69:D69)</f>
        <v>5.49</v>
      </c>
      <c r="G69" s="1" t="str">
        <f>G63</f>
        <v>per 100 youth petitioned</v>
      </c>
      <c r="L69" s="58">
        <f>IF(($E63&gt;0),L63,L62)</f>
        <v>100</v>
      </c>
      <c r="M69" s="58">
        <f>IF((B69=G69),1,2)</f>
        <v>1</v>
      </c>
    </row>
    <row r="70" spans="2:13" ht="15" hidden="1" customHeight="1">
      <c r="B70" s="49" t="str">
        <f>IF(($E64&gt;0),B64,B63)</f>
        <v>per 100 youth found delinquent</v>
      </c>
      <c r="C70" s="49">
        <f>IF(($E64&gt;0),C64,C63)</f>
        <v>3.97</v>
      </c>
      <c r="D70" s="49">
        <f>IF(($E64&gt;0),D64,D63)</f>
        <v>0.1</v>
      </c>
      <c r="E70" s="56">
        <f>MAX(C70:D70)</f>
        <v>3.97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59786</v>
      </c>
      <c r="D6" s="34"/>
      <c r="E6" s="33">
        <f>'Data Entry'!E6</f>
        <v>3669</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189</v>
      </c>
      <c r="D7" s="34">
        <f>IF((AND(C66&gt;0,C7&gt;0)),(C7/C66),0)</f>
        <v>3.1612752149332617</v>
      </c>
      <c r="E7" s="33">
        <f>'Data Entry'!E7</f>
        <v>3</v>
      </c>
      <c r="F7" s="34">
        <f>IF((AND($E$7&gt;0,$D$66&gt;0)),($E$7/$D$66),0)</f>
        <v>0.81766148814390838</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3</v>
      </c>
      <c r="O7" s="42">
        <f>E6-E7</f>
        <v>3666</v>
      </c>
      <c r="P7" s="42">
        <f t="shared" ref="P7:P15" si="4">C7</f>
        <v>189</v>
      </c>
      <c r="Q7" s="42">
        <f>C6-C7</f>
        <v>59597</v>
      </c>
      <c r="R7" s="42">
        <f t="shared" ref="R7:R15" si="5">SUM(N7:Q7)</f>
        <v>63455</v>
      </c>
      <c r="S7" s="30">
        <f t="shared" ref="S7:S15" si="6">R7*((((N7*Q7)-(O7*P7))^2))</f>
        <v>1.6769971851561496E+16</v>
      </c>
      <c r="T7" s="30">
        <f t="shared" ref="T7:T15" si="7">(N7+O7)*(P7+Q7)*(N7+P7)*(O7+Q7)</f>
        <v>2664392613761664</v>
      </c>
      <c r="U7" s="31">
        <f t="shared" ref="U7:U15" si="8">IF((S7&gt;0),S7/T7,"- -")</f>
        <v>6.2941068688391164</v>
      </c>
    </row>
    <row r="8" spans="2:21" ht="18" customHeight="1">
      <c r="B8" s="32" t="str">
        <f>'Data Entry'!A8</f>
        <v>3. Refer to Juvenile Court</v>
      </c>
      <c r="C8" s="33">
        <f>'Data Entry'!C8</f>
        <v>549</v>
      </c>
      <c r="D8" s="34">
        <f>IF((AND(C67&gt;0,C8&gt;0)),(C8/C67),0)</f>
        <v>290.47619047619048</v>
      </c>
      <c r="E8" s="33">
        <f>'Data Entry'!E8</f>
        <v>21</v>
      </c>
      <c r="F8" s="34">
        <f>IF((AND($E$8&gt;0,$D$67&gt;0)),($E8/$D67),0)</f>
        <v>700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21</v>
      </c>
      <c r="O8" s="42">
        <f>((D67*L67)-E8)+0.05</f>
        <v>-17.95</v>
      </c>
      <c r="P8" s="42">
        <f t="shared" si="4"/>
        <v>549</v>
      </c>
      <c r="Q8" s="42">
        <f>(C$67*L67)-C8</f>
        <v>-360</v>
      </c>
      <c r="R8" s="42">
        <f t="shared" si="5"/>
        <v>192.04999999999995</v>
      </c>
      <c r="S8" s="30">
        <f t="shared" si="6"/>
        <v>1011135510.8651241</v>
      </c>
      <c r="T8" s="30">
        <f t="shared" si="7"/>
        <v>-124185488.17500004</v>
      </c>
      <c r="U8" s="31">
        <f t="shared" si="8"/>
        <v>-8.1421390351201861</v>
      </c>
    </row>
    <row r="9" spans="2:21" ht="18" customHeight="1">
      <c r="B9" s="32" t="str">
        <f>'Data Entry'!A9</f>
        <v xml:space="preserve">4. Cases Diverted </v>
      </c>
      <c r="C9" s="33">
        <f>'Data Entry'!C9</f>
        <v>99</v>
      </c>
      <c r="D9" s="34">
        <f>IF((AND(C68&gt;0,C9&gt;0)),((C9/C68)),0)</f>
        <v>18.032786885245901</v>
      </c>
      <c r="E9" s="33">
        <f>'Data Entry'!E9</f>
        <v>4</v>
      </c>
      <c r="F9" s="34">
        <f>IF((AND($E$9&gt;0,$D$68&gt;0)),(($E$9/$D$68)),0)</f>
        <v>19.047619047619047</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4</v>
      </c>
      <c r="O9" s="42">
        <f>(D$68*L68)-E9</f>
        <v>17</v>
      </c>
      <c r="P9" s="42">
        <f t="shared" si="4"/>
        <v>99</v>
      </c>
      <c r="Q9" s="42">
        <f>(C$68*L68)-C9</f>
        <v>450</v>
      </c>
      <c r="R9" s="42">
        <f t="shared" si="5"/>
        <v>570</v>
      </c>
      <c r="S9" s="30">
        <f t="shared" si="6"/>
        <v>7802730</v>
      </c>
      <c r="T9" s="30">
        <f t="shared" si="7"/>
        <v>554556429</v>
      </c>
      <c r="U9" s="31">
        <f t="shared" si="8"/>
        <v>1.4070218271691878E-2</v>
      </c>
    </row>
    <row r="10" spans="2:21" ht="18" customHeight="1">
      <c r="B10" s="32" t="str">
        <f>'Data Entry'!A10</f>
        <v>5. Cases Involving Secure Detention</v>
      </c>
      <c r="C10" s="33">
        <f>'Data Entry'!C10</f>
        <v>71</v>
      </c>
      <c r="D10" s="34">
        <f>IF(((AND(C68&gt;0,C10&gt;0))),(C10/(C68)),0)</f>
        <v>12.932604735883423</v>
      </c>
      <c r="E10" s="33">
        <f>'Data Entry'!E10</f>
        <v>1</v>
      </c>
      <c r="F10" s="34">
        <f>IF(((AND($E$10&gt;0,$D$68&gt;0))),($E$10/($D$68)),0)</f>
        <v>4.7619047619047619</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20</v>
      </c>
      <c r="P10" s="42">
        <f t="shared" si="4"/>
        <v>71</v>
      </c>
      <c r="Q10" s="42">
        <f>(C$68*L68)-C10</f>
        <v>478</v>
      </c>
      <c r="R10" s="42">
        <f t="shared" si="5"/>
        <v>570</v>
      </c>
      <c r="S10" s="30">
        <f t="shared" si="6"/>
        <v>505797480</v>
      </c>
      <c r="T10" s="30">
        <f t="shared" si="7"/>
        <v>413383824</v>
      </c>
      <c r="U10" s="31">
        <f t="shared" si="8"/>
        <v>1.2235541175892746</v>
      </c>
    </row>
    <row r="11" spans="2:21" ht="18" customHeight="1">
      <c r="B11" s="32" t="str">
        <f>'Data Entry'!A11</f>
        <v>6. Cases Petitioned (Charge Filed)</v>
      </c>
      <c r="C11" s="33">
        <f>'Data Entry'!C11</f>
        <v>549</v>
      </c>
      <c r="D11" s="34">
        <f>IF(((AND(C68&gt;0,C11&gt;0))),(C11/(C68)),0)</f>
        <v>100</v>
      </c>
      <c r="E11" s="33">
        <f>'Data Entry'!E11</f>
        <v>21</v>
      </c>
      <c r="F11" s="34">
        <f>IF(((AND($E$11&gt;0,$D$68&gt;0))),($E$11/($D$68)),0)</f>
        <v>100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21</v>
      </c>
      <c r="O11" s="42">
        <f>(D$68*L68)-E11</f>
        <v>0</v>
      </c>
      <c r="P11" s="42">
        <f t="shared" si="4"/>
        <v>549</v>
      </c>
      <c r="Q11" s="42">
        <f>(C$68*L68)-C11</f>
        <v>0</v>
      </c>
      <c r="R11" s="42">
        <f t="shared" si="5"/>
        <v>570</v>
      </c>
      <c r="S11" s="30">
        <f t="shared" si="6"/>
        <v>0</v>
      </c>
      <c r="T11" s="30">
        <f t="shared" si="7"/>
        <v>0</v>
      </c>
      <c r="U11" s="31" t="str">
        <f t="shared" si="8"/>
        <v>- -</v>
      </c>
    </row>
    <row r="12" spans="2:21" ht="18" customHeight="1">
      <c r="B12" s="32" t="str">
        <f>'Data Entry'!A12</f>
        <v>7. Cases Resulting in Delinquent Findings</v>
      </c>
      <c r="C12" s="33">
        <f>'Data Entry'!C12</f>
        <v>397</v>
      </c>
      <c r="D12" s="34">
        <f>IF(((AND(C69&gt;0,C12&gt;0))),(C12/(C69)),0)</f>
        <v>72.313296903460838</v>
      </c>
      <c r="E12" s="33">
        <f>'Data Entry'!E12</f>
        <v>15</v>
      </c>
      <c r="F12" s="34">
        <f>IF(((AND($D$69&gt;0,$E$12&gt;0))),(E12/(D69)),0)</f>
        <v>71.428571428571431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15</v>
      </c>
      <c r="O12" s="42">
        <f>(D69*L69)-E12</f>
        <v>6</v>
      </c>
      <c r="P12" s="42">
        <f t="shared" si="4"/>
        <v>397</v>
      </c>
      <c r="Q12" s="42">
        <f>(C69*L69)-C12</f>
        <v>152</v>
      </c>
      <c r="R12" s="42">
        <f t="shared" si="5"/>
        <v>570</v>
      </c>
      <c r="S12" s="30">
        <f t="shared" si="6"/>
        <v>5930280</v>
      </c>
      <c r="T12" s="30">
        <f t="shared" si="7"/>
        <v>750491784</v>
      </c>
      <c r="U12" s="31">
        <f t="shared" si="8"/>
        <v>7.9018586564566576E-3</v>
      </c>
    </row>
    <row r="13" spans="2:21" ht="18" customHeight="1">
      <c r="B13" s="32" t="str">
        <f>'Data Entry'!A13</f>
        <v>8. Cases Resulting in Probation Placement</v>
      </c>
      <c r="C13" s="33">
        <f>'Data Entry'!C13</f>
        <v>397</v>
      </c>
      <c r="D13" s="34">
        <f>IF(((AND(C70&gt;0,C13&gt;0))),(C13/(C70)),0)</f>
        <v>100</v>
      </c>
      <c r="E13" s="33">
        <f>'Data Entry'!E13</f>
        <v>15</v>
      </c>
      <c r="F13" s="34">
        <f>IF(((AND($D$70&gt;0,$E$13&gt;0))),($E$13/($D$70)),0)</f>
        <v>100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15</v>
      </c>
      <c r="O13" s="42">
        <f>(D70*L70)-E13</f>
        <v>0</v>
      </c>
      <c r="P13" s="42">
        <f t="shared" si="4"/>
        <v>397</v>
      </c>
      <c r="Q13" s="42">
        <f>(C70*L70)-C13</f>
        <v>0</v>
      </c>
      <c r="R13" s="42">
        <f t="shared" si="5"/>
        <v>412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0.75566750629722923</v>
      </c>
      <c r="E14" s="33">
        <f>'Data Entry'!E14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15</v>
      </c>
      <c r="P14" s="42">
        <f t="shared" si="4"/>
        <v>3</v>
      </c>
      <c r="Q14" s="42">
        <f>(C70*L70)-C14</f>
        <v>394</v>
      </c>
      <c r="R14" s="42">
        <f t="shared" si="5"/>
        <v>412</v>
      </c>
      <c r="S14" s="30">
        <f t="shared" si="6"/>
        <v>834300</v>
      </c>
      <c r="T14" s="30">
        <f t="shared" si="7"/>
        <v>7306785</v>
      </c>
      <c r="U14" s="31">
        <f t="shared" si="8"/>
        <v>0.11418154496129282</v>
      </c>
    </row>
    <row r="15" spans="2:21" ht="15.75" customHeight="1">
      <c r="B15" s="32" t="str">
        <f>'Data Entry'!A15</f>
        <v xml:space="preserve">10. Cases Transferred to Adult Court </v>
      </c>
      <c r="C15" s="33">
        <f>'Data Entry'!C15</f>
        <v>1</v>
      </c>
      <c r="D15" s="34">
        <f>IF(((AND(C69&gt;0,C15&gt;0))),((C15/(C69))),0)</f>
        <v>0.18214936247723132</v>
      </c>
      <c r="E15" s="33">
        <f>'Data Entry'!E15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40</v>
      </c>
      <c r="M15" s="1" t="b">
        <f t="shared" si="2"/>
        <v>1</v>
      </c>
      <c r="N15" s="42">
        <f t="shared" si="3"/>
        <v>0</v>
      </c>
      <c r="O15" s="42">
        <f>(D69*L69)-E15</f>
        <v>21</v>
      </c>
      <c r="P15" s="42">
        <f t="shared" si="4"/>
        <v>1</v>
      </c>
      <c r="Q15" s="42">
        <f>(C69*L69)-C15</f>
        <v>548</v>
      </c>
      <c r="R15" s="42">
        <f t="shared" si="5"/>
        <v>570</v>
      </c>
      <c r="S15" s="30">
        <f t="shared" si="6"/>
        <v>251370</v>
      </c>
      <c r="T15" s="30">
        <f t="shared" si="7"/>
        <v>6560001</v>
      </c>
      <c r="U15" s="31">
        <f t="shared" si="8"/>
        <v>3.8318591719726874E-2</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59.786000000000001</v>
      </c>
      <c r="D42" s="56">
        <f>E6/1000</f>
        <v>3.669</v>
      </c>
      <c r="E42" s="56">
        <f>MAX(C42:D42)</f>
        <v>59.786000000000001</v>
      </c>
      <c r="G42" s="1" t="str">
        <f>B42</f>
        <v>per 1000 youth</v>
      </c>
      <c r="L42" s="57">
        <v>1000</v>
      </c>
      <c r="M42" s="57"/>
      <c r="R42" s="49"/>
    </row>
    <row r="43" spans="2:18" ht="15" hidden="1" customHeight="1">
      <c r="B43" s="49" t="s">
        <v>87</v>
      </c>
      <c r="C43" s="56">
        <f>C7/100</f>
        <v>1.89</v>
      </c>
      <c r="D43" s="56">
        <f>E7/100</f>
        <v>0.03</v>
      </c>
      <c r="E43" s="56">
        <f>MAX(C43:D43,0)</f>
        <v>1.89</v>
      </c>
      <c r="G43" s="1" t="str">
        <f>B43</f>
        <v>per 100 arrests</v>
      </c>
      <c r="L43" s="57">
        <v>100</v>
      </c>
      <c r="M43" s="57"/>
      <c r="R43" s="49"/>
    </row>
    <row r="44" spans="2:18" ht="15" hidden="1" customHeight="1">
      <c r="B44" s="49" t="s">
        <v>88</v>
      </c>
      <c r="C44" s="56">
        <f>C8/100</f>
        <v>5.49</v>
      </c>
      <c r="D44" s="56">
        <f>E8/100</f>
        <v>0.21</v>
      </c>
      <c r="E44" s="56">
        <f>MAX(C44:D44,0)</f>
        <v>5.49</v>
      </c>
      <c r="G44" s="1" t="str">
        <f>B44</f>
        <v>per 100 referrals</v>
      </c>
      <c r="L44" s="57">
        <v>100</v>
      </c>
      <c r="M44" s="57"/>
      <c r="R44" s="49"/>
    </row>
    <row r="45" spans="2:18" ht="15" hidden="1" customHeight="1">
      <c r="B45" s="49" t="s">
        <v>89</v>
      </c>
      <c r="C45" s="49">
        <f>C11/100</f>
        <v>5.49</v>
      </c>
      <c r="D45" s="49">
        <f>E11/100</f>
        <v>0.21</v>
      </c>
      <c r="E45" s="56">
        <f>MAX(C45:D45,0)</f>
        <v>5.49</v>
      </c>
      <c r="G45" s="1" t="str">
        <f>B45</f>
        <v>per 100 youth petitioned</v>
      </c>
      <c r="L45" s="57">
        <v>100</v>
      </c>
      <c r="M45" s="57"/>
      <c r="R45" s="49"/>
    </row>
    <row r="46" spans="2:18" ht="15" hidden="1" customHeight="1">
      <c r="B46" s="49" t="s">
        <v>90</v>
      </c>
      <c r="C46" s="49">
        <f>C12/100</f>
        <v>3.97</v>
      </c>
      <c r="D46" s="49">
        <f>E12/100</f>
        <v>0.15</v>
      </c>
      <c r="E46" s="56">
        <f>MAX(C46:D46)</f>
        <v>3.97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59.786000000000001</v>
      </c>
      <c r="D48" s="56">
        <f>D42</f>
        <v>3.669</v>
      </c>
      <c r="E48" s="56">
        <f>MAX(C48:D48)</f>
        <v>59.786000000000001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1.89</v>
      </c>
      <c r="D49" s="49">
        <f t="shared" si="9"/>
        <v>0.03</v>
      </c>
      <c r="E49" s="49">
        <f>MAX(C49:D49)</f>
        <v>1.89</v>
      </c>
      <c r="G49" s="1" t="str">
        <f>G43</f>
        <v>per 100 arrests</v>
      </c>
      <c r="L49" s="58">
        <f>IF(($E43&gt;0),L43,L42)</f>
        <v>100</v>
      </c>
      <c r="M49" s="58"/>
      <c r="N49" s="21"/>
      <c r="O49" s="21"/>
      <c r="P49" s="21"/>
      <c r="Q49" s="21"/>
      <c r="R49" s="21"/>
    </row>
    <row r="50" spans="2:18" ht="15" hidden="1" customHeight="1">
      <c r="B50" s="49" t="str">
        <f t="shared" si="9"/>
        <v>per 100 referrals</v>
      </c>
      <c r="C50" s="49">
        <f t="shared" si="9"/>
        <v>5.49</v>
      </c>
      <c r="D50" s="49">
        <f t="shared" si="9"/>
        <v>0.21</v>
      </c>
      <c r="E50" s="49">
        <f>MAX(C50:D50)</f>
        <v>5.49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5.49</v>
      </c>
      <c r="D51" s="49">
        <f>IF(($E45&gt;0),D45,D44)</f>
        <v>0.21</v>
      </c>
      <c r="E51" s="49">
        <f>MAX(C51:D51)</f>
        <v>5.49</v>
      </c>
      <c r="G51" s="1" t="str">
        <f>G45</f>
        <v>per 100 youth petitioned</v>
      </c>
      <c r="L51" s="58">
        <f>IF(($E45&gt;0),L45,L44)</f>
        <v>100</v>
      </c>
      <c r="M51" s="58"/>
    </row>
    <row r="52" spans="2:18" ht="15" hidden="1" customHeight="1">
      <c r="B52" s="49" t="str">
        <f>IF(($E46&gt;0),B46,B45)</f>
        <v>per 100 youth found delinquent</v>
      </c>
      <c r="C52" s="49">
        <f>IF(($E46&gt;0),C46,C45)</f>
        <v>3.97</v>
      </c>
      <c r="D52" s="49">
        <f>IF(($E46&gt;0),D46,D45)</f>
        <v>0.15</v>
      </c>
      <c r="E52" s="56">
        <f>MAX(C52:D52)</f>
        <v>3.97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59.786000000000001</v>
      </c>
      <c r="D54" s="56">
        <f>D48</f>
        <v>3.669</v>
      </c>
      <c r="E54" s="56">
        <f>MAX(C54:D54)</f>
        <v>59.786000000000001</v>
      </c>
      <c r="G54" s="1" t="str">
        <f>G48</f>
        <v>per 1000 youth</v>
      </c>
      <c r="L54" s="58">
        <f>L48</f>
        <v>1000</v>
      </c>
      <c r="M54" s="58"/>
    </row>
    <row r="55" spans="2:18" ht="15" hidden="1" customHeight="1">
      <c r="B55" s="49" t="str">
        <f t="shared" ref="B55:D56" si="10">IF(($E49&gt;0),B49,B48)</f>
        <v>per 100 arrests</v>
      </c>
      <c r="C55" s="49">
        <f t="shared" si="10"/>
        <v>1.89</v>
      </c>
      <c r="D55" s="49">
        <f t="shared" si="10"/>
        <v>0.03</v>
      </c>
      <c r="E55" s="49">
        <f>MAX(C55:D55)</f>
        <v>1.89</v>
      </c>
      <c r="G55" s="1" t="str">
        <f>G49</f>
        <v>per 100 arrests</v>
      </c>
      <c r="L55" s="58">
        <f>IF(($E49&gt;0),L49,L48)</f>
        <v>100</v>
      </c>
      <c r="M55" s="58"/>
    </row>
    <row r="56" spans="2:18" ht="15" hidden="1" customHeight="1">
      <c r="B56" s="49" t="str">
        <f t="shared" si="10"/>
        <v>per 100 referrals</v>
      </c>
      <c r="C56" s="49">
        <f t="shared" si="10"/>
        <v>5.49</v>
      </c>
      <c r="D56" s="49">
        <f t="shared" si="10"/>
        <v>0.21</v>
      </c>
      <c r="E56" s="49">
        <f>MAX(C56:D56)</f>
        <v>5.49</v>
      </c>
      <c r="G56" s="1" t="str">
        <f>G50</f>
        <v>per 100 referrals</v>
      </c>
      <c r="L56" s="58">
        <f>IF(($E50&gt;0),L50,L49)</f>
        <v>100</v>
      </c>
      <c r="M56" s="58"/>
    </row>
    <row r="57" spans="2:18" ht="15" hidden="1" customHeight="1">
      <c r="B57" s="49" t="str">
        <f>IF(($E51&gt;0),B51,B49)</f>
        <v>per 100 youth petitioned</v>
      </c>
      <c r="C57" s="49">
        <f>IF(($E51&gt;0),C51,C50)</f>
        <v>5.49</v>
      </c>
      <c r="D57" s="49">
        <f>IF(($E51&gt;0),D51,D50)</f>
        <v>0.21</v>
      </c>
      <c r="E57" s="49">
        <f>MAX(C57:D57)</f>
        <v>5.49</v>
      </c>
      <c r="G57" s="1" t="str">
        <f>G51</f>
        <v>per 100 youth petitioned</v>
      </c>
      <c r="L57" s="58">
        <f>IF(($E51&gt;0),L51,L50)</f>
        <v>100</v>
      </c>
      <c r="M57" s="58"/>
    </row>
    <row r="58" spans="2:18" ht="15" hidden="1" customHeight="1">
      <c r="B58" s="49" t="str">
        <f>IF(($E52&gt;0),B52,B51)</f>
        <v>per 100 youth found delinquent</v>
      </c>
      <c r="C58" s="49">
        <f>IF(($E52&gt;0),C52,C51)</f>
        <v>3.97</v>
      </c>
      <c r="D58" s="49">
        <f>IF(($E52&gt;0),D52,D51)</f>
        <v>0.15</v>
      </c>
      <c r="E58" s="56">
        <f>MAX(C58:D58)</f>
        <v>3.97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59.786000000000001</v>
      </c>
      <c r="D60" s="56">
        <f>D54</f>
        <v>3.669</v>
      </c>
      <c r="E60" s="56">
        <f>MAX(C60:D60)</f>
        <v>59.786000000000001</v>
      </c>
      <c r="G60" s="1" t="str">
        <f>G54</f>
        <v>per 1000 youth</v>
      </c>
      <c r="L60" s="58">
        <f>L54</f>
        <v>1000</v>
      </c>
      <c r="M60" s="58"/>
    </row>
    <row r="61" spans="2:18" ht="15" hidden="1" customHeight="1">
      <c r="B61" s="49" t="str">
        <f t="shared" ref="B61:D62" si="11">IF(($E55&gt;0),B55,B54)</f>
        <v>per 100 arrests</v>
      </c>
      <c r="C61" s="49">
        <f t="shared" si="11"/>
        <v>1.89</v>
      </c>
      <c r="D61" s="49">
        <f t="shared" si="11"/>
        <v>0.03</v>
      </c>
      <c r="E61" s="49">
        <f>MAX(C61:D61)</f>
        <v>1.89</v>
      </c>
      <c r="G61" s="1" t="str">
        <f>G55</f>
        <v>per 100 arrests</v>
      </c>
      <c r="L61" s="58">
        <f>IF(($E55&gt;0),L55,L54)</f>
        <v>100</v>
      </c>
      <c r="M61" s="58"/>
    </row>
    <row r="62" spans="2:18" ht="15" hidden="1" customHeight="1">
      <c r="B62" s="49" t="str">
        <f t="shared" si="11"/>
        <v>per 100 referrals</v>
      </c>
      <c r="C62" s="49">
        <f t="shared" si="11"/>
        <v>5.49</v>
      </c>
      <c r="D62" s="49">
        <f t="shared" si="11"/>
        <v>0.21</v>
      </c>
      <c r="E62" s="49">
        <f>MAX(C62:D62)</f>
        <v>5.49</v>
      </c>
      <c r="G62" s="1" t="str">
        <f>G56</f>
        <v>per 100 referrals</v>
      </c>
      <c r="L62" s="58">
        <f>IF(($E56&gt;0),L56,L55)</f>
        <v>100</v>
      </c>
      <c r="M62" s="58"/>
    </row>
    <row r="63" spans="2:18" ht="15" hidden="1" customHeight="1">
      <c r="B63" s="49" t="str">
        <f>IF(($E57&gt;0),B57,B55)</f>
        <v>per 100 youth petitioned</v>
      </c>
      <c r="C63" s="49">
        <f>IF(($E57&gt;0),C57,C56)</f>
        <v>5.49</v>
      </c>
      <c r="D63" s="49">
        <f>IF(($E57&gt;0),D57,D56)</f>
        <v>0.21</v>
      </c>
      <c r="E63" s="49">
        <f>MAX(C63:D63)</f>
        <v>5.49</v>
      </c>
      <c r="G63" s="1" t="str">
        <f>G57</f>
        <v>per 100 youth petitioned</v>
      </c>
      <c r="L63" s="58">
        <f>IF(($E57&gt;0),L57,L56)</f>
        <v>100</v>
      </c>
      <c r="M63" s="58"/>
    </row>
    <row r="64" spans="2:18" ht="15" hidden="1" customHeight="1">
      <c r="B64" s="49" t="str">
        <f>IF(($E58&gt;0),B58,B57)</f>
        <v>per 100 youth found delinquent</v>
      </c>
      <c r="C64" s="49">
        <f>IF(($E58&gt;0),C58,C57)</f>
        <v>3.97</v>
      </c>
      <c r="D64" s="49">
        <f>IF(($E58&gt;0),D58,D57)</f>
        <v>0.15</v>
      </c>
      <c r="E64" s="56">
        <f>MAX(C64:D64)</f>
        <v>3.97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59.786000000000001</v>
      </c>
      <c r="D66" s="56">
        <f>D60</f>
        <v>3.669</v>
      </c>
      <c r="E66" s="56">
        <f>MAX(C66:D66)</f>
        <v>59.786000000000001</v>
      </c>
      <c r="G66" s="1" t="str">
        <f>G60</f>
        <v>per 1000 youth</v>
      </c>
      <c r="L66" s="58">
        <f>L60</f>
        <v>1000</v>
      </c>
      <c r="M66" s="58">
        <f>IF((B66=G66),1,2)</f>
        <v>1</v>
      </c>
    </row>
    <row r="67" spans="2:13" ht="15" hidden="1" customHeight="1">
      <c r="B67" s="49" t="str">
        <f t="shared" ref="B67:D68" si="12">IF(($E61&gt;0),B61,B60)</f>
        <v>per 100 arrests</v>
      </c>
      <c r="C67" s="49">
        <f t="shared" si="12"/>
        <v>1.89</v>
      </c>
      <c r="D67" s="49">
        <f t="shared" si="12"/>
        <v>0.03</v>
      </c>
      <c r="E67" s="49">
        <f>MAX(C67:D67)</f>
        <v>1.89</v>
      </c>
      <c r="G67" s="1" t="str">
        <f>G61</f>
        <v>per 100 arrests</v>
      </c>
      <c r="L67" s="58">
        <f>IF(($E61&gt;0),L61,L60)</f>
        <v>100</v>
      </c>
      <c r="M67" s="58">
        <f>IF((B67=G67),1,2)</f>
        <v>1</v>
      </c>
    </row>
    <row r="68" spans="2:13" ht="15" hidden="1" customHeight="1">
      <c r="B68" s="49" t="str">
        <f t="shared" si="12"/>
        <v>per 100 referrals</v>
      </c>
      <c r="C68" s="49">
        <f t="shared" si="12"/>
        <v>5.49</v>
      </c>
      <c r="D68" s="49">
        <f t="shared" si="12"/>
        <v>0.21</v>
      </c>
      <c r="E68" s="49">
        <f>MAX(C68:D68)</f>
        <v>5.49</v>
      </c>
      <c r="G68" s="1" t="str">
        <f>G62</f>
        <v>per 100 referrals</v>
      </c>
      <c r="L68" s="58">
        <f>IF(($E62&gt;0),L62,L61)</f>
        <v>100</v>
      </c>
      <c r="M68" s="58">
        <f>IF((B68=G68),1,2)</f>
        <v>1</v>
      </c>
    </row>
    <row r="69" spans="2:13" ht="15" hidden="1" customHeight="1">
      <c r="B69" s="49" t="str">
        <f>IF(($E63&gt;0),B63,B61)</f>
        <v>per 100 youth petitioned</v>
      </c>
      <c r="C69" s="49">
        <f>IF(($E63&gt;0),C63,C62)</f>
        <v>5.49</v>
      </c>
      <c r="D69" s="49">
        <f>IF(($E63&gt;0),D63,D62)</f>
        <v>0.21</v>
      </c>
      <c r="E69" s="49">
        <f>MAX(C69:D69)</f>
        <v>5.49</v>
      </c>
      <c r="G69" s="1" t="str">
        <f>G63</f>
        <v>per 100 youth petitioned</v>
      </c>
      <c r="L69" s="58">
        <f>IF(($E63&gt;0),L63,L62)</f>
        <v>100</v>
      </c>
      <c r="M69" s="58">
        <f>IF((B69=G69),1,2)</f>
        <v>1</v>
      </c>
    </row>
    <row r="70" spans="2:13" ht="15" hidden="1" customHeight="1">
      <c r="B70" s="49" t="str">
        <f>IF(($E64&gt;0),B64,B63)</f>
        <v>per 100 youth found delinquent</v>
      </c>
      <c r="C70" s="49">
        <f>IF(($E64&gt;0),C64,C63)</f>
        <v>3.97</v>
      </c>
      <c r="D70" s="49">
        <f>IF(($E64&gt;0),D64,D63)</f>
        <v>0.15</v>
      </c>
      <c r="E70" s="56">
        <f>MAX(C70:D70)</f>
        <v>3.97</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59786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189</v>
      </c>
      <c r="D7" s="34">
        <f>IF((AND(C66&gt;0,C7&gt;0)),(C7/C66),0)</f>
        <v>3.1612752149332617</v>
      </c>
      <c r="E7" s="33">
        <f>'Data Entry'!G7</f>
        <v>1</v>
      </c>
      <c r="F7" s="34">
        <f>IF((AND($E$7&gt;0,$D$66&gt;0)),($E$7/$D$66),0)</f>
        <v>0</v>
      </c>
      <c r="G7" s="39" t="str">
        <f t="shared" ref="G7:G15" si="0">IF(L$6=100,"*",IF(M7=FALSE,"--",IF(K7=20,"**",($F7/$D7))))</f>
        <v>*</v>
      </c>
      <c r="H7" s="40"/>
      <c r="I7" s="41"/>
      <c r="J7" s="40" t="e">
        <f>IF((ABS($U7)&gt;Defaults!D$7),1,2)</f>
        <v>#DIV/0!</v>
      </c>
      <c r="K7" s="39">
        <f>IF((AND(N7&gt;Defaults!B$12,(N7+O7)&gt;Defaults!B$13, P7 &gt; Defaults!B$12, (P7+Q7) &gt; Defaults!B$13)),1,20)</f>
        <v>20</v>
      </c>
      <c r="L7" s="1" t="e">
        <f t="shared" ref="L7:L15" si="1">(J7*K7+L$6)-1</f>
        <v>#DIV/0!</v>
      </c>
      <c r="M7" s="1" t="b">
        <f t="shared" ref="M7:M15" si="2">(ISNUMBER(J7))</f>
        <v>0</v>
      </c>
      <c r="N7" s="42">
        <f t="shared" ref="N7:N15" si="3">E7</f>
        <v>1</v>
      </c>
      <c r="O7" s="42">
        <f>E6-E7</f>
        <v>-1</v>
      </c>
      <c r="P7" s="42">
        <f t="shared" ref="P7:P15" si="4">C7</f>
        <v>189</v>
      </c>
      <c r="Q7" s="42">
        <f>C6-C7</f>
        <v>59597</v>
      </c>
      <c r="R7" s="42">
        <f t="shared" ref="R7:R15" si="5">SUM(N7:Q7)</f>
        <v>59786</v>
      </c>
      <c r="S7" s="30">
        <f t="shared" ref="S7:S15" si="6">R7*((((N7*Q7)-(O7*P7))^2))</f>
        <v>213697033479656</v>
      </c>
      <c r="T7" s="30">
        <f t="shared" ref="T7:T15" si="7">(N7+O7)*(P7+Q7)*(N7+P7)*(O7+Q7)</f>
        <v>0</v>
      </c>
      <c r="U7" s="31" t="e">
        <f t="shared" ref="U7:U15" si="8">IF((S7&gt;0),S7/T7,"- -")</f>
        <v>#DIV/0!</v>
      </c>
    </row>
    <row r="8" spans="2:21" ht="18" customHeight="1">
      <c r="B8" s="32" t="str">
        <f>'Data Entry'!A8</f>
        <v>3. Refer to Juvenile Court</v>
      </c>
      <c r="C8" s="33">
        <f>'Data Entry'!C8</f>
        <v>549</v>
      </c>
      <c r="D8" s="34">
        <f>IF((AND(C67&gt;0,C8&gt;0)),(C8/C67),0)</f>
        <v>290.47619047619048</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1.05</v>
      </c>
      <c r="P8" s="42">
        <f t="shared" si="4"/>
        <v>549</v>
      </c>
      <c r="Q8" s="42">
        <f>(C$67*L67)-C8</f>
        <v>-360</v>
      </c>
      <c r="R8" s="42">
        <f t="shared" si="5"/>
        <v>190.04999999999995</v>
      </c>
      <c r="S8" s="30">
        <f t="shared" si="6"/>
        <v>63152589.205124989</v>
      </c>
      <c r="T8" s="30">
        <f t="shared" si="7"/>
        <v>-39107261.497500002</v>
      </c>
      <c r="U8" s="31">
        <f t="shared" si="8"/>
        <v>-1.6148558295027158</v>
      </c>
    </row>
    <row r="9" spans="2:21" ht="18" customHeight="1">
      <c r="B9" s="32" t="str">
        <f>'Data Entry'!A9</f>
        <v xml:space="preserve">4. Cases Diverted </v>
      </c>
      <c r="C9" s="33">
        <f>'Data Entry'!C9</f>
        <v>99</v>
      </c>
      <c r="D9" s="34">
        <f>IF((AND(C68&gt;0,C9&gt;0)),((C9/C68)),0)</f>
        <v>18.032786885245901</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99</v>
      </c>
      <c r="Q9" s="42">
        <f>(C$68*L68)-C9</f>
        <v>450</v>
      </c>
      <c r="R9" s="42">
        <f t="shared" si="5"/>
        <v>549</v>
      </c>
      <c r="S9" s="30">
        <f t="shared" si="6"/>
        <v>0</v>
      </c>
      <c r="T9" s="30">
        <f t="shared" si="7"/>
        <v>0</v>
      </c>
      <c r="U9" s="31" t="str">
        <f t="shared" si="8"/>
        <v>- -</v>
      </c>
    </row>
    <row r="10" spans="2:21" ht="18" customHeight="1">
      <c r="B10" s="32" t="str">
        <f>'Data Entry'!A10</f>
        <v>5. Cases Involving Secure Detention</v>
      </c>
      <c r="C10" s="33">
        <f>'Data Entry'!C10</f>
        <v>71</v>
      </c>
      <c r="D10" s="34">
        <f>IF(((AND(C68&gt;0,C10&gt;0))),(C10/(C68)),0)</f>
        <v>12.932604735883423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71</v>
      </c>
      <c r="Q10" s="42">
        <f>(C$68*L68)-C10</f>
        <v>478</v>
      </c>
      <c r="R10" s="42">
        <f t="shared" si="5"/>
        <v>549</v>
      </c>
      <c r="S10" s="30">
        <f t="shared" si="6"/>
        <v>0</v>
      </c>
      <c r="T10" s="30">
        <f t="shared" si="7"/>
        <v>0</v>
      </c>
      <c r="U10" s="31" t="str">
        <f t="shared" si="8"/>
        <v>- -</v>
      </c>
    </row>
    <row r="11" spans="2:21" ht="18" customHeight="1">
      <c r="B11" s="32" t="str">
        <f>'Data Entry'!A11</f>
        <v>6. Cases Petitioned (Charge Filed)</v>
      </c>
      <c r="C11" s="33">
        <f>'Data Entry'!C11</f>
        <v>549</v>
      </c>
      <c r="D11" s="34">
        <f>IF(((AND(C68&gt;0,C11&gt;0))),(C11/(C68)),0)</f>
        <v>100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549</v>
      </c>
      <c r="Q11" s="42">
        <f>(C$68*L68)-C11</f>
        <v>0</v>
      </c>
      <c r="R11" s="42">
        <f t="shared" si="5"/>
        <v>549</v>
      </c>
      <c r="S11" s="30">
        <f t="shared" si="6"/>
        <v>0</v>
      </c>
      <c r="T11" s="30">
        <f t="shared" si="7"/>
        <v>0</v>
      </c>
      <c r="U11" s="31" t="str">
        <f t="shared" si="8"/>
        <v>- -</v>
      </c>
    </row>
    <row r="12" spans="2:21" ht="18" customHeight="1">
      <c r="B12" s="32" t="str">
        <f>'Data Entry'!A12</f>
        <v>7. Cases Resulting in Delinquent Findings</v>
      </c>
      <c r="C12" s="33">
        <f>'Data Entry'!C12</f>
        <v>397</v>
      </c>
      <c r="D12" s="34">
        <f>IF(((AND(C69&gt;0,C12&gt;0))),(C12/(C69)),0)</f>
        <v>72.313296903460838</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397</v>
      </c>
      <c r="Q12" s="42">
        <f>(C69*L69)-C12</f>
        <v>152</v>
      </c>
      <c r="R12" s="42">
        <f t="shared" si="5"/>
        <v>549</v>
      </c>
      <c r="S12" s="30">
        <f t="shared" si="6"/>
        <v>0</v>
      </c>
      <c r="T12" s="30">
        <f t="shared" si="7"/>
        <v>0</v>
      </c>
      <c r="U12" s="31" t="str">
        <f t="shared" si="8"/>
        <v>- -</v>
      </c>
    </row>
    <row r="13" spans="2:21" ht="18" customHeight="1">
      <c r="B13" s="32" t="str">
        <f>'Data Entry'!A13</f>
        <v>8. Cases Resulting in Probation Placement</v>
      </c>
      <c r="C13" s="33">
        <f>'Data Entry'!C13</f>
        <v>397</v>
      </c>
      <c r="D13" s="34">
        <f>IF(((AND(C70&gt;0,C13&gt;0))),(C13/(C70)),0)</f>
        <v>100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397</v>
      </c>
      <c r="Q13" s="42">
        <f>(C70*L70)-C13</f>
        <v>0</v>
      </c>
      <c r="R13" s="42">
        <f t="shared" si="5"/>
        <v>397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0.75566750629722923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3</v>
      </c>
      <c r="Q14" s="42">
        <f>(C70*L70)-C14</f>
        <v>394</v>
      </c>
      <c r="R14" s="42">
        <f t="shared" si="5"/>
        <v>397</v>
      </c>
      <c r="S14" s="30">
        <f t="shared" si="6"/>
        <v>0</v>
      </c>
      <c r="T14" s="30">
        <f t="shared" si="7"/>
        <v>0</v>
      </c>
      <c r="U14" s="31" t="str">
        <f t="shared" si="8"/>
        <v>- -</v>
      </c>
    </row>
    <row r="15" spans="2:21" ht="15.75" customHeight="1">
      <c r="B15" s="32" t="str">
        <f>'Data Entry'!A15</f>
        <v xml:space="preserve">10. Cases Transferred to Adult Court </v>
      </c>
      <c r="C15" s="33">
        <f>'Data Entry'!C15</f>
        <v>1</v>
      </c>
      <c r="D15" s="34">
        <f>IF(((AND(C69&gt;0,C15&gt;0))),((C15/(C69))),0)</f>
        <v>0.18214936247723132</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548</v>
      </c>
      <c r="R15" s="42">
        <f t="shared" si="5"/>
        <v>549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59.786000000000001</v>
      </c>
      <c r="D42" s="56">
        <f>E6/1000</f>
        <v>0</v>
      </c>
      <c r="E42" s="56">
        <f>MAX(C42:D42)</f>
        <v>59.786000000000001</v>
      </c>
      <c r="G42" s="1" t="str">
        <f>B42</f>
        <v>per 1000 youth</v>
      </c>
      <c r="L42" s="57">
        <v>1000</v>
      </c>
      <c r="M42" s="57"/>
      <c r="R42" s="49"/>
    </row>
    <row r="43" spans="2:18" ht="15" hidden="1" customHeight="1">
      <c r="B43" s="49" t="s">
        <v>87</v>
      </c>
      <c r="C43" s="56">
        <f>C7/100</f>
        <v>1.89</v>
      </c>
      <c r="D43" s="56">
        <f>E7/100</f>
        <v>0.01</v>
      </c>
      <c r="E43" s="56">
        <f>MAX(C43:D43,0)</f>
        <v>1.89</v>
      </c>
      <c r="G43" s="1" t="str">
        <f>B43</f>
        <v>per 100 arrests</v>
      </c>
      <c r="L43" s="57">
        <v>100</v>
      </c>
      <c r="M43" s="57"/>
      <c r="R43" s="49"/>
    </row>
    <row r="44" spans="2:18" ht="15" hidden="1" customHeight="1">
      <c r="B44" s="49" t="s">
        <v>88</v>
      </c>
      <c r="C44" s="56">
        <f>C8/100</f>
        <v>5.49</v>
      </c>
      <c r="D44" s="56">
        <f>E8/100</f>
        <v>0</v>
      </c>
      <c r="E44" s="56">
        <f>MAX(C44:D44,0)</f>
        <v>5.49</v>
      </c>
      <c r="G44" s="1" t="str">
        <f>B44</f>
        <v>per 100 referrals</v>
      </c>
      <c r="L44" s="57">
        <v>100</v>
      </c>
      <c r="M44" s="57"/>
      <c r="R44" s="49"/>
    </row>
    <row r="45" spans="2:18" ht="15" hidden="1" customHeight="1">
      <c r="B45" s="49" t="s">
        <v>89</v>
      </c>
      <c r="C45" s="49">
        <f>C11/100</f>
        <v>5.49</v>
      </c>
      <c r="D45" s="49">
        <f>E11/100</f>
        <v>0</v>
      </c>
      <c r="E45" s="56">
        <f>MAX(C45:D45,0)</f>
        <v>5.49</v>
      </c>
      <c r="G45" s="1" t="str">
        <f>B45</f>
        <v>per 100 youth petitioned</v>
      </c>
      <c r="L45" s="57">
        <v>100</v>
      </c>
      <c r="M45" s="57"/>
      <c r="R45" s="49"/>
    </row>
    <row r="46" spans="2:18" ht="15" hidden="1" customHeight="1">
      <c r="B46" s="49" t="s">
        <v>90</v>
      </c>
      <c r="C46" s="49">
        <f>C12/100</f>
        <v>3.97</v>
      </c>
      <c r="D46" s="49">
        <f>E12/100</f>
        <v>0</v>
      </c>
      <c r="E46" s="56">
        <f>MAX(C46:D46)</f>
        <v>3.97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59.786000000000001</v>
      </c>
      <c r="D48" s="56">
        <f>D42</f>
        <v>0</v>
      </c>
      <c r="E48" s="56">
        <f>MAX(C48:D48)</f>
        <v>59.786000000000001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1.89</v>
      </c>
      <c r="D49" s="49">
        <f t="shared" si="9"/>
        <v>0.01</v>
      </c>
      <c r="E49" s="49">
        <f>MAX(C49:D49)</f>
        <v>1.89</v>
      </c>
      <c r="G49" s="1" t="str">
        <f>G43</f>
        <v>per 100 arrests</v>
      </c>
      <c r="L49" s="58">
        <f>IF(($E43&gt;0),L43,L42)</f>
        <v>100</v>
      </c>
      <c r="M49" s="58"/>
      <c r="N49" s="21"/>
      <c r="O49" s="21"/>
      <c r="P49" s="21"/>
      <c r="Q49" s="21"/>
      <c r="R49" s="21"/>
    </row>
    <row r="50" spans="2:18" ht="15" hidden="1" customHeight="1">
      <c r="B50" s="49" t="str">
        <f t="shared" si="9"/>
        <v>per 100 referrals</v>
      </c>
      <c r="C50" s="49">
        <f t="shared" si="9"/>
        <v>5.49</v>
      </c>
      <c r="D50" s="49">
        <f t="shared" si="9"/>
        <v>0</v>
      </c>
      <c r="E50" s="49">
        <f>MAX(C50:D50)</f>
        <v>5.49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5.49</v>
      </c>
      <c r="D51" s="49">
        <f>IF(($E45&gt;0),D45,D44)</f>
        <v>0</v>
      </c>
      <c r="E51" s="49">
        <f>MAX(C51:D51)</f>
        <v>5.49</v>
      </c>
      <c r="G51" s="1" t="str">
        <f>G45</f>
        <v>per 100 youth petitioned</v>
      </c>
      <c r="L51" s="58">
        <f>IF(($E45&gt;0),L45,L44)</f>
        <v>100</v>
      </c>
      <c r="M51" s="58"/>
    </row>
    <row r="52" spans="2:18" ht="15" hidden="1" customHeight="1">
      <c r="B52" s="49" t="str">
        <f>IF(($E46&gt;0),B46,B45)</f>
        <v>per 100 youth found delinquent</v>
      </c>
      <c r="C52" s="49">
        <f>IF(($E46&gt;0),C46,C45)</f>
        <v>3.97</v>
      </c>
      <c r="D52" s="49">
        <f>IF(($E46&gt;0),D46,D45)</f>
        <v>0</v>
      </c>
      <c r="E52" s="56">
        <f>MAX(C52:D52)</f>
        <v>3.97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59.786000000000001</v>
      </c>
      <c r="D54" s="56">
        <f>D48</f>
        <v>0</v>
      </c>
      <c r="E54" s="56">
        <f>MAX(C54:D54)</f>
        <v>59.786000000000001</v>
      </c>
      <c r="G54" s="1" t="str">
        <f>G48</f>
        <v>per 1000 youth</v>
      </c>
      <c r="L54" s="58">
        <f>L48</f>
        <v>1000</v>
      </c>
      <c r="M54" s="58"/>
    </row>
    <row r="55" spans="2:18" ht="15" hidden="1" customHeight="1">
      <c r="B55" s="49" t="str">
        <f t="shared" ref="B55:D56" si="10">IF(($E49&gt;0),B49,B48)</f>
        <v>per 100 arrests</v>
      </c>
      <c r="C55" s="49">
        <f t="shared" si="10"/>
        <v>1.89</v>
      </c>
      <c r="D55" s="49">
        <f t="shared" si="10"/>
        <v>0.01</v>
      </c>
      <c r="E55" s="49">
        <f>MAX(C55:D55)</f>
        <v>1.89</v>
      </c>
      <c r="G55" s="1" t="str">
        <f>G49</f>
        <v>per 100 arrests</v>
      </c>
      <c r="L55" s="58">
        <f>IF(($E49&gt;0),L49,L48)</f>
        <v>100</v>
      </c>
      <c r="M55" s="58"/>
    </row>
    <row r="56" spans="2:18" ht="15" hidden="1" customHeight="1">
      <c r="B56" s="49" t="str">
        <f t="shared" si="10"/>
        <v>per 100 referrals</v>
      </c>
      <c r="C56" s="49">
        <f t="shared" si="10"/>
        <v>5.49</v>
      </c>
      <c r="D56" s="49">
        <f t="shared" si="10"/>
        <v>0</v>
      </c>
      <c r="E56" s="49">
        <f>MAX(C56:D56)</f>
        <v>5.49</v>
      </c>
      <c r="G56" s="1" t="str">
        <f>G50</f>
        <v>per 100 referrals</v>
      </c>
      <c r="L56" s="58">
        <f>IF(($E50&gt;0),L50,L49)</f>
        <v>100</v>
      </c>
      <c r="M56" s="58"/>
    </row>
    <row r="57" spans="2:18" ht="15" hidden="1" customHeight="1">
      <c r="B57" s="49" t="str">
        <f>IF(($E51&gt;0),B51,B49)</f>
        <v>per 100 youth petitioned</v>
      </c>
      <c r="C57" s="49">
        <f>IF(($E51&gt;0),C51,C50)</f>
        <v>5.49</v>
      </c>
      <c r="D57" s="49">
        <f>IF(($E51&gt;0),D51,D50)</f>
        <v>0</v>
      </c>
      <c r="E57" s="49">
        <f>MAX(C57:D57)</f>
        <v>5.49</v>
      </c>
      <c r="G57" s="1" t="str">
        <f>G51</f>
        <v>per 100 youth petitioned</v>
      </c>
      <c r="L57" s="58">
        <f>IF(($E51&gt;0),L51,L50)</f>
        <v>100</v>
      </c>
      <c r="M57" s="58"/>
    </row>
    <row r="58" spans="2:18" ht="15" hidden="1" customHeight="1">
      <c r="B58" s="49" t="str">
        <f>IF(($E52&gt;0),B52,B51)</f>
        <v>per 100 youth found delinquent</v>
      </c>
      <c r="C58" s="49">
        <f>IF(($E52&gt;0),C52,C51)</f>
        <v>3.97</v>
      </c>
      <c r="D58" s="49">
        <f>IF(($E52&gt;0),D52,D51)</f>
        <v>0</v>
      </c>
      <c r="E58" s="56">
        <f>MAX(C58:D58)</f>
        <v>3.97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59.786000000000001</v>
      </c>
      <c r="D60" s="56">
        <f>D54</f>
        <v>0</v>
      </c>
      <c r="E60" s="56">
        <f>MAX(C60:D60)</f>
        <v>59.786000000000001</v>
      </c>
      <c r="G60" s="1" t="str">
        <f>G54</f>
        <v>per 1000 youth</v>
      </c>
      <c r="L60" s="58">
        <f>L54</f>
        <v>1000</v>
      </c>
      <c r="M60" s="58"/>
    </row>
    <row r="61" spans="2:18" ht="15" hidden="1" customHeight="1">
      <c r="B61" s="49" t="str">
        <f t="shared" ref="B61:D62" si="11">IF(($E55&gt;0),B55,B54)</f>
        <v>per 100 arrests</v>
      </c>
      <c r="C61" s="49">
        <f t="shared" si="11"/>
        <v>1.89</v>
      </c>
      <c r="D61" s="49">
        <f t="shared" si="11"/>
        <v>0.01</v>
      </c>
      <c r="E61" s="49">
        <f>MAX(C61:D61)</f>
        <v>1.89</v>
      </c>
      <c r="G61" s="1" t="str">
        <f>G55</f>
        <v>per 100 arrests</v>
      </c>
      <c r="L61" s="58">
        <f>IF(($E55&gt;0),L55,L54)</f>
        <v>100</v>
      </c>
      <c r="M61" s="58"/>
    </row>
    <row r="62" spans="2:18" ht="15" hidden="1" customHeight="1">
      <c r="B62" s="49" t="str">
        <f t="shared" si="11"/>
        <v>per 100 referrals</v>
      </c>
      <c r="C62" s="49">
        <f t="shared" si="11"/>
        <v>5.49</v>
      </c>
      <c r="D62" s="49">
        <f t="shared" si="11"/>
        <v>0</v>
      </c>
      <c r="E62" s="49">
        <f>MAX(C62:D62)</f>
        <v>5.49</v>
      </c>
      <c r="G62" s="1" t="str">
        <f>G56</f>
        <v>per 100 referrals</v>
      </c>
      <c r="L62" s="58">
        <f>IF(($E56&gt;0),L56,L55)</f>
        <v>100</v>
      </c>
      <c r="M62" s="58"/>
    </row>
    <row r="63" spans="2:18" ht="15" hidden="1" customHeight="1">
      <c r="B63" s="49" t="str">
        <f>IF(($E57&gt;0),B57,B55)</f>
        <v>per 100 youth petitioned</v>
      </c>
      <c r="C63" s="49">
        <f>IF(($E57&gt;0),C57,C56)</f>
        <v>5.49</v>
      </c>
      <c r="D63" s="49">
        <f>IF(($E57&gt;0),D57,D56)</f>
        <v>0</v>
      </c>
      <c r="E63" s="49">
        <f>MAX(C63:D63)</f>
        <v>5.49</v>
      </c>
      <c r="G63" s="1" t="str">
        <f>G57</f>
        <v>per 100 youth petitioned</v>
      </c>
      <c r="L63" s="58">
        <f>IF(($E57&gt;0),L57,L56)</f>
        <v>100</v>
      </c>
      <c r="M63" s="58"/>
    </row>
    <row r="64" spans="2:18" ht="15" hidden="1" customHeight="1">
      <c r="B64" s="49" t="str">
        <f>IF(($E58&gt;0),B58,B57)</f>
        <v>per 100 youth found delinquent</v>
      </c>
      <c r="C64" s="49">
        <f>IF(($E58&gt;0),C58,C57)</f>
        <v>3.97</v>
      </c>
      <c r="D64" s="49">
        <f>IF(($E58&gt;0),D58,D57)</f>
        <v>0</v>
      </c>
      <c r="E64" s="56">
        <f>MAX(C64:D64)</f>
        <v>3.97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59.786000000000001</v>
      </c>
      <c r="D66" s="56">
        <f>D60</f>
        <v>0</v>
      </c>
      <c r="E66" s="56">
        <f>MAX(C66:D66)</f>
        <v>59.786000000000001</v>
      </c>
      <c r="G66" s="1" t="str">
        <f>G60</f>
        <v>per 1000 youth</v>
      </c>
      <c r="L66" s="58">
        <f>L60</f>
        <v>1000</v>
      </c>
      <c r="M66" s="58">
        <f>IF((B66=G66),1,2)</f>
        <v>1</v>
      </c>
    </row>
    <row r="67" spans="2:13" ht="15" hidden="1" customHeight="1">
      <c r="B67" s="49" t="str">
        <f t="shared" ref="B67:D68" si="12">IF(($E61&gt;0),B61,B60)</f>
        <v>per 100 arrests</v>
      </c>
      <c r="C67" s="49">
        <f t="shared" si="12"/>
        <v>1.89</v>
      </c>
      <c r="D67" s="49">
        <f t="shared" si="12"/>
        <v>0.01</v>
      </c>
      <c r="E67" s="49">
        <f>MAX(C67:D67)</f>
        <v>1.89</v>
      </c>
      <c r="G67" s="1" t="str">
        <f>G61</f>
        <v>per 100 arrests</v>
      </c>
      <c r="L67" s="58">
        <f>IF(($E61&gt;0),L61,L60)</f>
        <v>100</v>
      </c>
      <c r="M67" s="58">
        <f>IF((B67=G67),1,2)</f>
        <v>1</v>
      </c>
    </row>
    <row r="68" spans="2:13" ht="15" hidden="1" customHeight="1">
      <c r="B68" s="49" t="str">
        <f t="shared" si="12"/>
        <v>per 100 referrals</v>
      </c>
      <c r="C68" s="49">
        <f t="shared" si="12"/>
        <v>5.49</v>
      </c>
      <c r="D68" s="49">
        <f t="shared" si="12"/>
        <v>0</v>
      </c>
      <c r="E68" s="49">
        <f>MAX(C68:D68)</f>
        <v>5.49</v>
      </c>
      <c r="G68" s="1" t="str">
        <f>G62</f>
        <v>per 100 referrals</v>
      </c>
      <c r="L68" s="58">
        <f>IF(($E62&gt;0),L62,L61)</f>
        <v>100</v>
      </c>
      <c r="M68" s="58">
        <f>IF((B68=G68),1,2)</f>
        <v>1</v>
      </c>
    </row>
    <row r="69" spans="2:13" ht="15" hidden="1" customHeight="1">
      <c r="B69" s="49" t="str">
        <f>IF(($E63&gt;0),B63,B61)</f>
        <v>per 100 youth petitioned</v>
      </c>
      <c r="C69" s="49">
        <f>IF(($E63&gt;0),C63,C62)</f>
        <v>5.49</v>
      </c>
      <c r="D69" s="49">
        <f>IF(($E63&gt;0),D63,D62)</f>
        <v>0</v>
      </c>
      <c r="E69" s="49">
        <f>MAX(C69:D69)</f>
        <v>5.49</v>
      </c>
      <c r="G69" s="1" t="str">
        <f>G63</f>
        <v>per 100 youth petitioned</v>
      </c>
      <c r="L69" s="58">
        <f>IF(($E63&gt;0),L63,L62)</f>
        <v>100</v>
      </c>
      <c r="M69" s="58">
        <f>IF((B69=G69),1,2)</f>
        <v>1</v>
      </c>
    </row>
    <row r="70" spans="2:13" ht="15" hidden="1" customHeight="1">
      <c r="B70" s="49" t="str">
        <f>IF(($E64&gt;0),B64,B63)</f>
        <v>per 100 youth found delinquent</v>
      </c>
      <c r="C70" s="49">
        <f>IF(($E64&gt;0),C64,C63)</f>
        <v>3.97</v>
      </c>
      <c r="D70" s="49">
        <f>IF(($E64&gt;0),D64,D63)</f>
        <v>0</v>
      </c>
      <c r="E70" s="56">
        <f>MAX(C70:D70)</f>
        <v>3.97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Macomb</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59786</v>
      </c>
      <c r="D6" s="34"/>
      <c r="E6" s="33">
        <f>'Data Entry'!H6</f>
        <v>329</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189</v>
      </c>
      <c r="D7" s="34">
        <f>IF((AND(C66&gt;0,C7&gt;0)),(C7/C66),0)</f>
        <v>3.1612752149332617</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329</v>
      </c>
      <c r="P7" s="42">
        <f t="shared" ref="P7:P15" si="4">C7</f>
        <v>189</v>
      </c>
      <c r="Q7" s="42">
        <f>C6-C7</f>
        <v>59597</v>
      </c>
      <c r="R7" s="42">
        <f t="shared" ref="R7:R15" si="5">SUM(N7:Q7)</f>
        <v>60115</v>
      </c>
      <c r="S7" s="30">
        <f t="shared" ref="S7:S15" si="6">R7*((((N7*Q7)-(O7*P7))^2))</f>
        <v>232433250487515</v>
      </c>
      <c r="T7" s="30">
        <f t="shared" ref="T7:T15" si="7">(N7+O7)*(P7+Q7)*(N7+P7)*(O7+Q7)</f>
        <v>222778097018316</v>
      </c>
      <c r="U7" s="31">
        <f t="shared" ref="U7:U15" si="8">IF((S7&gt;0),S7/T7,"- -")</f>
        <v>1.0433397789029735</v>
      </c>
    </row>
    <row r="8" spans="2:21" ht="18" customHeight="1">
      <c r="B8" s="32" t="str">
        <f>'Data Entry'!A8</f>
        <v>3. Refer to Juvenile Court</v>
      </c>
      <c r="C8" s="33">
        <f>'Data Entry'!C8</f>
        <v>549</v>
      </c>
      <c r="D8" s="34">
        <f>IF((AND(C67&gt;0,C8&gt;0)),(C8/C67),0)</f>
        <v>290.47619047619048</v>
      </c>
      <c r="E8" s="33">
        <f>'Data Entry'!H8</f>
        <v>4</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4</v>
      </c>
      <c r="O8" s="42">
        <f>((D67*L67)-E8)+0.05</f>
        <v>-3.95</v>
      </c>
      <c r="P8" s="42">
        <f t="shared" si="4"/>
        <v>549</v>
      </c>
      <c r="Q8" s="42">
        <f>(C$67*L67)-C8</f>
        <v>-360</v>
      </c>
      <c r="R8" s="42">
        <f t="shared" si="5"/>
        <v>189.04999999999995</v>
      </c>
      <c r="S8" s="30">
        <f t="shared" si="6"/>
        <v>100344923.62762503</v>
      </c>
      <c r="T8" s="30">
        <f t="shared" si="7"/>
        <v>-1901948.1074999934</v>
      </c>
      <c r="U8" s="31">
        <f t="shared" si="8"/>
        <v>-52.759022831344723</v>
      </c>
    </row>
    <row r="9" spans="2:21" ht="18" customHeight="1">
      <c r="B9" s="32" t="str">
        <f>'Data Entry'!A9</f>
        <v xml:space="preserve">4. Cases Diverted </v>
      </c>
      <c r="C9" s="33">
        <f>'Data Entry'!C9</f>
        <v>99</v>
      </c>
      <c r="D9" s="34">
        <f>IF((AND(C68&gt;0,C9&gt;0)),((C9/C68)),0)</f>
        <v>18.032786885245901</v>
      </c>
      <c r="E9" s="33">
        <f>'Data Entry'!H9</f>
        <v>0</v>
      </c>
      <c r="F9" s="34">
        <f>IF((AND($E$9&gt;0,$D$68&gt;0)),(($E$9/$D$68)),0)</f>
        <v>0</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0</v>
      </c>
      <c r="O9" s="42">
        <f>(D$68*L68)-E9</f>
        <v>4</v>
      </c>
      <c r="P9" s="42">
        <f t="shared" si="4"/>
        <v>99</v>
      </c>
      <c r="Q9" s="42">
        <f>(C$68*L68)-C9</f>
        <v>450</v>
      </c>
      <c r="R9" s="42">
        <f t="shared" si="5"/>
        <v>553</v>
      </c>
      <c r="S9" s="30">
        <f t="shared" si="6"/>
        <v>86719248</v>
      </c>
      <c r="T9" s="30">
        <f t="shared" si="7"/>
        <v>98701416</v>
      </c>
      <c r="U9" s="31">
        <f t="shared" si="8"/>
        <v>0.87860186321946987</v>
      </c>
    </row>
    <row r="10" spans="2:21" ht="18" customHeight="1">
      <c r="B10" s="32" t="str">
        <f>'Data Entry'!A10</f>
        <v>5. Cases Involving Secure Detention</v>
      </c>
      <c r="C10" s="33">
        <f>'Data Entry'!C10</f>
        <v>71</v>
      </c>
      <c r="D10" s="34">
        <f>IF(((AND(C68&gt;0,C10&gt;0))),(C10/(C68)),0)</f>
        <v>12.932604735883423</v>
      </c>
      <c r="E10" s="33">
        <f>'Data Entry'!H10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4</v>
      </c>
      <c r="P10" s="42">
        <f t="shared" si="4"/>
        <v>71</v>
      </c>
      <c r="Q10" s="42">
        <f>(C$68*L68)-C10</f>
        <v>478</v>
      </c>
      <c r="R10" s="42">
        <f t="shared" si="5"/>
        <v>553</v>
      </c>
      <c r="S10" s="30">
        <f t="shared" si="6"/>
        <v>44602768</v>
      </c>
      <c r="T10" s="30">
        <f t="shared" si="7"/>
        <v>75151512</v>
      </c>
      <c r="U10" s="31">
        <f t="shared" si="8"/>
        <v>0.5935045990824509</v>
      </c>
    </row>
    <row r="11" spans="2:21" ht="18" customHeight="1">
      <c r="B11" s="32" t="str">
        <f>'Data Entry'!A11</f>
        <v>6. Cases Petitioned (Charge Filed)</v>
      </c>
      <c r="C11" s="33">
        <f>'Data Entry'!C11</f>
        <v>549</v>
      </c>
      <c r="D11" s="34">
        <f>IF(((AND(C68&gt;0,C11&gt;0))),(C11/(C68)),0)</f>
        <v>100</v>
      </c>
      <c r="E11" s="33">
        <f>'Data Entry'!H11</f>
        <v>4</v>
      </c>
      <c r="F11" s="34">
        <f>IF(((AND($E$11&gt;0,$D$68&gt;0))),($E$11/($D$68)),0)</f>
        <v>100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4</v>
      </c>
      <c r="O11" s="42">
        <f>(D$68*L68)-E11</f>
        <v>0</v>
      </c>
      <c r="P11" s="42">
        <f t="shared" si="4"/>
        <v>549</v>
      </c>
      <c r="Q11" s="42">
        <f>(C$68*L68)-C11</f>
        <v>0</v>
      </c>
      <c r="R11" s="42">
        <f t="shared" si="5"/>
        <v>553</v>
      </c>
      <c r="S11" s="30">
        <f t="shared" si="6"/>
        <v>0</v>
      </c>
      <c r="T11" s="30">
        <f t="shared" si="7"/>
        <v>0</v>
      </c>
      <c r="U11" s="31" t="str">
        <f t="shared" si="8"/>
        <v>- -</v>
      </c>
    </row>
    <row r="12" spans="2:21" ht="18" customHeight="1">
      <c r="B12" s="32" t="str">
        <f>'Data Entry'!A12</f>
        <v>7. Cases Resulting in Delinquent Findings</v>
      </c>
      <c r="C12" s="33">
        <f>'Data Entry'!C12</f>
        <v>397</v>
      </c>
      <c r="D12" s="34">
        <f>IF(((AND(C69&gt;0,C12&gt;0))),(C12/(C69)),0)</f>
        <v>72.313296903460838</v>
      </c>
      <c r="E12" s="33">
        <f>'Data Entry'!H12</f>
        <v>2</v>
      </c>
      <c r="F12" s="34">
        <f>IF(((AND($D$69&gt;0,$E$12&gt;0))),(E12/(D69)),0)</f>
        <v>50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2</v>
      </c>
      <c r="O12" s="42">
        <f>(D69*L69)-E12</f>
        <v>2</v>
      </c>
      <c r="P12" s="42">
        <f t="shared" si="4"/>
        <v>397</v>
      </c>
      <c r="Q12" s="42">
        <f>(C69*L69)-C12</f>
        <v>152</v>
      </c>
      <c r="R12" s="42">
        <f t="shared" si="5"/>
        <v>553</v>
      </c>
      <c r="S12" s="30">
        <f t="shared" si="6"/>
        <v>132775300</v>
      </c>
      <c r="T12" s="30">
        <f t="shared" si="7"/>
        <v>134935416</v>
      </c>
      <c r="U12" s="31">
        <f t="shared" si="8"/>
        <v>0.98399148226585675</v>
      </c>
    </row>
    <row r="13" spans="2:21" ht="18" customHeight="1">
      <c r="B13" s="32" t="str">
        <f>'Data Entry'!A13</f>
        <v>8. Cases Resulting in Probation Placement</v>
      </c>
      <c r="C13" s="33">
        <f>'Data Entry'!C13</f>
        <v>397</v>
      </c>
      <c r="D13" s="34">
        <f>IF(((AND(C70&gt;0,C13&gt;0))),(C13/(C70)),0)</f>
        <v>100</v>
      </c>
      <c r="E13" s="33">
        <f>'Data Entry'!H13</f>
        <v>2</v>
      </c>
      <c r="F13" s="34">
        <f>IF(((AND($D$70&gt;0,$E$13&gt;0))),($E$13/($D$70)),0)</f>
        <v>100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2</v>
      </c>
      <c r="O13" s="42">
        <f>(D70*L70)-E13</f>
        <v>0</v>
      </c>
      <c r="P13" s="42">
        <f t="shared" si="4"/>
        <v>397</v>
      </c>
      <c r="Q13" s="42">
        <f>(C70*L70)-C13</f>
        <v>0</v>
      </c>
      <c r="R13" s="42">
        <f t="shared" si="5"/>
        <v>399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3</v>
      </c>
      <c r="D14" s="34">
        <f>IF(((AND(C70&gt;0,C14&gt;0))), ((C14/(C70))),0)</f>
        <v>0.75566750629722923</v>
      </c>
      <c r="E14" s="33">
        <f>'Data Entry'!H14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2</v>
      </c>
      <c r="P14" s="42">
        <f t="shared" si="4"/>
        <v>3</v>
      </c>
      <c r="Q14" s="42">
        <f>(C70*L70)-C14</f>
        <v>394</v>
      </c>
      <c r="R14" s="42">
        <f t="shared" si="5"/>
        <v>399</v>
      </c>
      <c r="S14" s="30">
        <f t="shared" si="6"/>
        <v>14364</v>
      </c>
      <c r="T14" s="30">
        <f t="shared" si="7"/>
        <v>943272</v>
      </c>
      <c r="U14" s="31">
        <f t="shared" si="8"/>
        <v>1.5227845202656286E-2</v>
      </c>
    </row>
    <row r="15" spans="2:21" ht="15.75" customHeight="1">
      <c r="B15" s="32" t="str">
        <f>'Data Entry'!A15</f>
        <v xml:space="preserve">10. Cases Transferred to Adult Court </v>
      </c>
      <c r="C15" s="33">
        <f>'Data Entry'!C15</f>
        <v>1</v>
      </c>
      <c r="D15" s="34">
        <f>IF(((AND(C69&gt;0,C15&gt;0))),((C15/(C69))),0)</f>
        <v>0.18214936247723132</v>
      </c>
      <c r="E15" s="33">
        <f>'Data Entry'!H15</f>
        <v>0</v>
      </c>
      <c r="F15" s="34">
        <f>IF(((AND($D$69&gt;0,$E$15&gt;0))),(($E$15/($D$69))),0)</f>
        <v>0</v>
      </c>
      <c r="G15" s="39" t="str">
        <f t="shared" si="0"/>
        <v>*</v>
      </c>
      <c r="H15" s="40"/>
      <c r="I15" s="41"/>
      <c r="J15" s="40">
        <f>IF((ABS($U15)&gt;Defaults!D$7),1,2)</f>
        <v>2</v>
      </c>
      <c r="K15" s="39">
        <f>IF((AND(N15&gt;Defaults!B$12,(N15+O15)&gt;Defaults!B$13, P15 &gt; Defaults!B$12, (P15+Q15) &gt; Defaults!B$13)),1,20)</f>
        <v>20</v>
      </c>
      <c r="L15" s="1">
        <f t="shared" si="1"/>
        <v>139</v>
      </c>
      <c r="M15" s="1" t="b">
        <f t="shared" si="2"/>
        <v>1</v>
      </c>
      <c r="N15" s="42">
        <f t="shared" si="3"/>
        <v>0</v>
      </c>
      <c r="O15" s="42">
        <f>(D69*L69)-E15</f>
        <v>4</v>
      </c>
      <c r="P15" s="42">
        <f t="shared" si="4"/>
        <v>1</v>
      </c>
      <c r="Q15" s="42">
        <f>(C69*L69)-C15</f>
        <v>548</v>
      </c>
      <c r="R15" s="42">
        <f t="shared" si="5"/>
        <v>553</v>
      </c>
      <c r="S15" s="30">
        <f t="shared" si="6"/>
        <v>8848</v>
      </c>
      <c r="T15" s="30">
        <f t="shared" si="7"/>
        <v>1212192</v>
      </c>
      <c r="U15" s="31">
        <f t="shared" si="8"/>
        <v>7.2991737282542702E-3</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59.786000000000001</v>
      </c>
      <c r="D42" s="56">
        <f>E6/1000</f>
        <v>0.32900000000000001</v>
      </c>
      <c r="E42" s="56">
        <f>MAX(C42:D42)</f>
        <v>59.786000000000001</v>
      </c>
      <c r="G42" s="1" t="str">
        <f>B42</f>
        <v>per 1000 youth</v>
      </c>
      <c r="L42" s="57">
        <v>1000</v>
      </c>
      <c r="M42" s="57"/>
      <c r="R42" s="49"/>
    </row>
    <row r="43" spans="2:18" ht="15" hidden="1" customHeight="1">
      <c r="B43" s="49" t="s">
        <v>87</v>
      </c>
      <c r="C43" s="56">
        <f>C7/100</f>
        <v>1.89</v>
      </c>
      <c r="D43" s="56">
        <f>E7/100</f>
        <v>0</v>
      </c>
      <c r="E43" s="56">
        <f>MAX(C43:D43,0)</f>
        <v>1.89</v>
      </c>
      <c r="G43" s="1" t="str">
        <f>B43</f>
        <v>per 100 arrests</v>
      </c>
      <c r="L43" s="57">
        <v>100</v>
      </c>
      <c r="M43" s="57"/>
      <c r="R43" s="49"/>
    </row>
    <row r="44" spans="2:18" ht="15" hidden="1" customHeight="1">
      <c r="B44" s="49" t="s">
        <v>88</v>
      </c>
      <c r="C44" s="56">
        <f>C8/100</f>
        <v>5.49</v>
      </c>
      <c r="D44" s="56">
        <f>E8/100</f>
        <v>0.04</v>
      </c>
      <c r="E44" s="56">
        <f>MAX(C44:D44,0)</f>
        <v>5.49</v>
      </c>
      <c r="G44" s="1" t="str">
        <f>B44</f>
        <v>per 100 referrals</v>
      </c>
      <c r="L44" s="57">
        <v>100</v>
      </c>
      <c r="M44" s="57"/>
      <c r="R44" s="49"/>
    </row>
    <row r="45" spans="2:18" ht="15" hidden="1" customHeight="1">
      <c r="B45" s="49" t="s">
        <v>89</v>
      </c>
      <c r="C45" s="49">
        <f>C11/100</f>
        <v>5.49</v>
      </c>
      <c r="D45" s="49">
        <f>E11/100</f>
        <v>0.04</v>
      </c>
      <c r="E45" s="56">
        <f>MAX(C45:D45,0)</f>
        <v>5.49</v>
      </c>
      <c r="G45" s="1" t="str">
        <f>B45</f>
        <v>per 100 youth petitioned</v>
      </c>
      <c r="L45" s="57">
        <v>100</v>
      </c>
      <c r="M45" s="57"/>
      <c r="R45" s="49"/>
    </row>
    <row r="46" spans="2:18" ht="15" hidden="1" customHeight="1">
      <c r="B46" s="49" t="s">
        <v>90</v>
      </c>
      <c r="C46" s="49">
        <f>C12/100</f>
        <v>3.97</v>
      </c>
      <c r="D46" s="49">
        <f>E12/100</f>
        <v>0.02</v>
      </c>
      <c r="E46" s="56">
        <f>MAX(C46:D46)</f>
        <v>3.97</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59.786000000000001</v>
      </c>
      <c r="D48" s="56">
        <f>D42</f>
        <v>0.32900000000000001</v>
      </c>
      <c r="E48" s="56">
        <f>MAX(C48:D48)</f>
        <v>59.786000000000001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1.89</v>
      </c>
      <c r="D49" s="49">
        <f t="shared" si="9"/>
        <v>0</v>
      </c>
      <c r="E49" s="49">
        <f>MAX(C49:D49)</f>
        <v>1.89</v>
      </c>
      <c r="G49" s="1" t="str">
        <f>G43</f>
        <v>per 100 arrests</v>
      </c>
      <c r="L49" s="58">
        <f>IF(($E43&gt;0),L43,L42)</f>
        <v>100</v>
      </c>
      <c r="M49" s="58"/>
      <c r="N49" s="21"/>
      <c r="O49" s="21"/>
      <c r="P49" s="21"/>
      <c r="Q49" s="21"/>
      <c r="R49" s="21"/>
    </row>
    <row r="50" spans="2:18" ht="15" hidden="1" customHeight="1">
      <c r="B50" s="49" t="str">
        <f t="shared" si="9"/>
        <v>per 100 referrals</v>
      </c>
      <c r="C50" s="49">
        <f t="shared" si="9"/>
        <v>5.49</v>
      </c>
      <c r="D50" s="49">
        <f t="shared" si="9"/>
        <v>0.04</v>
      </c>
      <c r="E50" s="49">
        <f>MAX(C50:D50)</f>
        <v>5.49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5.49</v>
      </c>
      <c r="D51" s="49">
        <f>IF(($E45&gt;0),D45,D44)</f>
        <v>0.04</v>
      </c>
      <c r="E51" s="49">
        <f>MAX(C51:D51)</f>
        <v>5.49</v>
      </c>
      <c r="G51" s="1" t="str">
        <f>G45</f>
        <v>per 100 youth petitioned</v>
      </c>
      <c r="L51" s="58">
        <f>IF(($E45&gt;0),L45,L44)</f>
        <v>100</v>
      </c>
      <c r="M51" s="58"/>
    </row>
    <row r="52" spans="2:18" ht="15" hidden="1" customHeight="1">
      <c r="B52" s="49" t="str">
        <f>IF(($E46&gt;0),B46,B45)</f>
        <v>per 100 youth found delinquent</v>
      </c>
      <c r="C52" s="49">
        <f>IF(($E46&gt;0),C46,C45)</f>
        <v>3.97</v>
      </c>
      <c r="D52" s="49">
        <f>IF(($E46&gt;0),D46,D45)</f>
        <v>0.02</v>
      </c>
      <c r="E52" s="56">
        <f>MAX(C52:D52)</f>
        <v>3.97</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59.786000000000001</v>
      </c>
      <c r="D54" s="56">
        <f>D48</f>
        <v>0.32900000000000001</v>
      </c>
      <c r="E54" s="56">
        <f>MAX(C54:D54)</f>
        <v>59.786000000000001</v>
      </c>
      <c r="G54" s="1" t="str">
        <f>G48</f>
        <v>per 1000 youth</v>
      </c>
      <c r="L54" s="58">
        <f>L48</f>
        <v>1000</v>
      </c>
      <c r="M54" s="58"/>
    </row>
    <row r="55" spans="2:18" ht="15" hidden="1" customHeight="1">
      <c r="B55" s="49" t="str">
        <f t="shared" ref="B55:D56" si="10">IF(($E49&gt;0),B49,B48)</f>
        <v>per 100 arrests</v>
      </c>
      <c r="C55" s="49">
        <f t="shared" si="10"/>
        <v>1.89</v>
      </c>
      <c r="D55" s="49">
        <f t="shared" si="10"/>
        <v>0</v>
      </c>
      <c r="E55" s="49">
        <f>MAX(C55:D55)</f>
        <v>1.89</v>
      </c>
      <c r="G55" s="1" t="str">
        <f>G49</f>
        <v>per 100 arrests</v>
      </c>
      <c r="L55" s="58">
        <f>IF(($E49&gt;0),L49,L48)</f>
        <v>100</v>
      </c>
      <c r="M55" s="58"/>
    </row>
    <row r="56" spans="2:18" ht="15" hidden="1" customHeight="1">
      <c r="B56" s="49" t="str">
        <f t="shared" si="10"/>
        <v>per 100 referrals</v>
      </c>
      <c r="C56" s="49">
        <f t="shared" si="10"/>
        <v>5.49</v>
      </c>
      <c r="D56" s="49">
        <f t="shared" si="10"/>
        <v>0.04</v>
      </c>
      <c r="E56" s="49">
        <f>MAX(C56:D56)</f>
        <v>5.49</v>
      </c>
      <c r="G56" s="1" t="str">
        <f>G50</f>
        <v>per 100 referrals</v>
      </c>
      <c r="L56" s="58">
        <f>IF(($E50&gt;0),L50,L49)</f>
        <v>100</v>
      </c>
      <c r="M56" s="58"/>
    </row>
    <row r="57" spans="2:18" ht="15" hidden="1" customHeight="1">
      <c r="B57" s="49" t="str">
        <f>IF(($E51&gt;0),B51,B49)</f>
        <v>per 100 youth petitioned</v>
      </c>
      <c r="C57" s="49">
        <f>IF(($E51&gt;0),C51,C50)</f>
        <v>5.49</v>
      </c>
      <c r="D57" s="49">
        <f>IF(($E51&gt;0),D51,D50)</f>
        <v>0.04</v>
      </c>
      <c r="E57" s="49">
        <f>MAX(C57:D57)</f>
        <v>5.49</v>
      </c>
      <c r="G57" s="1" t="str">
        <f>G51</f>
        <v>per 100 youth petitioned</v>
      </c>
      <c r="L57" s="58">
        <f>IF(($E51&gt;0),L51,L50)</f>
        <v>100</v>
      </c>
      <c r="M57" s="58"/>
    </row>
    <row r="58" spans="2:18" ht="15" hidden="1" customHeight="1">
      <c r="B58" s="49" t="str">
        <f>IF(($E52&gt;0),B52,B51)</f>
        <v>per 100 youth found delinquent</v>
      </c>
      <c r="C58" s="49">
        <f>IF(($E52&gt;0),C52,C51)</f>
        <v>3.97</v>
      </c>
      <c r="D58" s="49">
        <f>IF(($E52&gt;0),D52,D51)</f>
        <v>0.02</v>
      </c>
      <c r="E58" s="56">
        <f>MAX(C58:D58)</f>
        <v>3.97</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59.786000000000001</v>
      </c>
      <c r="D60" s="56">
        <f>D54</f>
        <v>0.32900000000000001</v>
      </c>
      <c r="E60" s="56">
        <f>MAX(C60:D60)</f>
        <v>59.786000000000001</v>
      </c>
      <c r="G60" s="1" t="str">
        <f>G54</f>
        <v>per 1000 youth</v>
      </c>
      <c r="L60" s="58">
        <f>L54</f>
        <v>1000</v>
      </c>
      <c r="M60" s="58"/>
    </row>
    <row r="61" spans="2:18" ht="15" hidden="1" customHeight="1">
      <c r="B61" s="49" t="str">
        <f t="shared" ref="B61:D62" si="11">IF(($E55&gt;0),B55,B54)</f>
        <v>per 100 arrests</v>
      </c>
      <c r="C61" s="49">
        <f t="shared" si="11"/>
        <v>1.89</v>
      </c>
      <c r="D61" s="49">
        <f t="shared" si="11"/>
        <v>0</v>
      </c>
      <c r="E61" s="49">
        <f>MAX(C61:D61)</f>
        <v>1.89</v>
      </c>
      <c r="G61" s="1" t="str">
        <f>G55</f>
        <v>per 100 arrests</v>
      </c>
      <c r="L61" s="58">
        <f>IF(($E55&gt;0),L55,L54)</f>
        <v>100</v>
      </c>
      <c r="M61" s="58"/>
    </row>
    <row r="62" spans="2:18" ht="15" hidden="1" customHeight="1">
      <c r="B62" s="49" t="str">
        <f t="shared" si="11"/>
        <v>per 100 referrals</v>
      </c>
      <c r="C62" s="49">
        <f t="shared" si="11"/>
        <v>5.49</v>
      </c>
      <c r="D62" s="49">
        <f t="shared" si="11"/>
        <v>0.04</v>
      </c>
      <c r="E62" s="49">
        <f>MAX(C62:D62)</f>
        <v>5.49</v>
      </c>
      <c r="G62" s="1" t="str">
        <f>G56</f>
        <v>per 100 referrals</v>
      </c>
      <c r="L62" s="58">
        <f>IF(($E56&gt;0),L56,L55)</f>
        <v>100</v>
      </c>
      <c r="M62" s="58"/>
    </row>
    <row r="63" spans="2:18" ht="15" hidden="1" customHeight="1">
      <c r="B63" s="49" t="str">
        <f>IF(($E57&gt;0),B57,B55)</f>
        <v>per 100 youth petitioned</v>
      </c>
      <c r="C63" s="49">
        <f>IF(($E57&gt;0),C57,C56)</f>
        <v>5.49</v>
      </c>
      <c r="D63" s="49">
        <f>IF(($E57&gt;0),D57,D56)</f>
        <v>0.04</v>
      </c>
      <c r="E63" s="49">
        <f>MAX(C63:D63)</f>
        <v>5.49</v>
      </c>
      <c r="G63" s="1" t="str">
        <f>G57</f>
        <v>per 100 youth petitioned</v>
      </c>
      <c r="L63" s="58">
        <f>IF(($E57&gt;0),L57,L56)</f>
        <v>100</v>
      </c>
      <c r="M63" s="58"/>
    </row>
    <row r="64" spans="2:18" ht="15" hidden="1" customHeight="1">
      <c r="B64" s="49" t="str">
        <f>IF(($E58&gt;0),B58,B57)</f>
        <v>per 100 youth found delinquent</v>
      </c>
      <c r="C64" s="49">
        <f>IF(($E58&gt;0),C58,C57)</f>
        <v>3.97</v>
      </c>
      <c r="D64" s="49">
        <f>IF(($E58&gt;0),D58,D57)</f>
        <v>0.02</v>
      </c>
      <c r="E64" s="56">
        <f>MAX(C64:D64)</f>
        <v>3.97</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59.786000000000001</v>
      </c>
      <c r="D66" s="56">
        <f>D60</f>
        <v>0.32900000000000001</v>
      </c>
      <c r="E66" s="56">
        <f>MAX(C66:D66)</f>
        <v>59.786000000000001</v>
      </c>
      <c r="G66" s="1" t="str">
        <f>G60</f>
        <v>per 1000 youth</v>
      </c>
      <c r="L66" s="58">
        <f>L60</f>
        <v>1000</v>
      </c>
      <c r="M66" s="58">
        <f>IF((B66=G66),1,2)</f>
        <v>1</v>
      </c>
    </row>
    <row r="67" spans="2:13" ht="15" hidden="1" customHeight="1">
      <c r="B67" s="49" t="str">
        <f t="shared" ref="B67:D68" si="12">IF(($E61&gt;0),B61,B60)</f>
        <v>per 100 arrests</v>
      </c>
      <c r="C67" s="49">
        <f t="shared" si="12"/>
        <v>1.89</v>
      </c>
      <c r="D67" s="49">
        <f t="shared" si="12"/>
        <v>0</v>
      </c>
      <c r="E67" s="49">
        <f>MAX(C67:D67)</f>
        <v>1.89</v>
      </c>
      <c r="G67" s="1" t="str">
        <f>G61</f>
        <v>per 100 arrests</v>
      </c>
      <c r="L67" s="58">
        <f>IF(($E61&gt;0),L61,L60)</f>
        <v>100</v>
      </c>
      <c r="M67" s="58">
        <f>IF((B67=G67),1,2)</f>
        <v>1</v>
      </c>
    </row>
    <row r="68" spans="2:13" ht="15" hidden="1" customHeight="1">
      <c r="B68" s="49" t="str">
        <f t="shared" si="12"/>
        <v>per 100 referrals</v>
      </c>
      <c r="C68" s="49">
        <f t="shared" si="12"/>
        <v>5.49</v>
      </c>
      <c r="D68" s="49">
        <f t="shared" si="12"/>
        <v>0.04</v>
      </c>
      <c r="E68" s="49">
        <f>MAX(C68:D68)</f>
        <v>5.49</v>
      </c>
      <c r="G68" s="1" t="str">
        <f>G62</f>
        <v>per 100 referrals</v>
      </c>
      <c r="L68" s="58">
        <f>IF(($E62&gt;0),L62,L61)</f>
        <v>100</v>
      </c>
      <c r="M68" s="58">
        <f>IF((B68=G68),1,2)</f>
        <v>1</v>
      </c>
    </row>
    <row r="69" spans="2:13" ht="15" hidden="1" customHeight="1">
      <c r="B69" s="49" t="str">
        <f>IF(($E63&gt;0),B63,B61)</f>
        <v>per 100 youth petitioned</v>
      </c>
      <c r="C69" s="49">
        <f>IF(($E63&gt;0),C63,C62)</f>
        <v>5.49</v>
      </c>
      <c r="D69" s="49">
        <f>IF(($E63&gt;0),D63,D62)</f>
        <v>0.04</v>
      </c>
      <c r="E69" s="49">
        <f>MAX(C69:D69)</f>
        <v>5.49</v>
      </c>
      <c r="G69" s="1" t="str">
        <f>G63</f>
        <v>per 100 youth petitioned</v>
      </c>
      <c r="L69" s="58">
        <f>IF(($E63&gt;0),L63,L62)</f>
        <v>100</v>
      </c>
      <c r="M69" s="58">
        <f>IF((B69=G69),1,2)</f>
        <v>1</v>
      </c>
    </row>
    <row r="70" spans="2:13" ht="15" hidden="1" customHeight="1">
      <c r="B70" s="49" t="str">
        <f>IF(($E64&gt;0),B64,B63)</f>
        <v>per 100 youth found delinquent</v>
      </c>
      <c r="C70" s="49">
        <f>IF(($E64&gt;0),C64,C63)</f>
        <v>3.97</v>
      </c>
      <c r="D70" s="49">
        <f>IF(($E64&gt;0),D64,D63)</f>
        <v>0.02</v>
      </c>
      <c r="E70" s="56">
        <f>MAX(C70:D70)</f>
        <v>3.97</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U47JMPN4QEAR-1806752177-35368</_dlc_DocId>
    <_dlc_DocIdUrl xmlns="ac3811b5-0f3e-49e2-ba69-f2ffa0c782af">
      <Url>https://michiganphi.sharepoint.com/sites/CMDMC/_layouts/15/DocIdRedir.aspx?ID=U47JMPN4QEAR-1806752177-35368</Url>
      <Description>U47JMPN4QEAR-1806752177-35368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E713803-A968-44E8-B82E-CBBE4430C2C0}"/>
</file>

<file path=customXml/itemProps2.xml><?xml version="1.0" encoding="utf-8"?>
<ds:datastoreItem xmlns:ds="http://schemas.openxmlformats.org/officeDocument/2006/customXml" ds:itemID="{98E46A1D-C766-406D-B5AB-828EE6C2E2F8}">
  <ds:schemaRefs>
    <ds:schemaRef ds:uri="http://schemas.microsoft.com/sharepoint/v3/contenttype/forms"/>
  </ds:schemaRefs>
</ds:datastoreItem>
</file>

<file path=customXml/itemProps3.xml><?xml version="1.0" encoding="utf-8"?>
<ds:datastoreItem xmlns:ds="http://schemas.openxmlformats.org/officeDocument/2006/customXml" ds:itemID="{D967BB62-9EED-4DD9-A56C-0C05ABD03C41}">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1CAC49BA-4D08-446F-BFDB-1044B0B0BA7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d936e2cf-5581-4f02-b19c-22b534e32c8e</vt:lpwstr>
  </property>
</Properties>
</file>