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DE1F467D-3033-43F1-8F0C-71D10D95E529}"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4"/>
  <c r="M66" i="4"/>
  <c r="F27" i="2"/>
  <c r="M66" i="2"/>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B49" i="7" s="1"/>
  <c r="E46" i="7"/>
  <c r="L52" i="7" s="1"/>
  <c r="E44" i="6"/>
  <c r="D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C50" i="6"/>
  <c r="C49" i="7"/>
  <c r="L49" i="7"/>
  <c r="L50" i="6"/>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D51" i="2" l="1"/>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L56" i="8"/>
  <c r="B56" i="8"/>
  <c r="C57" i="8"/>
  <c r="D64" i="5"/>
  <c r="C64" i="5"/>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3" i="3" l="1"/>
  <c r="E57" i="8"/>
  <c r="B63" i="8" s="1"/>
  <c r="E64" i="5"/>
  <c r="I7" i="9"/>
  <c r="Q8" i="13"/>
  <c r="B63" i="3"/>
  <c r="E64" i="6"/>
  <c r="B70" i="6" s="1"/>
  <c r="M70" i="6" s="1"/>
  <c r="Z8" i="13"/>
  <c r="R7" i="9"/>
  <c r="D63" i="3"/>
  <c r="E63" i="3" s="1"/>
  <c r="C69" i="3" s="1"/>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C63" i="8" l="1"/>
  <c r="E63" i="8" s="1"/>
  <c r="D69" i="8" s="1"/>
  <c r="B70" i="5"/>
  <c r="F33" i="5" s="1"/>
  <c r="C70" i="5"/>
  <c r="B70" i="3"/>
  <c r="M70" i="3" s="1"/>
  <c r="C69" i="7"/>
  <c r="D12" i="7" s="1"/>
  <c r="L70" i="3"/>
  <c r="Q13" i="3" s="1"/>
  <c r="D70" i="6"/>
  <c r="F14" i="6" s="1"/>
  <c r="L70" i="6"/>
  <c r="D70" i="5"/>
  <c r="F14" i="5" s="1"/>
  <c r="L70" i="5"/>
  <c r="Q13" i="5" s="1"/>
  <c r="L69" i="7"/>
  <c r="Q12" i="7" s="1"/>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33" i="3"/>
  <c r="F13" i="4"/>
  <c r="F33" i="4"/>
  <c r="F10" i="4"/>
  <c r="O10" i="4"/>
  <c r="M67" i="5"/>
  <c r="O11" i="3"/>
  <c r="T11" i="3" s="1"/>
  <c r="O14" i="4"/>
  <c r="Q13" i="4"/>
  <c r="F30" i="3"/>
  <c r="D13" i="3"/>
  <c r="Q9" i="3"/>
  <c r="O10" i="3"/>
  <c r="E68" i="3"/>
  <c r="O9" i="3"/>
  <c r="F31" i="3"/>
  <c r="F29" i="3"/>
  <c r="D14" i="4"/>
  <c r="L70" i="7"/>
  <c r="O14" i="7" s="1"/>
  <c r="M69" i="7"/>
  <c r="B69" i="3"/>
  <c r="M69" i="3" s="1"/>
  <c r="C70" i="8"/>
  <c r="Q13" i="8" s="1"/>
  <c r="B70" i="8"/>
  <c r="M70" i="8" s="1"/>
  <c r="E64" i="2"/>
  <c r="L70" i="2" s="1"/>
  <c r="L67" i="6"/>
  <c r="F10" i="3"/>
  <c r="F11" i="3"/>
  <c r="D67" i="6"/>
  <c r="F8" i="6" s="1"/>
  <c r="L69" i="3"/>
  <c r="Q12" i="3" s="1"/>
  <c r="M70" i="5"/>
  <c r="D13" i="5"/>
  <c r="D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F34" i="5" l="1"/>
  <c r="Q14" i="3"/>
  <c r="F34" i="3"/>
  <c r="D15" i="7"/>
  <c r="E69" i="7"/>
  <c r="B69" i="6"/>
  <c r="M69" i="6" s="1"/>
  <c r="F13" i="6"/>
  <c r="O12" i="7"/>
  <c r="K12" i="7" s="1"/>
  <c r="F13" i="5"/>
  <c r="O14" i="6"/>
  <c r="O15" i="7"/>
  <c r="O13" i="6"/>
  <c r="O14" i="5"/>
  <c r="Q14" i="5"/>
  <c r="O13" i="5"/>
  <c r="T13" i="5" s="1"/>
  <c r="E70" i="5"/>
  <c r="E70" i="3"/>
  <c r="O13" i="3"/>
  <c r="R13" i="3" s="1"/>
  <c r="S13" i="3" s="1"/>
  <c r="F14" i="3"/>
  <c r="Q13" i="6"/>
  <c r="Q14" i="6"/>
  <c r="E70" i="6"/>
  <c r="D14" i="6"/>
  <c r="Q15" i="7"/>
  <c r="C69" i="6"/>
  <c r="D12" i="6" s="1"/>
  <c r="F12" i="7"/>
  <c r="O14" i="3"/>
  <c r="R14" i="3" s="1"/>
  <c r="S14" i="3" s="1"/>
  <c r="D69" i="6"/>
  <c r="F12" i="6" s="1"/>
  <c r="T10" i="3"/>
  <c r="K10" i="4"/>
  <c r="F8" i="7"/>
  <c r="T9" i="4"/>
  <c r="T11" i="4"/>
  <c r="U11" i="4" s="1"/>
  <c r="J11" i="4" s="1"/>
  <c r="K11" i="4"/>
  <c r="R10" i="4"/>
  <c r="S10" i="4"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K9" i="4"/>
  <c r="R9" i="4"/>
  <c r="S9" i="4" s="1"/>
  <c r="F32" i="2"/>
  <c r="O13" i="8"/>
  <c r="R13" i="8" s="1"/>
  <c r="S13" i="8" s="1"/>
  <c r="R10" i="3"/>
  <c r="S10" i="3" s="1"/>
  <c r="F8" i="2"/>
  <c r="O14" i="8"/>
  <c r="F14" i="8"/>
  <c r="T14" i="4"/>
  <c r="B70" i="2"/>
  <c r="F33" i="2" s="1"/>
  <c r="F35" i="3"/>
  <c r="D69" i="5"/>
  <c r="O15" i="5" s="1"/>
  <c r="F32" i="3"/>
  <c r="F34" i="7"/>
  <c r="M70" i="7"/>
  <c r="O13" i="7"/>
  <c r="K11" i="3"/>
  <c r="R11" i="3"/>
  <c r="S11" i="3" s="1"/>
  <c r="U11" i="3" s="1"/>
  <c r="J11" i="3" s="1"/>
  <c r="M11" i="3" s="1"/>
  <c r="L68" i="7"/>
  <c r="Q9" i="7" s="1"/>
  <c r="C69" i="5"/>
  <c r="Q12" i="5" s="1"/>
  <c r="B69" i="5"/>
  <c r="F32" i="5" s="1"/>
  <c r="D68" i="7"/>
  <c r="E68" i="7" s="1"/>
  <c r="B68" i="7"/>
  <c r="F31" i="7" s="1"/>
  <c r="K9" i="3"/>
  <c r="K10" i="3"/>
  <c r="R14" i="4"/>
  <c r="S14" i="4" s="1"/>
  <c r="D13" i="7"/>
  <c r="O12" i="3"/>
  <c r="R12" i="3" s="1"/>
  <c r="S12" i="3" s="1"/>
  <c r="R9" i="3"/>
  <c r="S9" i="3" s="1"/>
  <c r="Q14" i="8"/>
  <c r="T9" i="3"/>
  <c r="F34" i="8"/>
  <c r="F33" i="8"/>
  <c r="C70" i="2"/>
  <c r="D14" i="2" s="1"/>
  <c r="D13" i="8"/>
  <c r="O15" i="3"/>
  <c r="Q15" i="3"/>
  <c r="D70" i="2"/>
  <c r="O14" i="2" s="1"/>
  <c r="D14" i="8"/>
  <c r="E70" i="8"/>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3" i="4" l="1"/>
  <c r="J13" i="4" s="1"/>
  <c r="Q15" i="6"/>
  <c r="F35" i="6"/>
  <c r="U10" i="3"/>
  <c r="J10" i="3" s="1"/>
  <c r="M10" i="3" s="1"/>
  <c r="G10" i="3" s="1"/>
  <c r="I11" i="16" s="1"/>
  <c r="U9" i="4"/>
  <c r="J9" i="4" s="1"/>
  <c r="M9" i="4" s="1"/>
  <c r="G9" i="4" s="1"/>
  <c r="G10" i="16" s="1"/>
  <c r="F32" i="6"/>
  <c r="Q12" i="6"/>
  <c r="T15" i="7"/>
  <c r="U10" i="4"/>
  <c r="J10" i="4" s="1"/>
  <c r="M10" i="4" s="1"/>
  <c r="G10" i="4" s="1"/>
  <c r="G11" i="16" s="1"/>
  <c r="K14" i="5"/>
  <c r="T14" i="3"/>
  <c r="U14" i="3" s="1"/>
  <c r="J14" i="3" s="1"/>
  <c r="M14" i="3" s="1"/>
  <c r="G11" i="3"/>
  <c r="I12" i="13" s="1"/>
  <c r="R12" i="7"/>
  <c r="S12" i="7" s="1"/>
  <c r="T12" i="7"/>
  <c r="O12" i="6"/>
  <c r="K14" i="6"/>
  <c r="K15" i="7"/>
  <c r="R15" i="7"/>
  <c r="S15" i="7" s="1"/>
  <c r="U15" i="7" s="1"/>
  <c r="J15" i="7" s="1"/>
  <c r="T13" i="6"/>
  <c r="K13" i="6"/>
  <c r="R13" i="6"/>
  <c r="S13" i="6" s="1"/>
  <c r="U13" i="6" s="1"/>
  <c r="J13" i="6" s="1"/>
  <c r="M13" i="6" s="1"/>
  <c r="G13" i="6" s="1"/>
  <c r="M14" i="13" s="1"/>
  <c r="R14" i="6"/>
  <c r="S14" i="6" s="1"/>
  <c r="U14" i="6" s="1"/>
  <c r="J14" i="6" s="1"/>
  <c r="M14" i="6" s="1"/>
  <c r="G14" i="6" s="1"/>
  <c r="M15" i="13" s="1"/>
  <c r="O15" i="6"/>
  <c r="T15" i="6" s="1"/>
  <c r="T14" i="6"/>
  <c r="K13" i="5"/>
  <c r="R13" i="5"/>
  <c r="S13" i="5" s="1"/>
  <c r="U13" i="5" s="1"/>
  <c r="J13" i="5" s="1"/>
  <c r="M13" i="5" s="1"/>
  <c r="T14" i="5"/>
  <c r="R14" i="5"/>
  <c r="S14" i="5" s="1"/>
  <c r="U14" i="5" s="1"/>
  <c r="J14" i="5" s="1"/>
  <c r="M14" i="5" s="1"/>
  <c r="T13" i="3"/>
  <c r="U13" i="3" s="1"/>
  <c r="J13" i="3" s="1"/>
  <c r="K13" i="3"/>
  <c r="U14" i="4"/>
  <c r="J14" i="4" s="1"/>
  <c r="L14" i="4" s="1"/>
  <c r="O15" i="16" s="1"/>
  <c r="K14" i="3"/>
  <c r="R14" i="8"/>
  <c r="S14" i="8" s="1"/>
  <c r="T13" i="8"/>
  <c r="U13" i="8" s="1"/>
  <c r="J13" i="8" s="1"/>
  <c r="M13" i="8" s="1"/>
  <c r="E69" i="6"/>
  <c r="D15" i="6"/>
  <c r="F15" i="6"/>
  <c r="L13" i="4"/>
  <c r="O14" i="16" s="1"/>
  <c r="L11" i="4"/>
  <c r="O12" i="16" s="1"/>
  <c r="K8" i="7"/>
  <c r="O13" i="2"/>
  <c r="O12" i="8"/>
  <c r="F35" i="8"/>
  <c r="T8" i="7"/>
  <c r="U8" i="7" s="1"/>
  <c r="J8" i="7" s="1"/>
  <c r="M8" i="7" s="1"/>
  <c r="T13" i="7"/>
  <c r="Q12" i="8"/>
  <c r="F32" i="8"/>
  <c r="Q10" i="7"/>
  <c r="F13" i="2"/>
  <c r="Q11" i="7"/>
  <c r="R8" i="6"/>
  <c r="S8" i="6" s="1"/>
  <c r="F14" i="2"/>
  <c r="E69" i="8"/>
  <c r="F10" i="7"/>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T14" i="8"/>
  <c r="D13" i="2"/>
  <c r="E70" i="2"/>
  <c r="Q14" i="2"/>
  <c r="K14" i="2" s="1"/>
  <c r="M13" i="4"/>
  <c r="G13" i="4" s="1"/>
  <c r="G14" i="16" s="1"/>
  <c r="R13" i="7"/>
  <c r="S13" i="7" s="1"/>
  <c r="Q13" i="2"/>
  <c r="U9" i="3"/>
  <c r="J9" i="3" s="1"/>
  <c r="L9" i="3" s="1"/>
  <c r="K15" i="3"/>
  <c r="T15" i="3"/>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9" i="4" l="1"/>
  <c r="O10" i="16" s="1"/>
  <c r="L10" i="3"/>
  <c r="P11" i="16" s="1"/>
  <c r="G11" i="13"/>
  <c r="T12" i="6"/>
  <c r="L14" i="5"/>
  <c r="Q15" i="16" s="1"/>
  <c r="I12" i="16"/>
  <c r="D10" i="9"/>
  <c r="L10" i="4"/>
  <c r="O11" i="16" s="1"/>
  <c r="L14" i="3"/>
  <c r="P15" i="16" s="1"/>
  <c r="E11" i="9"/>
  <c r="N30" i="4"/>
  <c r="G10" i="13"/>
  <c r="M14" i="4"/>
  <c r="G14" i="4" s="1"/>
  <c r="G15" i="16" s="1"/>
  <c r="D9" i="9"/>
  <c r="N30" i="5"/>
  <c r="U12" i="7"/>
  <c r="J12" i="7" s="1"/>
  <c r="L15" i="7"/>
  <c r="S16" i="16" s="1"/>
  <c r="K15" i="6"/>
  <c r="G13" i="9"/>
  <c r="I11" i="13"/>
  <c r="E10" i="9"/>
  <c r="U15" i="3"/>
  <c r="J15" i="3" s="1"/>
  <c r="M15" i="3" s="1"/>
  <c r="G15" i="3" s="1"/>
  <c r="I16" i="16" s="1"/>
  <c r="K12" i="6"/>
  <c r="R12" i="6"/>
  <c r="S12" i="6" s="1"/>
  <c r="U12" i="6" s="1"/>
  <c r="J12" i="6" s="1"/>
  <c r="M12" i="6" s="1"/>
  <c r="G12" i="6" s="1"/>
  <c r="U13" i="7"/>
  <c r="J13" i="7" s="1"/>
  <c r="M13" i="7" s="1"/>
  <c r="M15" i="7"/>
  <c r="L13" i="6"/>
  <c r="R14" i="16" s="1"/>
  <c r="R15" i="6"/>
  <c r="S15" i="6" s="1"/>
  <c r="U15" i="6" s="1"/>
  <c r="J15" i="6" s="1"/>
  <c r="L13" i="5"/>
  <c r="Q14" i="16" s="1"/>
  <c r="L13" i="3"/>
  <c r="P14" i="16" s="1"/>
  <c r="M13" i="3"/>
  <c r="G13" i="3" s="1"/>
  <c r="E13" i="9" s="1"/>
  <c r="G14" i="3"/>
  <c r="N30" i="3"/>
  <c r="L13" i="8"/>
  <c r="T14" i="16" s="1"/>
  <c r="G13" i="8"/>
  <c r="U14" i="8"/>
  <c r="J14" i="8" s="1"/>
  <c r="N30" i="8" s="1"/>
  <c r="M13" i="9"/>
  <c r="U14" i="13"/>
  <c r="U12" i="13"/>
  <c r="M11" i="9"/>
  <c r="R12" i="8"/>
  <c r="S12" i="8" s="1"/>
  <c r="T13" i="2"/>
  <c r="U8" i="6"/>
  <c r="J8" i="6" s="1"/>
  <c r="M8" i="6" s="1"/>
  <c r="G8" i="6" s="1"/>
  <c r="M9" i="13" s="1"/>
  <c r="R13" i="2"/>
  <c r="S13" i="2" s="1"/>
  <c r="T15" i="8"/>
  <c r="U15" i="8" s="1"/>
  <c r="J15" i="8" s="1"/>
  <c r="V11" i="13"/>
  <c r="G14" i="9"/>
  <c r="T12" i="8"/>
  <c r="K12" i="8"/>
  <c r="R10" i="7"/>
  <c r="S10" i="7" s="1"/>
  <c r="T11" i="7"/>
  <c r="T10" i="7"/>
  <c r="L8" i="2"/>
  <c r="N9" i="16" s="1"/>
  <c r="K13" i="2"/>
  <c r="R15" i="5"/>
  <c r="S15" i="5" s="1"/>
  <c r="U15" i="5" s="1"/>
  <c r="J15" i="5" s="1"/>
  <c r="M15" i="5" s="1"/>
  <c r="K11" i="7"/>
  <c r="K15" i="8"/>
  <c r="T9" i="7"/>
  <c r="U9" i="7" s="1"/>
  <c r="J9" i="7" s="1"/>
  <c r="M9" i="7" s="1"/>
  <c r="N30" i="6"/>
  <c r="R11" i="7"/>
  <c r="S11" i="7" s="1"/>
  <c r="L14" i="6"/>
  <c r="R15" i="16" s="1"/>
  <c r="K12" i="5"/>
  <c r="L12" i="5" s="1"/>
  <c r="Q13" i="16" s="1"/>
  <c r="T12" i="5"/>
  <c r="K10" i="7"/>
  <c r="R14" i="2"/>
  <c r="S14" i="2" s="1"/>
  <c r="D13" i="9"/>
  <c r="G14" i="13"/>
  <c r="K9" i="7"/>
  <c r="T14" i="2"/>
  <c r="V12" i="13"/>
  <c r="U10" i="13"/>
  <c r="N11" i="9"/>
  <c r="T15" i="5"/>
  <c r="M9" i="3"/>
  <c r="G9" i="3" s="1"/>
  <c r="I10" i="13" s="1"/>
  <c r="G12" i="13"/>
  <c r="G12" i="16"/>
  <c r="N9" i="9"/>
  <c r="P10" i="16"/>
  <c r="M14" i="7"/>
  <c r="N30" i="7"/>
  <c r="L14" i="7"/>
  <c r="S15" i="16" s="1"/>
  <c r="L8" i="7"/>
  <c r="S9" i="16" s="1"/>
  <c r="M9" i="9"/>
  <c r="V10"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P13" i="9" l="1"/>
  <c r="M10" i="9"/>
  <c r="W15" i="13"/>
  <c r="N10" i="9"/>
  <c r="U11" i="13"/>
  <c r="L12" i="6"/>
  <c r="R13" i="16" s="1"/>
  <c r="O14" i="9"/>
  <c r="L15" i="3"/>
  <c r="P16" i="16" s="1"/>
  <c r="E15" i="9"/>
  <c r="V15" i="13"/>
  <c r="N14" i="9"/>
  <c r="I16" i="13"/>
  <c r="Q15" i="9"/>
  <c r="Y16" i="13"/>
  <c r="G15" i="13"/>
  <c r="D14" i="9"/>
  <c r="L12" i="7"/>
  <c r="M12" i="7"/>
  <c r="U10" i="7"/>
  <c r="J10" i="7" s="1"/>
  <c r="L10" i="7" s="1"/>
  <c r="S11" i="16" s="1"/>
  <c r="L15" i="6"/>
  <c r="R16" i="16" s="1"/>
  <c r="U13" i="2"/>
  <c r="J13" i="2" s="1"/>
  <c r="M13" i="2" s="1"/>
  <c r="G13" i="2" s="1"/>
  <c r="E14" i="16" s="1"/>
  <c r="L13" i="7"/>
  <c r="S14" i="16" s="1"/>
  <c r="I14" i="16"/>
  <c r="X14" i="13"/>
  <c r="U11" i="7"/>
  <c r="J11" i="7" s="1"/>
  <c r="L11" i="7" s="1"/>
  <c r="S12" i="16" s="1"/>
  <c r="M15" i="6"/>
  <c r="G15" i="6" s="1"/>
  <c r="G15" i="9" s="1"/>
  <c r="R13" i="9"/>
  <c r="Z14" i="13"/>
  <c r="W14" i="13"/>
  <c r="O13" i="9"/>
  <c r="I14" i="13"/>
  <c r="V14" i="13"/>
  <c r="I15" i="16"/>
  <c r="E14" i="9"/>
  <c r="I15" i="13"/>
  <c r="N13" i="9"/>
  <c r="U12" i="8"/>
  <c r="J12" i="8" s="1"/>
  <c r="L12" i="8" s="1"/>
  <c r="T13" i="16" s="1"/>
  <c r="U14" i="2"/>
  <c r="J14" i="2" s="1"/>
  <c r="M14" i="2" s="1"/>
  <c r="G14" i="2" s="1"/>
  <c r="E15" i="16" s="1"/>
  <c r="K14" i="16"/>
  <c r="Q14" i="13"/>
  <c r="I13" i="9"/>
  <c r="M14" i="8"/>
  <c r="G14" i="8" s="1"/>
  <c r="K15" i="16" s="1"/>
  <c r="L14" i="8"/>
  <c r="T15" i="16" s="1"/>
  <c r="L8" i="6"/>
  <c r="R9" i="16" s="1"/>
  <c r="L15" i="5"/>
  <c r="Q16" i="16" s="1"/>
  <c r="T9" i="13"/>
  <c r="L8" i="9"/>
  <c r="X15" i="13"/>
  <c r="P14" i="9"/>
  <c r="G8" i="9"/>
  <c r="Q14" i="9"/>
  <c r="Y15" i="13"/>
  <c r="E9" i="13"/>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3" i="13" l="1"/>
  <c r="P12" i="9"/>
  <c r="N15" i="9"/>
  <c r="V16" i="13"/>
  <c r="P15" i="9"/>
  <c r="M10" i="7"/>
  <c r="M11" i="7"/>
  <c r="L13" i="2"/>
  <c r="N14" i="16" s="1"/>
  <c r="Q13" i="9"/>
  <c r="X16" i="13"/>
  <c r="Y14" i="13"/>
  <c r="S13" i="16"/>
  <c r="Q12" i="9"/>
  <c r="Y13" i="13"/>
  <c r="N30" i="2"/>
  <c r="L14" i="2"/>
  <c r="N15" i="16" s="1"/>
  <c r="E15" i="13"/>
  <c r="M16" i="13"/>
  <c r="M12" i="8"/>
  <c r="G12" i="8" s="1"/>
  <c r="K13" i="16" s="1"/>
  <c r="C14" i="9"/>
  <c r="E14" i="13"/>
  <c r="C13" i="9"/>
  <c r="Z15" i="13"/>
  <c r="R14" i="9"/>
  <c r="I14" i="9"/>
  <c r="Q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L13" i="9" l="1"/>
  <c r="T15" i="13"/>
  <c r="T14" i="13"/>
  <c r="L14" i="9"/>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<sst xmlns="http://schemas.openxmlformats.org/spreadsheetml/2006/main" count="654" uniqueCount="141">
  <si>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</si>
  <si>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</si>
  <si>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</si>
  <si>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</si>
  <si>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</si>
  <si>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</si>
  <si>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</si>
  <si>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</si>
  <si>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</si>
  <si>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</si>
  <si>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</si>
  <si>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</si>
  <si>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</si>
  <si>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</si>
  <si>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</si>
  <si>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</si>
  <si>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</si>
  <si>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</si>
  <si>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</si>
  <si>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</si>
  <si>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</si>
  <si>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</si>
  <si>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</si>
  <si>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</si>
  <si>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</si>
  <si>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</si>
  <si>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</si>
  <si>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</si>
  <si>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</si>
  <si>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</si>
  <si>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</si>
  <si>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</si>
  <si>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</si>
  <si>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</si>
  <si>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</si>
  <si>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</si>
  <si>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</si>
  <si>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</si>
  <si>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</si>
  <si>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</si>
  <si>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</si>
  <si>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</si>
  <si>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</si>
  <si>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</si>
  <si>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</si>
  <si>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</si>
  <si>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</si>
  <si>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</si>
  <si>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</si>
  <si>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</si>
  <si>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</si>
  <si>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</si>
  <si>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</si>
  <si>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</si>
  <si>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</si>
  <si>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</si>
  <si>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</si>
  <si>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</si>
  <si>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</si>
  <si>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</si>
  <si>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</si>
  <si>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</si>
  <si>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</si>
  <si>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</si>
  <si>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</si>
  <si>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</si>
  <si>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</si>
  <si>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</si>
  <si>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</si>
  <si>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</si>
  <si>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</si>
  <si>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</si>
  <si>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</si>
  <si>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</si>
  <si>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</si>
  <si>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</si>
  <si>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</si>
  <si>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</si>
  <si>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</si>
  <si>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</si>
  <si>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</si>
  <si>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</si>
  <si>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</si>
  <si>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</si>
  <si>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</si>
  <si>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</si>
  <si>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</si>
  <si>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</si>
  <si>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</si>
  <si>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</si>
  <si>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</si>
  <si>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</si>
  <si>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</si>
  <si>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</si>
  <si>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</si>
  <si>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</si>
  <si>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</si>
  <si>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</si>
  <si>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</si>
  <si>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</si>
  <si>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</si>
  <si>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</si>
  <si>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</si>
  <si>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</si>
  <si>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</si>
  <si>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</si>
  <si>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</si>
  <si>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</si>
  <si>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</si>
  <si>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</si>
  <si>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</si>
  <si>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</si>
  <si>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</si>
  <si>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</si>
  <si>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</si>
  <si>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</si>
  <si>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</si>
  <si>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</si>
  <si>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</si>
  <si>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</si>
  <si>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</si>
  <si>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</si>
  <si>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</si>
  <si>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</si>
  <si>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</si>
  <si>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</si>
  <si>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</si>
  <si>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</si>
  <si>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</si>
  <si>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Macomb</t>
  </si>
  <si>
    <t>Item 3.Referral: Macomb County Juvenile Court</t>
  </si>
  <si>
    <t>Item 4.Diversion: Macomb County Juvenile Court</t>
  </si>
  <si>
    <t>Item 5.Detention: Macomb County Juvenile Court</t>
  </si>
  <si>
    <t>Item 6.Petitioned: Macomb County Juvenile Court</t>
  </si>
  <si>
    <t>Item 7.Delinquent: Macomb County Juvenile Court</t>
  </si>
  <si>
    <t>Item 8.Probation: Macomb County Juvenile Court</t>
  </si>
  <si>
    <t>Item 9.Confinement: Macomb County Juvenile Court</t>
  </si>
  <si>
    <t>Item 10.Transferred: Macomb County Juvenile Court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</si>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</sst>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Macomb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N=5</c:v>
                </c:pt>
                <c:pt idx="1">
                  <c:v>Confinement, total N=31</c:v>
                </c:pt>
                <c:pt idx="2">
                  <c:v>Delinquent Findings, total N=250</c:v>
                </c:pt>
                <c:pt idx="3">
                  <c:v>Petitions, total N=840</c:v>
                </c:pt>
                <c:pt idx="4">
                  <c:v>Detentions, total N=97</c:v>
                </c:pt>
                <c:pt idx="5">
                  <c:v>Referrals, total N=840</c:v>
                </c:pt>
                <c:pt idx="6">
                  <c:v>Arrests, total N=280</c:v>
                </c:pt>
                <c:pt idx="7">
                  <c:v>Population, total N=73073</c:v>
                </c:pt>
              </c:strCache>
            </c:strRef>
          </c:cat>
          <c:val>
            <c:numRef>
              <c:f>'Stacked 100%'!$B$7:$B$14</c:f>
              <c:numCache>
                <c:formatCode>0%</c:formatCode>
                <c:ptCount val="8"/>
                <c:pt idx="0">
                  <c:v>0</c:v>
                </c:pt>
                <c:pt idx="1">
                  <c:v>0.45161290322580644</c:v>
                </c:pt>
                <c:pt idx="2">
                  <c:v>0.38400000000000001</c:v>
                </c:pt>
                <c:pt idx="3">
                  <c:v>0.40357142857142858</c:v>
                </c:pt>
                <c:pt idx="4">
                  <c:v>0.38144329896907214</c:v>
                </c:pt>
                <c:pt idx="5">
                  <c:v>0.40357142857142858</c:v>
                </c:pt>
                <c:pt idx="6">
                  <c:v>0.49642857142857144</c:v>
                </c:pt>
                <c:pt idx="7">
                  <c:v>0.17423672218192765</c:v>
                </c:pt>
              </c:numCache>
            </c:numRef>
          </c:val>
          <c:extLst>
            <c:ext xmlns:c16="http://schemas.microsoft.com/office/drawing/2014/chart" uri="{C3380CC4-5D6E-409C-BE32-E72D297353CC}">
              <c16:uniqueId val="{00000000-0A1C-4847-B468-2C63ECE64BA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N=5</c:v>
                </c:pt>
                <c:pt idx="1">
                  <c:v>Confinement, total N=31</c:v>
                </c:pt>
                <c:pt idx="2">
                  <c:v>Delinquent Findings, total N=250</c:v>
                </c:pt>
                <c:pt idx="3">
                  <c:v>Petitions, total N=840</c:v>
                </c:pt>
                <c:pt idx="4">
                  <c:v>Detentions, total N=97</c:v>
                </c:pt>
                <c:pt idx="5">
                  <c:v>Referrals, total N=840</c:v>
                </c:pt>
                <c:pt idx="6">
                  <c:v>Arrests, total N=280</c:v>
                </c:pt>
                <c:pt idx="7">
                  <c:v>Population, total N=73073</c:v>
                </c:pt>
              </c:strCache>
            </c:strRef>
          </c:cat>
          <c:val>
            <c:numRef>
              <c:f>'Stacked 100%'!$C$7:$C$14</c:f>
              <c:numCache>
                <c:formatCode>0%</c:formatCode>
                <c:ptCount val="8"/>
                <c:pt idx="0">
                  <c:v>0</c:v>
                </c:pt>
                <c:pt idx="1">
                  <c:v>0</c:v>
                </c:pt>
                <c:pt idx="2">
                  <c:v>2.4E-2</c:v>
                </c:pt>
                <c:pt idx="3">
                  <c:v>1.1904761904761904E-2</c:v>
                </c:pt>
                <c:pt idx="4">
                  <c:v>1.0309278350515464E-2</c:v>
                </c:pt>
                <c:pt idx="5">
                  <c:v>1.1904761904761904E-2</c:v>
                </c:pt>
                <c:pt idx="6">
                  <c:v>1.0714285714285714E-2</c:v>
                </c:pt>
                <c:pt idx="7">
                  <c:v>4.3381276257988585E-2</c:v>
                </c:pt>
              </c:numCache>
            </c:numRef>
          </c:val>
          <c:extLst>
            <c:ext xmlns:c16="http://schemas.microsoft.com/office/drawing/2014/chart" uri="{C3380CC4-5D6E-409C-BE32-E72D297353CC}">
              <c16:uniqueId val="{00000001-0A1C-4847-B468-2C63ECE64BA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N=5</c:v>
                </c:pt>
                <c:pt idx="1">
                  <c:v>Confinement, total N=31</c:v>
                </c:pt>
                <c:pt idx="2">
                  <c:v>Delinquent Findings, total N=250</c:v>
                </c:pt>
                <c:pt idx="3">
                  <c:v>Petitions, total N=840</c:v>
                </c:pt>
                <c:pt idx="4">
                  <c:v>Detentions, total N=97</c:v>
                </c:pt>
                <c:pt idx="5">
                  <c:v>Referrals, total N=840</c:v>
                </c:pt>
                <c:pt idx="6">
                  <c:v>Arrests, total N=280</c:v>
                </c:pt>
                <c:pt idx="7">
                  <c:v>Population, total N=73073</c:v>
                </c:pt>
              </c:strCache>
            </c:strRef>
          </c:cat>
          <c:val>
            <c:numRef>
              <c:f>'Stacked 100%'!$H$7:$H$14</c:f>
              <c:numCache>
                <c:formatCode>0%</c:formatCode>
                <c:ptCount val="8"/>
                <c:pt idx="0">
                  <c:v>0</c:v>
                </c:pt>
                <c:pt idx="1">
                  <c:v>4.1623309053069714E-3</c:v>
                </c:pt>
                <c:pt idx="2">
                  <c:v>1.6000000000000001E-4</c:v>
                </c:pt>
                <c:pt idx="3">
                  <c:v>3.8265306122448984E-5</c:v>
                </c:pt>
                <c:pt idx="4">
                  <c:v>8.502497608672547E-4</c:v>
                </c:pt>
                <c:pt idx="5">
                  <c:v>3.8265306122448984E-5</c:v>
                </c:pt>
                <c:pt idx="6">
                  <c:v>0</c:v>
                </c:pt>
                <c:pt idx="7">
                  <c:v>8.4349887296049787E-7</c:v>
                </c:pt>
              </c:numCache>
            </c:numRef>
          </c:val>
          <c:extLst>
            <c:ext xmlns:c16="http://schemas.microsoft.com/office/drawing/2014/chart" uri="{C3380CC4-5D6E-409C-BE32-E72D297353CC}">
              <c16:uniqueId val="{00000002-0A1C-4847-B468-2C63ECE64BA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N=5</c:v>
                </c:pt>
                <c:pt idx="1">
                  <c:v>Confinement, total N=31</c:v>
                </c:pt>
                <c:pt idx="2">
                  <c:v>Delinquent Findings, total N=250</c:v>
                </c:pt>
                <c:pt idx="3">
                  <c:v>Petitions, total N=840</c:v>
                </c:pt>
                <c:pt idx="4">
                  <c:v>Detentions, total N=97</c:v>
                </c:pt>
                <c:pt idx="5">
                  <c:v>Referrals, total N=840</c:v>
                </c:pt>
                <c:pt idx="6">
                  <c:v>Arrests, total N=280</c:v>
                </c:pt>
                <c:pt idx="7">
                  <c:v>Population, total N=73073</c:v>
                </c:pt>
              </c:strCache>
            </c:strRef>
          </c:cat>
          <c:val>
            <c:numRef>
              <c:f>'Stacked 100%'!$I$7:$I$14</c:f>
              <c:numCache>
                <c:formatCode>0%</c:formatCode>
                <c:ptCount val="8"/>
                <c:pt idx="0">
                  <c:v>1</c:v>
                </c:pt>
                <c:pt idx="1">
                  <c:v>0.41935483870967744</c:v>
                </c:pt>
                <c:pt idx="2">
                  <c:v>0.54800000000000004</c:v>
                </c:pt>
                <c:pt idx="3">
                  <c:v>0.52023809523809528</c:v>
                </c:pt>
                <c:pt idx="4">
                  <c:v>0.52577319587628868</c:v>
                </c:pt>
                <c:pt idx="5">
                  <c:v>0.52023809523809528</c:v>
                </c:pt>
                <c:pt idx="6">
                  <c:v>0.4642857142857143</c:v>
                </c:pt>
                <c:pt idx="7">
                  <c:v>0.72074500841624134</c:v>
                </c:pt>
              </c:numCache>
            </c:numRef>
          </c:val>
          <c:extLst>
            <c:ext xmlns:c16="http://schemas.microsoft.com/office/drawing/2014/chart" uri="{C3380CC4-5D6E-409C-BE32-E72D297353CC}">
              <c16:uniqueId val="{00000003-0A1C-4847-B468-2C63ECE64BA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N=5</c:v>
                </c:pt>
                <c:pt idx="1">
                  <c:v>Confinement, total N=31</c:v>
                </c:pt>
                <c:pt idx="2">
                  <c:v>Delinquent Findings, total N=250</c:v>
                </c:pt>
                <c:pt idx="3">
                  <c:v>Petitions, total N=840</c:v>
                </c:pt>
                <c:pt idx="4">
                  <c:v>Detentions, total N=97</c:v>
                </c:pt>
                <c:pt idx="5">
                  <c:v>Referrals, total N=840</c:v>
                </c:pt>
                <c:pt idx="6">
                  <c:v>Arrests, total N=280</c:v>
                </c:pt>
                <c:pt idx="7">
                  <c:v>Population, total N=73073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A1C-4847-B468-2C63ECE64BA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5" sqref="D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114</v>
      </c>
      <c r="B2" s="4"/>
      <c r="C2" s="4"/>
      <c r="D2" s="4"/>
      <c r="E2" s="4"/>
      <c r="F2" s="4"/>
    </row>
    <row r="3" spans="1:11" ht="15" customHeight="1" x14ac:dyDescent="0.25">
      <c r="A3" s="142" t="s">
        <v>129</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124</v>
      </c>
      <c r="E5" s="9" t="s">
        <v>4</v>
      </c>
      <c r="F5" s="9" t="s">
        <v>5</v>
      </c>
      <c r="G5" s="9" t="s">
        <v>127</v>
      </c>
      <c r="H5" s="9" t="s">
        <v>6</v>
      </c>
      <c r="I5" s="9" t="s">
        <v>116</v>
      </c>
      <c r="J5" s="9" t="s">
        <v>7</v>
      </c>
      <c r="K5" s="9" t="s">
        <v>108</v>
      </c>
    </row>
    <row r="6" spans="1:11" ht="15.75" customHeight="1" thickBot="1" x14ac:dyDescent="0.25">
      <c r="A6" s="10" t="s">
        <v>128</v>
      </c>
      <c r="B6" s="11">
        <f>SUM(C6:I6)+K6</f>
        <v>73073</v>
      </c>
      <c r="C6" s="11">
        <v>52667</v>
      </c>
      <c r="D6" s="11">
        <v>12732</v>
      </c>
      <c r="E6" s="11">
        <v>3170</v>
      </c>
      <c r="F6" s="11">
        <v>4229</v>
      </c>
      <c r="G6" s="11"/>
      <c r="H6" s="11">
        <v>275</v>
      </c>
      <c r="I6" s="11"/>
      <c r="J6" s="91">
        <f>SUM(D6:I6)</f>
        <v>20406</v>
      </c>
      <c r="K6" s="92"/>
    </row>
    <row r="7" spans="1:11" ht="15.75" customHeight="1" thickBot="1" x14ac:dyDescent="0.25">
      <c r="A7" s="10" t="s">
        <v>8</v>
      </c>
      <c r="B7" s="11">
        <f t="shared" ref="B7:B15" si="0">SUM(C7:I7)+K7</f>
        <v>280</v>
      </c>
      <c r="C7" s="11">
        <v>130</v>
      </c>
      <c r="D7" s="11">
        <v>139</v>
      </c>
      <c r="E7" s="11">
        <v>3</v>
      </c>
      <c r="F7" s="11"/>
      <c r="G7" s="11"/>
      <c r="H7" s="11"/>
      <c r="I7" s="11"/>
      <c r="J7" s="91">
        <f t="shared" ref="J7:J15" si="1">SUM(D7:I7)</f>
        <v>142</v>
      </c>
      <c r="K7" s="92">
        <v>8</v>
      </c>
    </row>
    <row r="8" spans="1:11" ht="15.75" customHeight="1" thickBot="1" x14ac:dyDescent="0.25">
      <c r="A8" s="10" t="s">
        <v>9</v>
      </c>
      <c r="B8" s="11">
        <f t="shared" si="0"/>
        <v>840</v>
      </c>
      <c r="C8" s="11">
        <v>437</v>
      </c>
      <c r="D8" s="11">
        <v>339</v>
      </c>
      <c r="E8" s="11">
        <v>10</v>
      </c>
      <c r="F8" s="11">
        <v>1</v>
      </c>
      <c r="G8" s="11"/>
      <c r="H8" s="11"/>
      <c r="I8" s="11">
        <v>26</v>
      </c>
      <c r="J8" s="91">
        <f t="shared" si="1"/>
        <v>376</v>
      </c>
      <c r="K8" s="92">
        <v>27</v>
      </c>
    </row>
    <row r="9" spans="1:11" ht="15.75" customHeight="1" thickBot="1" x14ac:dyDescent="0.25">
      <c r="A9" s="10" t="s">
        <v>10</v>
      </c>
      <c r="B9" s="11">
        <f t="shared" si="0"/>
        <v>301</v>
      </c>
      <c r="C9" s="11">
        <v>181</v>
      </c>
      <c r="D9" s="11">
        <v>99</v>
      </c>
      <c r="E9" s="11">
        <v>1</v>
      </c>
      <c r="F9" s="11">
        <v>1</v>
      </c>
      <c r="G9" s="11"/>
      <c r="H9" s="11"/>
      <c r="I9" s="11">
        <v>3</v>
      </c>
      <c r="J9" s="91">
        <f t="shared" si="1"/>
        <v>104</v>
      </c>
      <c r="K9" s="92">
        <v>16</v>
      </c>
    </row>
    <row r="10" spans="1:11" ht="15.75" customHeight="1" thickBot="1" x14ac:dyDescent="0.25">
      <c r="A10" s="10" t="s">
        <v>11</v>
      </c>
      <c r="B10" s="11">
        <f t="shared" si="0"/>
        <v>97</v>
      </c>
      <c r="C10" s="11">
        <v>51</v>
      </c>
      <c r="D10" s="11">
        <v>37</v>
      </c>
      <c r="E10" s="11">
        <v>1</v>
      </c>
      <c r="F10" s="11"/>
      <c r="G10" s="11"/>
      <c r="H10" s="11"/>
      <c r="I10" s="11">
        <v>8</v>
      </c>
      <c r="J10" s="91">
        <f t="shared" si="1"/>
        <v>46</v>
      </c>
      <c r="K10" s="92"/>
    </row>
    <row r="11" spans="1:11" ht="15.75" customHeight="1" thickBot="1" x14ac:dyDescent="0.25">
      <c r="A11" s="10" t="s">
        <v>12</v>
      </c>
      <c r="B11" s="11">
        <f t="shared" si="0"/>
        <v>840</v>
      </c>
      <c r="C11" s="11">
        <v>437</v>
      </c>
      <c r="D11" s="11">
        <v>339</v>
      </c>
      <c r="E11" s="11">
        <v>10</v>
      </c>
      <c r="F11" s="11">
        <v>1</v>
      </c>
      <c r="G11" s="11"/>
      <c r="H11" s="11"/>
      <c r="I11" s="11">
        <v>26</v>
      </c>
      <c r="J11" s="91">
        <f t="shared" si="1"/>
        <v>376</v>
      </c>
      <c r="K11" s="92">
        <v>27</v>
      </c>
    </row>
    <row r="12" spans="1:11" ht="15.75" customHeight="1" thickBot="1" x14ac:dyDescent="0.25">
      <c r="A12" s="10" t="s">
        <v>13</v>
      </c>
      <c r="B12" s="11">
        <f t="shared" si="0"/>
        <v>250</v>
      </c>
      <c r="C12" s="11">
        <v>137</v>
      </c>
      <c r="D12" s="11">
        <v>96</v>
      </c>
      <c r="E12" s="11">
        <v>6</v>
      </c>
      <c r="F12" s="11"/>
      <c r="G12" s="11"/>
      <c r="H12" s="11"/>
      <c r="I12" s="11">
        <v>10</v>
      </c>
      <c r="J12" s="91">
        <f t="shared" si="1"/>
        <v>112</v>
      </c>
      <c r="K12" s="92">
        <v>1</v>
      </c>
    </row>
    <row r="13" spans="1:11" ht="15.75" customHeight="1" thickBot="1" x14ac:dyDescent="0.25">
      <c r="A13" s="10" t="s">
        <v>125</v>
      </c>
      <c r="B13" s="11">
        <f t="shared" si="0"/>
        <v>246</v>
      </c>
      <c r="C13" s="11">
        <v>136</v>
      </c>
      <c r="D13" s="11">
        <v>93</v>
      </c>
      <c r="E13" s="11">
        <v>6</v>
      </c>
      <c r="F13" s="11"/>
      <c r="G13" s="11"/>
      <c r="H13" s="11"/>
      <c r="I13" s="11">
        <v>10</v>
      </c>
      <c r="J13" s="91">
        <f t="shared" si="1"/>
        <v>109</v>
      </c>
      <c r="K13" s="92">
        <v>1</v>
      </c>
    </row>
    <row r="14" spans="1:11" ht="26.25" customHeight="1" thickBot="1" x14ac:dyDescent="0.25">
      <c r="A14" s="10" t="s">
        <v>115</v>
      </c>
      <c r="B14" s="11">
        <f t="shared" si="0"/>
        <v>31</v>
      </c>
      <c r="C14" s="11">
        <v>13</v>
      </c>
      <c r="D14" s="11">
        <v>14</v>
      </c>
      <c r="E14" s="11"/>
      <c r="F14" s="11"/>
      <c r="G14" s="11"/>
      <c r="H14" s="11"/>
      <c r="I14" s="11">
        <v>4</v>
      </c>
      <c r="J14" s="91">
        <f t="shared" si="1"/>
        <v>18</v>
      </c>
      <c r="K14" s="92"/>
    </row>
    <row r="15" spans="1:11" ht="15.75" customHeight="1" thickBot="1" x14ac:dyDescent="0.25">
      <c r="A15" s="10" t="s">
        <v>16</v>
      </c>
      <c r="B15" s="11">
        <f t="shared" si="0"/>
        <v>5</v>
      </c>
      <c r="C15" s="11">
        <v>5</v>
      </c>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130</v>
      </c>
      <c r="B20" s="176"/>
      <c r="C20" s="8"/>
      <c r="D20" s="176" t="s">
        <v>131</v>
      </c>
      <c r="E20" s="176"/>
      <c r="F20" s="176"/>
      <c r="G20" s="176"/>
      <c r="H20" s="176"/>
      <c r="I20" s="176"/>
    </row>
    <row r="21" spans="1:9" ht="15" customHeight="1" x14ac:dyDescent="0.25">
      <c r="A21" s="176" t="s">
        <v>132</v>
      </c>
      <c r="B21" s="176"/>
      <c r="C21" s="8"/>
      <c r="D21" s="176" t="s">
        <v>133</v>
      </c>
      <c r="E21" s="176"/>
      <c r="F21" s="176"/>
      <c r="G21" s="176"/>
      <c r="H21" s="176"/>
      <c r="I21" s="176"/>
    </row>
    <row r="22" spans="1:9" ht="15" customHeight="1" x14ac:dyDescent="0.25">
      <c r="A22" s="176" t="s">
        <v>134</v>
      </c>
      <c r="B22" s="176"/>
      <c r="C22" s="8"/>
      <c r="D22" s="176" t="s">
        <v>135</v>
      </c>
      <c r="E22" s="176"/>
      <c r="F22" s="176"/>
      <c r="G22" s="176"/>
      <c r="H22" s="176"/>
      <c r="I22" s="176"/>
    </row>
    <row r="23" spans="1:9" ht="15" customHeight="1" x14ac:dyDescent="0.25">
      <c r="A23" s="176" t="s">
        <v>136</v>
      </c>
      <c r="B23" s="176"/>
      <c r="C23" s="8"/>
      <c r="D23" s="176" t="s">
        <v>137</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Macomb</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52667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130</v>
      </c>
      <c r="D7" s="34">
        <f>IF((AND(C66&gt;0,C7&gt;0)),(C7/C66),0)</f>
        <v>2.4683388079822279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130</v>
      </c>
      <c r="Q7" s="42">
        <f>C6-C7</f>
        <v>52537</v>
      </c>
      <c r="R7" s="42">
        <f t="shared" ref="R7:R15" si="5">SUM(N7:Q7)</f>
        <v>52667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437</v>
      </c>
      <c r="D8" s="34">
        <f>IF((AND(C67&gt;0,C8&gt;0)),(C8/C67),0)</f>
        <v>336.15384615384613</v>
      </c>
      <c r="E8" s="33">
        <f>'Data Entry'!I8</f>
        <v>26</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26</v>
      </c>
      <c r="O8" s="42">
        <f>((D67*L67)-E8)+0.05</f>
        <v>-25.95</v>
      </c>
      <c r="P8" s="42">
        <f t="shared" si="4"/>
        <v>437</v>
      </c>
      <c r="Q8" s="42">
        <f>(C$67*L67)-C8</f>
        <v>-307</v>
      </c>
      <c r="R8" s="42">
        <f t="shared" si="5"/>
        <v>130.05000000000001</v>
      </c>
      <c r="S8" s="30">
        <f t="shared" si="6"/>
        <v>1466596143.4961247</v>
      </c>
      <c r="T8" s="30">
        <f t="shared" si="7"/>
        <v>-1002013.0250000142</v>
      </c>
      <c r="U8" s="31">
        <f t="shared" si="8"/>
        <v>-1463.6497798979249</v>
      </c>
    </row>
    <row r="9" spans="2:21" ht="18" customHeight="1" x14ac:dyDescent="0.25">
      <c r="B9" s="32" t="str">
        <f>'Data Entry'!A9</f>
        <v xml:space="preserve">4. Cases Diverted </v>
      </c>
      <c r="C9" s="33">
        <f>'Data Entry'!C9</f>
        <v>181</v>
      </c>
      <c r="D9" s="34">
        <f>IF((AND(C68&gt;0,C9&gt;0)),((C9/C68)),0)</f>
        <v>41.418764302059493</v>
      </c>
      <c r="E9" s="33">
        <f>'Data Entry'!I9</f>
        <v>3</v>
      </c>
      <c r="F9" s="34">
        <f>IF((AND($E$9&gt;0,$D$68&gt;0)),(($E$9/$D$68)),0)</f>
        <v>11.538461538461538</v>
      </c>
      <c r="G9" s="39" t="str">
        <f t="shared" si="0"/>
        <v>*</v>
      </c>
      <c r="H9" s="40"/>
      <c r="I9" s="41"/>
      <c r="J9" s="40">
        <f>IF((ABS($U9)&gt;Defaults!D$7),1,2)</f>
        <v>1</v>
      </c>
      <c r="K9" s="39">
        <f>IF((AND(N9&gt;Defaults!B$12,(N9+O9)&gt;Defaults!B$13, P9 &gt; Defaults!B$12, (P9+Q9) &gt; Defaults!B$13)),1,20)</f>
        <v>20</v>
      </c>
      <c r="L9" s="1">
        <f t="shared" si="1"/>
        <v>119</v>
      </c>
      <c r="M9" s="1" t="b">
        <f t="shared" si="2"/>
        <v>1</v>
      </c>
      <c r="N9" s="42">
        <f t="shared" si="3"/>
        <v>3</v>
      </c>
      <c r="O9" s="42">
        <f>(D$68*L68)-E9</f>
        <v>23</v>
      </c>
      <c r="P9" s="42">
        <f t="shared" si="4"/>
        <v>181</v>
      </c>
      <c r="Q9" s="42">
        <f>(C$68*L68)-C9</f>
        <v>256</v>
      </c>
      <c r="R9" s="42">
        <f t="shared" si="5"/>
        <v>463</v>
      </c>
      <c r="S9" s="30">
        <f t="shared" si="6"/>
        <v>5336549575</v>
      </c>
      <c r="T9" s="30">
        <f t="shared" si="7"/>
        <v>583279632</v>
      </c>
      <c r="U9" s="31">
        <f t="shared" si="8"/>
        <v>9.1492129713180184</v>
      </c>
    </row>
    <row r="10" spans="2:21" ht="18" customHeight="1" x14ac:dyDescent="0.25">
      <c r="B10" s="32" t="str">
        <f>'Data Entry'!A10</f>
        <v>5. Cases Involving Secure Detention</v>
      </c>
      <c r="C10" s="33">
        <f>'Data Entry'!C10</f>
        <v>51</v>
      </c>
      <c r="D10" s="34">
        <f>IF(((AND(C68&gt;0,C10&gt;0))),(C10/(C68)),0)</f>
        <v>11.670480549199084</v>
      </c>
      <c r="E10" s="33">
        <f>'Data Entry'!I10</f>
        <v>8</v>
      </c>
      <c r="F10" s="34">
        <f>IF(((AND($E$10&gt;0,$D$68&gt;0))),($E$10/($D$68)),0)</f>
        <v>30.769230769230766</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8</v>
      </c>
      <c r="O10" s="42">
        <f>(D$68*L68)-E10</f>
        <v>18</v>
      </c>
      <c r="P10" s="42">
        <f t="shared" si="4"/>
        <v>51</v>
      </c>
      <c r="Q10" s="42">
        <f>(C$68*L68)-C10</f>
        <v>386</v>
      </c>
      <c r="R10" s="42">
        <f t="shared" si="5"/>
        <v>463</v>
      </c>
      <c r="S10" s="30">
        <f t="shared" si="6"/>
        <v>2180220700</v>
      </c>
      <c r="T10" s="30">
        <f t="shared" si="7"/>
        <v>270824632</v>
      </c>
      <c r="U10" s="31">
        <f t="shared" si="8"/>
        <v>8.0503043017150677</v>
      </c>
    </row>
    <row r="11" spans="2:21" ht="18" customHeight="1" x14ac:dyDescent="0.25">
      <c r="B11" s="32" t="str">
        <f>'Data Entry'!A11</f>
        <v>6. Cases Petitioned (Charge Filed)</v>
      </c>
      <c r="C11" s="33">
        <f>'Data Entry'!C11</f>
        <v>437</v>
      </c>
      <c r="D11" s="34">
        <f>IF(((AND(C68&gt;0,C11&gt;0))),(C11/(C68)),0)</f>
        <v>100</v>
      </c>
      <c r="E11" s="33">
        <f>'Data Entry'!I11</f>
        <v>26</v>
      </c>
      <c r="F11" s="34">
        <f>IF(((AND($E$11&gt;0,$D$68&gt;0))),($E$11/($D$68)),0)</f>
        <v>100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26</v>
      </c>
      <c r="O11" s="42">
        <f>(D$68*L68)-E11</f>
        <v>0</v>
      </c>
      <c r="P11" s="42">
        <f t="shared" si="4"/>
        <v>437</v>
      </c>
      <c r="Q11" s="42">
        <f>(C$68*L68)-C11</f>
        <v>0</v>
      </c>
      <c r="R11" s="42">
        <f t="shared" si="5"/>
        <v>463</v>
      </c>
      <c r="S11" s="30">
        <f t="shared" si="6"/>
        <v>0</v>
      </c>
      <c r="T11" s="30">
        <f t="shared" si="7"/>
        <v>0</v>
      </c>
      <c r="U11" s="31" t="str">
        <f t="shared" si="8"/>
        <v>- -</v>
      </c>
    </row>
    <row r="12" spans="2:21" ht="18" customHeight="1" x14ac:dyDescent="0.25">
      <c r="B12" s="32" t="str">
        <f>'Data Entry'!A12</f>
        <v>7. Cases Resulting in Delinquent Findings</v>
      </c>
      <c r="C12" s="33">
        <f>'Data Entry'!C12</f>
        <v>137</v>
      </c>
      <c r="D12" s="34">
        <f>IF(((AND(C69&gt;0,C12&gt;0))),(C12/(C69)),0)</f>
        <v>31.350114416475972</v>
      </c>
      <c r="E12" s="33">
        <f>'Data Entry'!I12</f>
        <v>10</v>
      </c>
      <c r="F12" s="34">
        <f>IF(((AND($D$69&gt;0,$E$12&gt;0))),(E12/(D69)),0)</f>
        <v>38.46153846153846</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10</v>
      </c>
      <c r="O12" s="42">
        <f>(D69*L69)-E12</f>
        <v>16</v>
      </c>
      <c r="P12" s="42">
        <f t="shared" si="4"/>
        <v>137</v>
      </c>
      <c r="Q12" s="42">
        <f>(C69*L69)-C12</f>
        <v>300</v>
      </c>
      <c r="R12" s="42">
        <f t="shared" si="5"/>
        <v>463</v>
      </c>
      <c r="S12" s="30">
        <f t="shared" si="6"/>
        <v>302276032</v>
      </c>
      <c r="T12" s="30">
        <f t="shared" si="7"/>
        <v>527787624</v>
      </c>
      <c r="U12" s="31">
        <f t="shared" si="8"/>
        <v>0.57272284959830733</v>
      </c>
    </row>
    <row r="13" spans="2:21" ht="18" customHeight="1" x14ac:dyDescent="0.25">
      <c r="B13" s="32" t="str">
        <f>'Data Entry'!A13</f>
        <v>8. Cases Resulting in Probation Placement</v>
      </c>
      <c r="C13" s="33">
        <f>'Data Entry'!C13</f>
        <v>136</v>
      </c>
      <c r="D13" s="34">
        <f>IF(((AND(C70&gt;0,C13&gt;0))),(C13/(C70)),0)</f>
        <v>99.270072992700719</v>
      </c>
      <c r="E13" s="33">
        <f>'Data Entry'!I13</f>
        <v>10</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10</v>
      </c>
      <c r="O13" s="42">
        <f>(D70*L70)-E13</f>
        <v>0</v>
      </c>
      <c r="P13" s="42">
        <f t="shared" si="4"/>
        <v>136</v>
      </c>
      <c r="Q13" s="42">
        <f>(C70*L70)-C13</f>
        <v>1</v>
      </c>
      <c r="R13" s="42">
        <f t="shared" si="5"/>
        <v>147</v>
      </c>
      <c r="S13" s="30">
        <f t="shared" si="6"/>
        <v>14700</v>
      </c>
      <c r="T13" s="30">
        <f t="shared" si="7"/>
        <v>200020</v>
      </c>
      <c r="U13" s="31">
        <f t="shared" si="8"/>
        <v>7.3492650734926501E-2</v>
      </c>
    </row>
    <row r="14" spans="2:21" ht="30.75" customHeight="1" x14ac:dyDescent="0.25">
      <c r="B14" s="32" t="str">
        <f>'Data Entry'!A14</f>
        <v xml:space="preserve">9. Cases Resulting in Confinement in Secure Juvenile Correctional Facilities </v>
      </c>
      <c r="C14" s="33">
        <f>'Data Entry'!C14</f>
        <v>13</v>
      </c>
      <c r="D14" s="34">
        <f>IF(((AND(C70&gt;0,C14&gt;0))), ((C14/(C70))),0)</f>
        <v>9.4890510948905096</v>
      </c>
      <c r="E14" s="33">
        <f>'Data Entry'!I14</f>
        <v>4</v>
      </c>
      <c r="F14" s="34">
        <f>IF(((AND($D$70&gt;0,$E$14&gt;0))), (($E$14/($D$70))),0)</f>
        <v>40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4</v>
      </c>
      <c r="O14" s="42">
        <f>(D70*L70)-E14</f>
        <v>6</v>
      </c>
      <c r="P14" s="42">
        <f t="shared" si="4"/>
        <v>13</v>
      </c>
      <c r="Q14" s="42">
        <f>(C70*L70)-C14</f>
        <v>124</v>
      </c>
      <c r="R14" s="42">
        <f t="shared" si="5"/>
        <v>147</v>
      </c>
      <c r="S14" s="30">
        <f t="shared" si="6"/>
        <v>25684428</v>
      </c>
      <c r="T14" s="30">
        <f t="shared" si="7"/>
        <v>3027700</v>
      </c>
      <c r="U14" s="31">
        <f t="shared" si="8"/>
        <v>8.4831482643590839</v>
      </c>
    </row>
    <row r="15" spans="2:21" ht="15.75" customHeight="1" x14ac:dyDescent="0.25">
      <c r="B15" s="32" t="str">
        <f>'Data Entry'!A15</f>
        <v xml:space="preserve">10. Cases Transferred to Adult Court </v>
      </c>
      <c r="C15" s="33">
        <f>'Data Entry'!C15</f>
        <v>5</v>
      </c>
      <c r="D15" s="34">
        <f>IF(((AND(C69&gt;0,C15&gt;0))),((C15/(C69))),0)</f>
        <v>1.1441647597254003</v>
      </c>
      <c r="E15" s="33">
        <f>'Data Entry'!I15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26</v>
      </c>
      <c r="P15" s="42">
        <f t="shared" si="4"/>
        <v>5</v>
      </c>
      <c r="Q15" s="42">
        <f>(C69*L69)-C15</f>
        <v>432</v>
      </c>
      <c r="R15" s="42">
        <f t="shared" si="5"/>
        <v>463</v>
      </c>
      <c r="S15" s="30">
        <f t="shared" si="6"/>
        <v>7824700</v>
      </c>
      <c r="T15" s="30">
        <f t="shared" si="7"/>
        <v>26018980</v>
      </c>
      <c r="U15" s="31">
        <f t="shared" si="8"/>
        <v>0.30073046675926574</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52.667000000000002</v>
      </c>
      <c r="D42" s="56">
        <f>E6/1000</f>
        <v>0</v>
      </c>
      <c r="E42" s="56">
        <f>MAX(C42:D42)</f>
        <v>52.667000000000002</v>
      </c>
      <c r="G42" s="1" t="str">
        <f>B42</f>
        <v>per 1000 youth</v>
      </c>
      <c r="L42" s="57">
        <v>1000</v>
      </c>
      <c r="M42" s="57"/>
      <c r="R42" s="49"/>
    </row>
    <row r="43" spans="2:18" ht="15" hidden="1" customHeight="1" x14ac:dyDescent="0.25">
      <c r="B43" s="49" t="s">
        <v>87</v>
      </c>
      <c r="C43" s="56">
        <f>C7/100</f>
        <v>1.3</v>
      </c>
      <c r="D43" s="56">
        <f>E7/100</f>
        <v>0</v>
      </c>
      <c r="E43" s="56">
        <f>MAX(C43:D43,0)</f>
        <v>1.3</v>
      </c>
      <c r="G43" s="1" t="str">
        <f>B43</f>
        <v>per 100 arrests</v>
      </c>
      <c r="L43" s="57">
        <v>100</v>
      </c>
      <c r="M43" s="57"/>
      <c r="R43" s="49"/>
    </row>
    <row r="44" spans="2:18" ht="15" hidden="1" customHeight="1" x14ac:dyDescent="0.25">
      <c r="B44" s="49" t="s">
        <v>88</v>
      </c>
      <c r="C44" s="56">
        <f>C8/100</f>
        <v>4.37</v>
      </c>
      <c r="D44" s="56">
        <f>E8/100</f>
        <v>0.26</v>
      </c>
      <c r="E44" s="56">
        <f>MAX(C44:D44,0)</f>
        <v>4.37</v>
      </c>
      <c r="G44" s="1" t="str">
        <f>B44</f>
        <v>per 100 referrals</v>
      </c>
      <c r="L44" s="57">
        <v>100</v>
      </c>
      <c r="M44" s="57"/>
      <c r="R44" s="49"/>
    </row>
    <row r="45" spans="2:18" ht="15" hidden="1" customHeight="1" x14ac:dyDescent="0.25">
      <c r="B45" s="49" t="s">
        <v>89</v>
      </c>
      <c r="C45" s="49">
        <f>C11/100</f>
        <v>4.37</v>
      </c>
      <c r="D45" s="49">
        <f>E11/100</f>
        <v>0.26</v>
      </c>
      <c r="E45" s="56">
        <f>MAX(C45:D45,0)</f>
        <v>4.37</v>
      </c>
      <c r="G45" s="1" t="str">
        <f>B45</f>
        <v>per 100 youth petitioned</v>
      </c>
      <c r="L45" s="57">
        <v>100</v>
      </c>
      <c r="M45" s="57"/>
      <c r="R45" s="49"/>
    </row>
    <row r="46" spans="2:18" ht="15" hidden="1" customHeight="1" x14ac:dyDescent="0.25">
      <c r="B46" s="49" t="s">
        <v>90</v>
      </c>
      <c r="C46" s="49">
        <f>C12/100</f>
        <v>1.37</v>
      </c>
      <c r="D46" s="49">
        <f>E12/100</f>
        <v>0.1</v>
      </c>
      <c r="E46" s="56">
        <f>MAX(C46:D46)</f>
        <v>1.37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52.667000000000002</v>
      </c>
      <c r="D48" s="56">
        <f>D42</f>
        <v>0</v>
      </c>
      <c r="E48" s="56">
        <f>MAX(C48:D48)</f>
        <v>52.667000000000002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1.3</v>
      </c>
      <c r="D49" s="49">
        <f t="shared" si="9"/>
        <v>0</v>
      </c>
      <c r="E49" s="49">
        <f>MAX(C49:D49)</f>
        <v>1.3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4.37</v>
      </c>
      <c r="D50" s="49">
        <f t="shared" si="9"/>
        <v>0.26</v>
      </c>
      <c r="E50" s="49">
        <f>MAX(C50:D50)</f>
        <v>4.37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4.37</v>
      </c>
      <c r="D51" s="49">
        <f>IF(($E45&gt;0),D45,D44)</f>
        <v>0.26</v>
      </c>
      <c r="E51" s="49">
        <f>MAX(C51:D51)</f>
        <v>4.37</v>
      </c>
      <c r="G51" s="1" t="str">
        <f>G45</f>
        <v>per 100 youth petitioned</v>
      </c>
      <c r="L51" s="58">
        <f>IF(($E45&gt;0),L45,L44)</f>
        <v>100</v>
      </c>
      <c r="M51" s="58"/>
    </row>
    <row r="52" spans="2:18" ht="15" hidden="1" customHeight="1" x14ac:dyDescent="0.25">
      <c r="B52" s="49" t="str">
        <f>IF(($E46&gt;0),B46,B45)</f>
        <v>per 100 youth found delinquent</v>
      </c>
      <c r="C52" s="49">
        <f>IF(($E46&gt;0),C46,C45)</f>
        <v>1.37</v>
      </c>
      <c r="D52" s="49">
        <f>IF(($E46&gt;0),D46,D45)</f>
        <v>0.1</v>
      </c>
      <c r="E52" s="56">
        <f>MAX(C52:D52)</f>
        <v>1.37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52.667000000000002</v>
      </c>
      <c r="D54" s="56">
        <f>D48</f>
        <v>0</v>
      </c>
      <c r="E54" s="56">
        <f>MAX(C54:D54)</f>
        <v>52.667000000000002</v>
      </c>
      <c r="G54" s="1" t="str">
        <f>G48</f>
        <v>per 1000 youth</v>
      </c>
      <c r="L54" s="58">
        <f>L48</f>
        <v>1000</v>
      </c>
      <c r="M54" s="58"/>
    </row>
    <row r="55" spans="2:18" ht="15" hidden="1" customHeight="1" x14ac:dyDescent="0.25">
      <c r="B55" s="49" t="str">
        <f t="shared" ref="B55:D56" si="10">IF(($E49&gt;0),B49,B48)</f>
        <v>per 100 arrests</v>
      </c>
      <c r="C55" s="49">
        <f t="shared" si="10"/>
        <v>1.3</v>
      </c>
      <c r="D55" s="49">
        <f t="shared" si="10"/>
        <v>0</v>
      </c>
      <c r="E55" s="49">
        <f>MAX(C55:D55)</f>
        <v>1.3</v>
      </c>
      <c r="G55" s="1" t="str">
        <f>G49</f>
        <v>per 100 arrests</v>
      </c>
      <c r="L55" s="58">
        <f>IF(($E49&gt;0),L49,L48)</f>
        <v>100</v>
      </c>
      <c r="M55" s="58"/>
    </row>
    <row r="56" spans="2:18" ht="15" hidden="1" customHeight="1" x14ac:dyDescent="0.25">
      <c r="B56" s="49" t="str">
        <f t="shared" si="10"/>
        <v>per 100 referrals</v>
      </c>
      <c r="C56" s="49">
        <f t="shared" si="10"/>
        <v>4.37</v>
      </c>
      <c r="D56" s="49">
        <f t="shared" si="10"/>
        <v>0.26</v>
      </c>
      <c r="E56" s="49">
        <f>MAX(C56:D56)</f>
        <v>4.37</v>
      </c>
      <c r="G56" s="1" t="str">
        <f>G50</f>
        <v>per 100 referrals</v>
      </c>
      <c r="L56" s="58">
        <f>IF(($E50&gt;0),L50,L49)</f>
        <v>100</v>
      </c>
      <c r="M56" s="58"/>
    </row>
    <row r="57" spans="2:18" ht="15" hidden="1" customHeight="1" x14ac:dyDescent="0.25">
      <c r="B57" s="49" t="str">
        <f>IF(($E51&gt;0),B51,B49)</f>
        <v>per 100 youth petitioned</v>
      </c>
      <c r="C57" s="49">
        <f>IF(($E51&gt;0),C51,C50)</f>
        <v>4.37</v>
      </c>
      <c r="D57" s="49">
        <f>IF(($E51&gt;0),D51,D50)</f>
        <v>0.26</v>
      </c>
      <c r="E57" s="49">
        <f>MAX(C57:D57)</f>
        <v>4.37</v>
      </c>
      <c r="G57" s="1" t="str">
        <f>G51</f>
        <v>per 100 youth petitioned</v>
      </c>
      <c r="L57" s="58">
        <f>IF(($E51&gt;0),L51,L50)</f>
        <v>100</v>
      </c>
      <c r="M57" s="58"/>
    </row>
    <row r="58" spans="2:18" ht="15" hidden="1" customHeight="1" x14ac:dyDescent="0.25">
      <c r="B58" s="49" t="str">
        <f>IF(($E52&gt;0),B52,B51)</f>
        <v>per 100 youth found delinquent</v>
      </c>
      <c r="C58" s="49">
        <f>IF(($E52&gt;0),C52,C51)</f>
        <v>1.37</v>
      </c>
      <c r="D58" s="49">
        <f>IF(($E52&gt;0),D52,D51)</f>
        <v>0.1</v>
      </c>
      <c r="E58" s="56">
        <f>MAX(C58:D58)</f>
        <v>1.37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52.667000000000002</v>
      </c>
      <c r="D60" s="56">
        <f>D54</f>
        <v>0</v>
      </c>
      <c r="E60" s="56">
        <f>MAX(C60:D60)</f>
        <v>52.667000000000002</v>
      </c>
      <c r="G60" s="1" t="str">
        <f>G54</f>
        <v>per 1000 youth</v>
      </c>
      <c r="L60" s="58">
        <f>L54</f>
        <v>1000</v>
      </c>
      <c r="M60" s="58"/>
    </row>
    <row r="61" spans="2:18" ht="15" hidden="1" customHeight="1" x14ac:dyDescent="0.25">
      <c r="B61" s="49" t="str">
        <f t="shared" ref="B61:D62" si="11">IF(($E55&gt;0),B55,B54)</f>
        <v>per 100 arrests</v>
      </c>
      <c r="C61" s="49">
        <f t="shared" si="11"/>
        <v>1.3</v>
      </c>
      <c r="D61" s="49">
        <f t="shared" si="11"/>
        <v>0</v>
      </c>
      <c r="E61" s="49">
        <f>MAX(C61:D61)</f>
        <v>1.3</v>
      </c>
      <c r="G61" s="1" t="str">
        <f>G55</f>
        <v>per 100 arrests</v>
      </c>
      <c r="L61" s="58">
        <f>IF(($E55&gt;0),L55,L54)</f>
        <v>100</v>
      </c>
      <c r="M61" s="58"/>
    </row>
    <row r="62" spans="2:18" ht="15" hidden="1" customHeight="1" x14ac:dyDescent="0.25">
      <c r="B62" s="49" t="str">
        <f t="shared" si="11"/>
        <v>per 100 referrals</v>
      </c>
      <c r="C62" s="49">
        <f t="shared" si="11"/>
        <v>4.37</v>
      </c>
      <c r="D62" s="49">
        <f t="shared" si="11"/>
        <v>0.26</v>
      </c>
      <c r="E62" s="49">
        <f>MAX(C62:D62)</f>
        <v>4.37</v>
      </c>
      <c r="G62" s="1" t="str">
        <f>G56</f>
        <v>per 100 referrals</v>
      </c>
      <c r="L62" s="58">
        <f>IF(($E56&gt;0),L56,L55)</f>
        <v>100</v>
      </c>
      <c r="M62" s="58"/>
    </row>
    <row r="63" spans="2:18" ht="15" hidden="1" customHeight="1" x14ac:dyDescent="0.25">
      <c r="B63" s="49" t="str">
        <f>IF(($E57&gt;0),B57,B55)</f>
        <v>per 100 youth petitioned</v>
      </c>
      <c r="C63" s="49">
        <f>IF(($E57&gt;0),C57,C56)</f>
        <v>4.37</v>
      </c>
      <c r="D63" s="49">
        <f>IF(($E57&gt;0),D57,D56)</f>
        <v>0.26</v>
      </c>
      <c r="E63" s="49">
        <f>MAX(C63:D63)</f>
        <v>4.37</v>
      </c>
      <c r="G63" s="1" t="str">
        <f>G57</f>
        <v>per 100 youth petitioned</v>
      </c>
      <c r="L63" s="58">
        <f>IF(($E57&gt;0),L57,L56)</f>
        <v>100</v>
      </c>
      <c r="M63" s="58"/>
    </row>
    <row r="64" spans="2:18" ht="15" hidden="1" customHeight="1" x14ac:dyDescent="0.25">
      <c r="B64" s="49" t="str">
        <f>IF(($E58&gt;0),B58,B57)</f>
        <v>per 100 youth found delinquent</v>
      </c>
      <c r="C64" s="49">
        <f>IF(($E58&gt;0),C58,C57)</f>
        <v>1.37</v>
      </c>
      <c r="D64" s="49">
        <f>IF(($E58&gt;0),D58,D57)</f>
        <v>0.1</v>
      </c>
      <c r="E64" s="56">
        <f>MAX(C64:D64)</f>
        <v>1.37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52.667000000000002</v>
      </c>
      <c r="D66" s="56">
        <f>D60</f>
        <v>0</v>
      </c>
      <c r="E66" s="56">
        <f>MAX(C66:D66)</f>
        <v>52.667000000000002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1.3</v>
      </c>
      <c r="D67" s="49">
        <f t="shared" si="12"/>
        <v>0</v>
      </c>
      <c r="E67" s="49">
        <f>MAX(C67:D67)</f>
        <v>1.3</v>
      </c>
      <c r="G67" s="1" t="str">
        <f>G61</f>
        <v>per 100 arrests</v>
      </c>
      <c r="L67" s="58">
        <f>IF(($E61&gt;0),L61,L60)</f>
        <v>100</v>
      </c>
      <c r="M67" s="58">
        <f>IF((B67=G67),1,2)</f>
        <v>1</v>
      </c>
    </row>
    <row r="68" spans="2:13" ht="15" hidden="1" customHeight="1" x14ac:dyDescent="0.25">
      <c r="B68" s="49" t="str">
        <f t="shared" si="12"/>
        <v>per 100 referrals</v>
      </c>
      <c r="C68" s="49">
        <f t="shared" si="12"/>
        <v>4.37</v>
      </c>
      <c r="D68" s="49">
        <f t="shared" si="12"/>
        <v>0.26</v>
      </c>
      <c r="E68" s="49">
        <f>MAX(C68:D68)</f>
        <v>4.37</v>
      </c>
      <c r="G68" s="1" t="str">
        <f>G62</f>
        <v>per 100 referrals</v>
      </c>
      <c r="L68" s="58">
        <f>IF(($E62&gt;0),L62,L61)</f>
        <v>100</v>
      </c>
      <c r="M68" s="58">
        <f>IF((B68=G68),1,2)</f>
        <v>1</v>
      </c>
    </row>
    <row r="69" spans="2:13" ht="15" hidden="1" customHeight="1" x14ac:dyDescent="0.25">
      <c r="B69" s="49" t="str">
        <f>IF(($E63&gt;0),B63,B61)</f>
        <v>per 100 youth petitioned</v>
      </c>
      <c r="C69" s="49">
        <f>IF(($E63&gt;0),C63,C62)</f>
        <v>4.37</v>
      </c>
      <c r="D69" s="49">
        <f>IF(($E63&gt;0),D63,D62)</f>
        <v>0.26</v>
      </c>
      <c r="E69" s="49">
        <f>MAX(C69:D69)</f>
        <v>4.37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1.37</v>
      </c>
      <c r="D70" s="49">
        <f>IF(($E64&gt;0),D64,D63)</f>
        <v>0.1</v>
      </c>
      <c r="E70" s="56">
        <f>MAX(C70:D70)</f>
        <v>1.37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Macomb</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52667</v>
      </c>
      <c r="D6" s="34"/>
      <c r="E6" s="33">
        <f>'Data Entry'!J6</f>
        <v>20406</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130</v>
      </c>
      <c r="D7" s="34">
        <f>IF((AND(C66&gt;0,C7&gt;0)),(C7/C66),0)</f>
        <v>2.4683388079822279</v>
      </c>
      <c r="E7" s="33">
        <f>'Data Entry'!J7</f>
        <v>142</v>
      </c>
      <c r="F7" s="34">
        <f>IF((AND($E$7&gt;0,$D$66&gt;0)),($E$7/$D$66),0)</f>
        <v>6.958737626188376</v>
      </c>
      <c r="G7" s="39">
        <f t="shared" ref="G7:G15" si="0">IF(L$6=100,"*",IF(M7=FALSE,"--",IF(K7=20,"**",($F7/$D7))))</f>
        <v>2.8191987273727936</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142</v>
      </c>
      <c r="O7" s="42">
        <f>E6-E7</f>
        <v>20264</v>
      </c>
      <c r="P7" s="42">
        <f t="shared" ref="P7:P15" si="4">C7</f>
        <v>130</v>
      </c>
      <c r="Q7" s="42">
        <f>C6-C7</f>
        <v>52537</v>
      </c>
      <c r="R7" s="42">
        <f t="shared" ref="R7:R15" si="5">SUM(N7:Q7)</f>
        <v>73073</v>
      </c>
      <c r="S7" s="30">
        <f t="shared" ref="S7:S15" si="6">R7*((((N7*Q7)-(O7*P7))^2))</f>
        <v>1.7018437886269701E+18</v>
      </c>
      <c r="T7" s="30">
        <f t="shared" ref="T7:T15" si="7">(N7+O7)*(P7+Q7)*(N7+P7)*(O7+Q7)</f>
        <v>2.1281523360685344E+16</v>
      </c>
      <c r="U7" s="31">
        <f t="shared" ref="U7:U15" si="8">IF((S7&gt;0),S7/T7,"- -")</f>
        <v>79.96813760855531</v>
      </c>
    </row>
    <row r="8" spans="2:21" ht="18" customHeight="1" x14ac:dyDescent="0.25">
      <c r="B8" s="32" t="str">
        <f>'Data Entry'!A8</f>
        <v>3. Refer to Juvenile Court</v>
      </c>
      <c r="C8" s="33">
        <f>'Data Entry'!C8</f>
        <v>437</v>
      </c>
      <c r="D8" s="34">
        <f>IF((AND(C67&gt;0,C8&gt;0)),(C8/C67),0)</f>
        <v>336.15384615384613</v>
      </c>
      <c r="E8" s="33">
        <f>'Data Entry'!J8</f>
        <v>376</v>
      </c>
      <c r="F8" s="34">
        <f>IF((AND($E$8&gt;0,$D$67&gt;0)),($E8/$D67),0)</f>
        <v>264.78873239436621</v>
      </c>
      <c r="G8" s="39">
        <f t="shared" si="0"/>
        <v>0.78770103458278284</v>
      </c>
      <c r="H8" s="40"/>
      <c r="I8" s="41"/>
      <c r="J8" s="40">
        <f>IF((ABS($U8)&gt;Defaults!D$7),1,2)</f>
        <v>1</v>
      </c>
      <c r="K8" s="39">
        <f>IF((AND(N8&gt;Defaults!B$12,(N8+O8)&gt;Defaults!B$13, P8 &gt; Defaults!B$12, (P8+Q8) &gt; Defaults!B$13)),1,20)</f>
        <v>1</v>
      </c>
      <c r="L8" s="1">
        <f t="shared" si="1"/>
        <v>1</v>
      </c>
      <c r="M8" s="1" t="b">
        <f t="shared" si="2"/>
        <v>1</v>
      </c>
      <c r="N8" s="42">
        <f t="shared" si="3"/>
        <v>376</v>
      </c>
      <c r="O8" s="42">
        <f>((D67*L67)-E8)+0.05</f>
        <v>-233.95</v>
      </c>
      <c r="P8" s="42">
        <f t="shared" si="4"/>
        <v>437</v>
      </c>
      <c r="Q8" s="42">
        <f>(C$67*L67)-C8</f>
        <v>-307</v>
      </c>
      <c r="R8" s="42">
        <f t="shared" si="5"/>
        <v>272.04999999999995</v>
      </c>
      <c r="S8" s="30">
        <f t="shared" si="6"/>
        <v>47372190887.381157</v>
      </c>
      <c r="T8" s="30">
        <f t="shared" si="7"/>
        <v>-8121425431.2750006</v>
      </c>
      <c r="U8" s="31">
        <f t="shared" si="8"/>
        <v>-5.832989699684294</v>
      </c>
    </row>
    <row r="9" spans="2:21" ht="18" customHeight="1" x14ac:dyDescent="0.25">
      <c r="B9" s="32" t="str">
        <f>'Data Entry'!A9</f>
        <v xml:space="preserve">4. Cases Diverted </v>
      </c>
      <c r="C9" s="33">
        <f>'Data Entry'!C9</f>
        <v>181</v>
      </c>
      <c r="D9" s="34">
        <f>IF((AND(C68&gt;0,C9&gt;0)),((C9/C68)),0)</f>
        <v>41.418764302059493</v>
      </c>
      <c r="E9" s="33">
        <f>'Data Entry'!J9</f>
        <v>104</v>
      </c>
      <c r="F9" s="34">
        <f>IF((AND($E$9&gt;0,$D$68&gt;0)),(($E$9/$D$68)),0)</f>
        <v>27.659574468085108</v>
      </c>
      <c r="G9" s="39">
        <f t="shared" si="0"/>
        <v>0.6678029857764195</v>
      </c>
      <c r="H9" s="40"/>
      <c r="I9" s="41"/>
      <c r="J9" s="40">
        <f>IF((ABS($U9)&gt;Defaults!D$7),1,2)</f>
        <v>1</v>
      </c>
      <c r="K9" s="39">
        <f>IF((AND(N9&gt;Defaults!B$12,(N9+O9)&gt;Defaults!B$13, P9 &gt; Defaults!B$12, (P9+Q9) &gt; Defaults!B$13)),1,20)</f>
        <v>1</v>
      </c>
      <c r="L9" s="1">
        <f t="shared" si="1"/>
        <v>1</v>
      </c>
      <c r="M9" s="1" t="b">
        <f t="shared" si="2"/>
        <v>1</v>
      </c>
      <c r="N9" s="42">
        <f t="shared" si="3"/>
        <v>104</v>
      </c>
      <c r="O9" s="42">
        <f>(D$68*L68)-E9</f>
        <v>272</v>
      </c>
      <c r="P9" s="42">
        <f t="shared" si="4"/>
        <v>181</v>
      </c>
      <c r="Q9" s="42">
        <f>(C$68*L68)-C9</f>
        <v>256</v>
      </c>
      <c r="R9" s="42">
        <f t="shared" si="5"/>
        <v>813</v>
      </c>
      <c r="S9" s="30">
        <f t="shared" si="6"/>
        <v>415541912832</v>
      </c>
      <c r="T9" s="30">
        <f t="shared" si="7"/>
        <v>24725669760</v>
      </c>
      <c r="U9" s="31">
        <f t="shared" si="8"/>
        <v>16.806093297591627</v>
      </c>
    </row>
    <row r="10" spans="2:21" ht="18" customHeight="1" x14ac:dyDescent="0.25">
      <c r="B10" s="32" t="str">
        <f>'Data Entry'!A10</f>
        <v>5. Cases Involving Secure Detention</v>
      </c>
      <c r="C10" s="33">
        <f>'Data Entry'!C10</f>
        <v>51</v>
      </c>
      <c r="D10" s="34">
        <f>IF(((AND(C68&gt;0,C10&gt;0))),(C10/(C68)),0)</f>
        <v>11.670480549199084</v>
      </c>
      <c r="E10" s="33">
        <f>'Data Entry'!J10</f>
        <v>46</v>
      </c>
      <c r="F10" s="34">
        <f>IF(((AND($E$10&gt;0,$D$68&gt;0))),($E$10/($D$68)),0)</f>
        <v>12.23404255319149</v>
      </c>
      <c r="G10" s="39">
        <f t="shared" si="0"/>
        <v>1.0482895285773886</v>
      </c>
      <c r="H10" s="40"/>
      <c r="I10" s="41"/>
      <c r="J10" s="40">
        <f>IF((ABS($U10)&gt;Defaults!D$7),1,2)</f>
        <v>2</v>
      </c>
      <c r="K10" s="39">
        <f>IF((AND(N10&gt;Defaults!B$12,(N10+O10)&gt;Defaults!B$13, P10 &gt; Defaults!B$12, (P10+Q10) &gt; Defaults!B$13)),1,20)</f>
        <v>1</v>
      </c>
      <c r="L10" s="1">
        <f t="shared" si="1"/>
        <v>2</v>
      </c>
      <c r="M10" s="1" t="b">
        <f t="shared" si="2"/>
        <v>1</v>
      </c>
      <c r="N10" s="42">
        <f t="shared" si="3"/>
        <v>46</v>
      </c>
      <c r="O10" s="42">
        <f>(D$68*L68)-E10</f>
        <v>330</v>
      </c>
      <c r="P10" s="42">
        <f t="shared" si="4"/>
        <v>51</v>
      </c>
      <c r="Q10" s="42">
        <f>(C$68*L68)-C10</f>
        <v>386</v>
      </c>
      <c r="R10" s="42">
        <f t="shared" si="5"/>
        <v>813</v>
      </c>
      <c r="S10" s="30">
        <f t="shared" si="6"/>
        <v>697127988</v>
      </c>
      <c r="T10" s="30">
        <f t="shared" si="7"/>
        <v>11411797024</v>
      </c>
      <c r="U10" s="31">
        <f t="shared" si="8"/>
        <v>6.1088362028686567E-2</v>
      </c>
    </row>
    <row r="11" spans="2:21" ht="18" customHeight="1" x14ac:dyDescent="0.25">
      <c r="B11" s="32" t="str">
        <f>'Data Entry'!A11</f>
        <v>6. Cases Petitioned (Charge Filed)</v>
      </c>
      <c r="C11" s="33">
        <f>'Data Entry'!C11</f>
        <v>437</v>
      </c>
      <c r="D11" s="34">
        <f>IF(((AND(C68&gt;0,C11&gt;0))),(C11/(C68)),0)</f>
        <v>100</v>
      </c>
      <c r="E11" s="33">
        <f>'Data Entry'!J11</f>
        <v>376</v>
      </c>
      <c r="F11" s="34">
        <f>IF(((AND($E$11&gt;0,$D$68&gt;0))),($E$11/($D$68)),0)</f>
        <v>100</v>
      </c>
      <c r="G11" s="39" t="str">
        <f t="shared" si="0"/>
        <v>--</v>
      </c>
      <c r="H11" s="40"/>
      <c r="I11" s="41"/>
      <c r="J11" s="40" t="e">
        <f>IF((ABS($U11)&gt;Defaults!D$7),1,2)</f>
        <v>#VALUE!</v>
      </c>
      <c r="K11" s="39">
        <f>IF((AND(N11&gt;Defaults!B$12,(N11+O11)&gt;Defaults!B$13, P11 &gt; Defaults!B$12, (P11+Q11) &gt; Defaults!B$13)),1,20)</f>
        <v>1</v>
      </c>
      <c r="L11" s="1" t="e">
        <f t="shared" si="1"/>
        <v>#VALUE!</v>
      </c>
      <c r="M11" s="1" t="b">
        <f t="shared" si="2"/>
        <v>0</v>
      </c>
      <c r="N11" s="42">
        <f t="shared" si="3"/>
        <v>376</v>
      </c>
      <c r="O11" s="42">
        <f>(D$68*L68)-E11</f>
        <v>0</v>
      </c>
      <c r="P11" s="42">
        <f t="shared" si="4"/>
        <v>437</v>
      </c>
      <c r="Q11" s="42">
        <f>(C$68*L68)-C11</f>
        <v>0</v>
      </c>
      <c r="R11" s="42">
        <f t="shared" si="5"/>
        <v>813</v>
      </c>
      <c r="S11" s="30">
        <f t="shared" si="6"/>
        <v>0</v>
      </c>
      <c r="T11" s="30">
        <f t="shared" si="7"/>
        <v>0</v>
      </c>
      <c r="U11" s="31" t="str">
        <f t="shared" si="8"/>
        <v>- -</v>
      </c>
    </row>
    <row r="12" spans="2:21" ht="18" customHeight="1" x14ac:dyDescent="0.25">
      <c r="B12" s="32" t="str">
        <f>'Data Entry'!A12</f>
        <v>7. Cases Resulting in Delinquent Findings</v>
      </c>
      <c r="C12" s="33">
        <f>'Data Entry'!C12</f>
        <v>137</v>
      </c>
      <c r="D12" s="34">
        <f>IF(((AND(C69&gt;0,C12&gt;0))),(C12/(C69)),0)</f>
        <v>31.350114416475972</v>
      </c>
      <c r="E12" s="33">
        <f>'Data Entry'!J12</f>
        <v>112</v>
      </c>
      <c r="F12" s="34">
        <f>IF(((AND($D$69&gt;0,$E$12&gt;0))),(E12/(D69)),0)</f>
        <v>29.787234042553195</v>
      </c>
      <c r="G12" s="39">
        <f t="shared" si="0"/>
        <v>0.95014753843764577</v>
      </c>
      <c r="H12" s="40"/>
      <c r="I12" s="41"/>
      <c r="J12" s="40">
        <f>IF((ABS($U12)&gt;Defaults!D$7),1,2)</f>
        <v>2</v>
      </c>
      <c r="K12" s="39">
        <f>IF((AND(N12&gt;Defaults!B$12,(N12+O12)&gt;Defaults!B$13, P12 &gt; Defaults!B$12, (P12+Q12) &gt; Defaults!B$13)),1,20)</f>
        <v>1</v>
      </c>
      <c r="L12" s="1">
        <f t="shared" si="1"/>
        <v>2</v>
      </c>
      <c r="M12" s="1" t="b">
        <f t="shared" si="2"/>
        <v>1</v>
      </c>
      <c r="N12" s="42">
        <f t="shared" si="3"/>
        <v>112</v>
      </c>
      <c r="O12" s="42">
        <f>(D69*L69)-E12</f>
        <v>264</v>
      </c>
      <c r="P12" s="42">
        <f t="shared" si="4"/>
        <v>137</v>
      </c>
      <c r="Q12" s="42">
        <f>(C69*L69)-C12</f>
        <v>300</v>
      </c>
      <c r="R12" s="42">
        <f t="shared" si="5"/>
        <v>813</v>
      </c>
      <c r="S12" s="30">
        <f t="shared" si="6"/>
        <v>5361429312</v>
      </c>
      <c r="T12" s="30">
        <f t="shared" si="7"/>
        <v>23075320032</v>
      </c>
      <c r="U12" s="31">
        <f t="shared" si="8"/>
        <v>0.23234474341265768</v>
      </c>
    </row>
    <row r="13" spans="2:21" ht="18" customHeight="1" x14ac:dyDescent="0.25">
      <c r="B13" s="32" t="str">
        <f>'Data Entry'!A13</f>
        <v>8. Cases Resulting in Probation Placement</v>
      </c>
      <c r="C13" s="33">
        <f>'Data Entry'!C13</f>
        <v>136</v>
      </c>
      <c r="D13" s="34">
        <f>IF(((AND(C70&gt;0,C13&gt;0))),(C13/(C70)),0)</f>
        <v>99.270072992700719</v>
      </c>
      <c r="E13" s="33">
        <f>'Data Entry'!J13</f>
        <v>109</v>
      </c>
      <c r="F13" s="34">
        <f>IF(((AND($D$70&gt;0,$E$13&gt;0))),($E$13/($D$70)),0)</f>
        <v>97.321428571428555</v>
      </c>
      <c r="G13" s="39">
        <f t="shared" si="0"/>
        <v>0.98037027310924363</v>
      </c>
      <c r="H13" s="40"/>
      <c r="I13" s="41"/>
      <c r="J13" s="40">
        <f>IF((ABS($U13)&gt;Defaults!D$7),1,2)</f>
        <v>2</v>
      </c>
      <c r="K13" s="39">
        <f>IF((AND(N13&gt;Defaults!B$12,(N13+O13)&gt;Defaults!B$13, P13 &gt; Defaults!B$12, (P13+Q13) &gt; Defaults!B$13)),1,20)</f>
        <v>1</v>
      </c>
      <c r="L13" s="1">
        <f t="shared" si="1"/>
        <v>2</v>
      </c>
      <c r="M13" s="1" t="b">
        <f t="shared" si="2"/>
        <v>1</v>
      </c>
      <c r="N13" s="42">
        <f t="shared" si="3"/>
        <v>109</v>
      </c>
      <c r="O13" s="42">
        <f>(D70*L70)-E13</f>
        <v>3.0000000000000142</v>
      </c>
      <c r="P13" s="42">
        <f t="shared" si="4"/>
        <v>136</v>
      </c>
      <c r="Q13" s="42">
        <f>(C70*L70)-C13</f>
        <v>1</v>
      </c>
      <c r="R13" s="42">
        <f t="shared" si="5"/>
        <v>249</v>
      </c>
      <c r="S13" s="30">
        <f t="shared" si="6"/>
        <v>22260849.000000287</v>
      </c>
      <c r="T13" s="30">
        <f t="shared" si="7"/>
        <v>15037120.000000056</v>
      </c>
      <c r="U13" s="31">
        <f t="shared" si="8"/>
        <v>1.4803931204911716</v>
      </c>
    </row>
    <row r="14" spans="2:21" ht="30.75" customHeight="1" x14ac:dyDescent="0.25">
      <c r="B14" s="32" t="str">
        <f>'Data Entry'!A14</f>
        <v xml:space="preserve">9. Cases Resulting in Confinement in Secure Juvenile Correctional Facilities </v>
      </c>
      <c r="C14" s="33">
        <f>'Data Entry'!C14</f>
        <v>13</v>
      </c>
      <c r="D14" s="34">
        <f>IF(((AND(C70&gt;0,C14&gt;0))), ((C14/(C70))),0)</f>
        <v>9.4890510948905096</v>
      </c>
      <c r="E14" s="33">
        <f>'Data Entry'!J14</f>
        <v>18</v>
      </c>
      <c r="F14" s="34">
        <f>IF(((AND($D$70&gt;0,$E$14&gt;0))), (($E$14/($D$70))),0)</f>
        <v>16.071428571428569</v>
      </c>
      <c r="G14" s="39">
        <f t="shared" si="0"/>
        <v>1.6936813186813187</v>
      </c>
      <c r="H14" s="40"/>
      <c r="I14" s="41"/>
      <c r="J14" s="40">
        <f>IF((ABS($U14)&gt;Defaults!D$7),1,2)</f>
        <v>2</v>
      </c>
      <c r="K14" s="39">
        <f>IF((AND(N14&gt;Defaults!B$12,(N14+O14)&gt;Defaults!B$13, P14 &gt; Defaults!B$12, (P14+Q14) &gt; Defaults!B$13)),1,20)</f>
        <v>1</v>
      </c>
      <c r="L14" s="1">
        <f t="shared" si="1"/>
        <v>2</v>
      </c>
      <c r="M14" s="1" t="b">
        <f t="shared" si="2"/>
        <v>1</v>
      </c>
      <c r="N14" s="42">
        <f t="shared" si="3"/>
        <v>18</v>
      </c>
      <c r="O14" s="42">
        <f>(D70*L70)-E14</f>
        <v>94.000000000000014</v>
      </c>
      <c r="P14" s="42">
        <f t="shared" si="4"/>
        <v>13</v>
      </c>
      <c r="Q14" s="42">
        <f>(C70*L70)-C14</f>
        <v>124</v>
      </c>
      <c r="R14" s="42">
        <f t="shared" si="5"/>
        <v>249</v>
      </c>
      <c r="S14" s="30">
        <f t="shared" si="6"/>
        <v>254004899.99999988</v>
      </c>
      <c r="T14" s="30">
        <f t="shared" si="7"/>
        <v>103694752.00000001</v>
      </c>
      <c r="U14" s="31">
        <f t="shared" si="8"/>
        <v>2.4495444089590941</v>
      </c>
    </row>
    <row r="15" spans="2:21" ht="15.75" customHeight="1" x14ac:dyDescent="0.25">
      <c r="B15" s="32" t="str">
        <f>'Data Entry'!A15</f>
        <v xml:space="preserve">10. Cases Transferred to Adult Court </v>
      </c>
      <c r="C15" s="33">
        <f>'Data Entry'!C15</f>
        <v>5</v>
      </c>
      <c r="D15" s="34">
        <f>IF(((AND(C69&gt;0,C15&gt;0))),((C15/(C69))),0)</f>
        <v>1.1441647597254003</v>
      </c>
      <c r="E15" s="33">
        <f>'Data Entry'!J15</f>
        <v>0</v>
      </c>
      <c r="F15" s="34">
        <f>IF(((AND($D$69&gt;0,$E$15&gt;0))),(($E$15/($D$69))),0)</f>
        <v>0</v>
      </c>
      <c r="G15" s="39" t="str">
        <f t="shared" si="0"/>
        <v>**</v>
      </c>
      <c r="H15" s="40"/>
      <c r="I15" s="41"/>
      <c r="J15" s="40">
        <f>IF((ABS($U15)&gt;Defaults!D$7),1,2)</f>
        <v>1</v>
      </c>
      <c r="K15" s="39">
        <f>IF((AND(N15&gt;Defaults!B$12,(N15+O15)&gt;Defaults!B$13, P15 &gt; Defaults!B$12, (P15+Q15) &gt; Defaults!B$13)),1,20)</f>
        <v>20</v>
      </c>
      <c r="L15" s="1">
        <f t="shared" si="1"/>
        <v>20</v>
      </c>
      <c r="M15" s="1" t="b">
        <f t="shared" si="2"/>
        <v>1</v>
      </c>
      <c r="N15" s="42">
        <f t="shared" si="3"/>
        <v>0</v>
      </c>
      <c r="O15" s="42">
        <f>(D69*L69)-E15</f>
        <v>376</v>
      </c>
      <c r="P15" s="42">
        <f t="shared" si="4"/>
        <v>5</v>
      </c>
      <c r="Q15" s="42">
        <f>(C69*L69)-C15</f>
        <v>432</v>
      </c>
      <c r="R15" s="42">
        <f t="shared" si="5"/>
        <v>813</v>
      </c>
      <c r="S15" s="30">
        <f t="shared" si="6"/>
        <v>2873467200</v>
      </c>
      <c r="T15" s="30">
        <f t="shared" si="7"/>
        <v>663820480</v>
      </c>
      <c r="U15" s="31">
        <f t="shared" si="8"/>
        <v>4.3286811518680475</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52.667000000000002</v>
      </c>
      <c r="D42" s="56">
        <f>E6/1000</f>
        <v>20.405999999999999</v>
      </c>
      <c r="E42" s="56">
        <f>MAX(C42:D42)</f>
        <v>52.667000000000002</v>
      </c>
      <c r="G42" s="1" t="str">
        <f>B42</f>
        <v>per 1000 youth</v>
      </c>
      <c r="L42" s="57">
        <v>1000</v>
      </c>
      <c r="M42" s="57"/>
      <c r="R42" s="49"/>
    </row>
    <row r="43" spans="2:18" ht="15" hidden="1" customHeight="1" x14ac:dyDescent="0.25">
      <c r="B43" s="49" t="s">
        <v>87</v>
      </c>
      <c r="C43" s="56">
        <f>C7/100</f>
        <v>1.3</v>
      </c>
      <c r="D43" s="56">
        <f>E7/100</f>
        <v>1.42</v>
      </c>
      <c r="E43" s="56">
        <f>MAX(C43:D43,0)</f>
        <v>1.42</v>
      </c>
      <c r="G43" s="1" t="str">
        <f>B43</f>
        <v>per 100 arrests</v>
      </c>
      <c r="L43" s="57">
        <v>100</v>
      </c>
      <c r="M43" s="57"/>
      <c r="R43" s="49"/>
    </row>
    <row r="44" spans="2:18" ht="15" hidden="1" customHeight="1" x14ac:dyDescent="0.25">
      <c r="B44" s="49" t="s">
        <v>88</v>
      </c>
      <c r="C44" s="56">
        <f>C8/100</f>
        <v>4.37</v>
      </c>
      <c r="D44" s="56">
        <f>E8/100</f>
        <v>3.76</v>
      </c>
      <c r="E44" s="56">
        <f>MAX(C44:D44,0)</f>
        <v>4.37</v>
      </c>
      <c r="G44" s="1" t="str">
        <f>B44</f>
        <v>per 100 referrals</v>
      </c>
      <c r="L44" s="57">
        <v>100</v>
      </c>
      <c r="M44" s="57"/>
      <c r="R44" s="49"/>
    </row>
    <row r="45" spans="2:18" ht="15" hidden="1" customHeight="1" x14ac:dyDescent="0.25">
      <c r="B45" s="49" t="s">
        <v>89</v>
      </c>
      <c r="C45" s="49">
        <f>C11/100</f>
        <v>4.37</v>
      </c>
      <c r="D45" s="49">
        <f>E11/100</f>
        <v>3.76</v>
      </c>
      <c r="E45" s="56">
        <f>MAX(C45:D45,0)</f>
        <v>4.37</v>
      </c>
      <c r="G45" s="1" t="str">
        <f>B45</f>
        <v>per 100 youth petitioned</v>
      </c>
      <c r="L45" s="57">
        <v>100</v>
      </c>
      <c r="M45" s="57"/>
      <c r="R45" s="49"/>
    </row>
    <row r="46" spans="2:18" ht="15" hidden="1" customHeight="1" x14ac:dyDescent="0.25">
      <c r="B46" s="49" t="s">
        <v>90</v>
      </c>
      <c r="C46" s="49">
        <f>C12/100</f>
        <v>1.37</v>
      </c>
      <c r="D46" s="49">
        <f>E12/100</f>
        <v>1.1200000000000001</v>
      </c>
      <c r="E46" s="56">
        <f>MAX(C46:D46)</f>
        <v>1.37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52.667000000000002</v>
      </c>
      <c r="D48" s="56">
        <f>D42</f>
        <v>20.405999999999999</v>
      </c>
      <c r="E48" s="56">
        <f>MAX(C48:D48)</f>
        <v>52.667000000000002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1.3</v>
      </c>
      <c r="D49" s="49">
        <f t="shared" si="9"/>
        <v>1.42</v>
      </c>
      <c r="E49" s="49">
        <f>MAX(C49:D49)</f>
        <v>1.42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4.37</v>
      </c>
      <c r="D50" s="49">
        <f t="shared" si="9"/>
        <v>3.76</v>
      </c>
      <c r="E50" s="49">
        <f>MAX(C50:D50)</f>
        <v>4.37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4.37</v>
      </c>
      <c r="D51" s="49">
        <f>IF(($E45&gt;0),D45,D44)</f>
        <v>3.76</v>
      </c>
      <c r="E51" s="49">
        <f>MAX(C51:D51)</f>
        <v>4.37</v>
      </c>
      <c r="G51" s="1" t="str">
        <f>G45</f>
        <v>per 100 youth petitioned</v>
      </c>
      <c r="L51" s="58">
        <f>IF(($E45&gt;0),L45,L44)</f>
        <v>100</v>
      </c>
      <c r="M51" s="58"/>
    </row>
    <row r="52" spans="2:18" ht="15" hidden="1" customHeight="1" x14ac:dyDescent="0.25">
      <c r="B52" s="49" t="str">
        <f>IF(($E46&gt;0),B46,B45)</f>
        <v>per 100 youth found delinquent</v>
      </c>
      <c r="C52" s="49">
        <f>IF(($E46&gt;0),C46,C45)</f>
        <v>1.37</v>
      </c>
      <c r="D52" s="49">
        <f>IF(($E46&gt;0),D46,D45)</f>
        <v>1.1200000000000001</v>
      </c>
      <c r="E52" s="56">
        <f>MAX(C52:D52)</f>
        <v>1.37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52.667000000000002</v>
      </c>
      <c r="D54" s="56">
        <f>D48</f>
        <v>20.405999999999999</v>
      </c>
      <c r="E54" s="56">
        <f>MAX(C54:D54)</f>
        <v>52.667000000000002</v>
      </c>
      <c r="G54" s="1" t="str">
        <f>G48</f>
        <v>per 1000 youth</v>
      </c>
      <c r="L54" s="58">
        <f>L48</f>
        <v>1000</v>
      </c>
      <c r="M54" s="58"/>
    </row>
    <row r="55" spans="2:18" ht="15" hidden="1" customHeight="1" x14ac:dyDescent="0.25">
      <c r="B55" s="49" t="str">
        <f t="shared" ref="B55:D56" si="10">IF(($E49&gt;0),B49,B48)</f>
        <v>per 100 arrests</v>
      </c>
      <c r="C55" s="49">
        <f t="shared" si="10"/>
        <v>1.3</v>
      </c>
      <c r="D55" s="49">
        <f t="shared" si="10"/>
        <v>1.42</v>
      </c>
      <c r="E55" s="49">
        <f>MAX(C55:D55)</f>
        <v>1.42</v>
      </c>
      <c r="G55" s="1" t="str">
        <f>G49</f>
        <v>per 100 arrests</v>
      </c>
      <c r="L55" s="58">
        <f>IF(($E49&gt;0),L49,L48)</f>
        <v>100</v>
      </c>
      <c r="M55" s="58"/>
    </row>
    <row r="56" spans="2:18" ht="15" hidden="1" customHeight="1" x14ac:dyDescent="0.25">
      <c r="B56" s="49" t="str">
        <f t="shared" si="10"/>
        <v>per 100 referrals</v>
      </c>
      <c r="C56" s="49">
        <f t="shared" si="10"/>
        <v>4.37</v>
      </c>
      <c r="D56" s="49">
        <f t="shared" si="10"/>
        <v>3.76</v>
      </c>
      <c r="E56" s="49">
        <f>MAX(C56:D56)</f>
        <v>4.37</v>
      </c>
      <c r="G56" s="1" t="str">
        <f>G50</f>
        <v>per 100 referrals</v>
      </c>
      <c r="L56" s="58">
        <f>IF(($E50&gt;0),L50,L49)</f>
        <v>100</v>
      </c>
      <c r="M56" s="58"/>
    </row>
    <row r="57" spans="2:18" ht="15" hidden="1" customHeight="1" x14ac:dyDescent="0.25">
      <c r="B57" s="49" t="str">
        <f>IF(($E51&gt;0),B51,B49)</f>
        <v>per 100 youth petitioned</v>
      </c>
      <c r="C57" s="49">
        <f>IF(($E51&gt;0),C51,C50)</f>
        <v>4.37</v>
      </c>
      <c r="D57" s="49">
        <f>IF(($E51&gt;0),D51,D50)</f>
        <v>3.76</v>
      </c>
      <c r="E57" s="49">
        <f>MAX(C57:D57)</f>
        <v>4.37</v>
      </c>
      <c r="G57" s="1" t="str">
        <f>G51</f>
        <v>per 100 youth petitioned</v>
      </c>
      <c r="L57" s="58">
        <f>IF(($E51&gt;0),L51,L50)</f>
        <v>100</v>
      </c>
      <c r="M57" s="58"/>
    </row>
    <row r="58" spans="2:18" ht="15" hidden="1" customHeight="1" x14ac:dyDescent="0.25">
      <c r="B58" s="49" t="str">
        <f>IF(($E52&gt;0),B52,B51)</f>
        <v>per 100 youth found delinquent</v>
      </c>
      <c r="C58" s="49">
        <f>IF(($E52&gt;0),C52,C51)</f>
        <v>1.37</v>
      </c>
      <c r="D58" s="49">
        <f>IF(($E52&gt;0),D52,D51)</f>
        <v>1.1200000000000001</v>
      </c>
      <c r="E58" s="56">
        <f>MAX(C58:D58)</f>
        <v>1.37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52.667000000000002</v>
      </c>
      <c r="D60" s="56">
        <f>D54</f>
        <v>20.405999999999999</v>
      </c>
      <c r="E60" s="56">
        <f>MAX(C60:D60)</f>
        <v>52.667000000000002</v>
      </c>
      <c r="G60" s="1" t="str">
        <f>G54</f>
        <v>per 1000 youth</v>
      </c>
      <c r="L60" s="58">
        <f>L54</f>
        <v>1000</v>
      </c>
      <c r="M60" s="58"/>
    </row>
    <row r="61" spans="2:18" ht="15" hidden="1" customHeight="1" x14ac:dyDescent="0.25">
      <c r="B61" s="49" t="str">
        <f t="shared" ref="B61:D62" si="11">IF(($E55&gt;0),B55,B54)</f>
        <v>per 100 arrests</v>
      </c>
      <c r="C61" s="49">
        <f t="shared" si="11"/>
        <v>1.3</v>
      </c>
      <c r="D61" s="49">
        <f t="shared" si="11"/>
        <v>1.42</v>
      </c>
      <c r="E61" s="49">
        <f>MAX(C61:D61)</f>
        <v>1.42</v>
      </c>
      <c r="G61" s="1" t="str">
        <f>G55</f>
        <v>per 100 arrests</v>
      </c>
      <c r="L61" s="58">
        <f>IF(($E55&gt;0),L55,L54)</f>
        <v>100</v>
      </c>
      <c r="M61" s="58"/>
    </row>
    <row r="62" spans="2:18" ht="15" hidden="1" customHeight="1" x14ac:dyDescent="0.25">
      <c r="B62" s="49" t="str">
        <f t="shared" si="11"/>
        <v>per 100 referrals</v>
      </c>
      <c r="C62" s="49">
        <f t="shared" si="11"/>
        <v>4.37</v>
      </c>
      <c r="D62" s="49">
        <f t="shared" si="11"/>
        <v>3.76</v>
      </c>
      <c r="E62" s="49">
        <f>MAX(C62:D62)</f>
        <v>4.37</v>
      </c>
      <c r="G62" s="1" t="str">
        <f>G56</f>
        <v>per 100 referrals</v>
      </c>
      <c r="L62" s="58">
        <f>IF(($E56&gt;0),L56,L55)</f>
        <v>100</v>
      </c>
      <c r="M62" s="58"/>
    </row>
    <row r="63" spans="2:18" ht="15" hidden="1" customHeight="1" x14ac:dyDescent="0.25">
      <c r="B63" s="49" t="str">
        <f>IF(($E57&gt;0),B57,B55)</f>
        <v>per 100 youth petitioned</v>
      </c>
      <c r="C63" s="49">
        <f>IF(($E57&gt;0),C57,C56)</f>
        <v>4.37</v>
      </c>
      <c r="D63" s="49">
        <f>IF(($E57&gt;0),D57,D56)</f>
        <v>3.76</v>
      </c>
      <c r="E63" s="49">
        <f>MAX(C63:D63)</f>
        <v>4.37</v>
      </c>
      <c r="G63" s="1" t="str">
        <f>G57</f>
        <v>per 100 youth petitioned</v>
      </c>
      <c r="L63" s="58">
        <f>IF(($E57&gt;0),L57,L56)</f>
        <v>100</v>
      </c>
      <c r="M63" s="58"/>
    </row>
    <row r="64" spans="2:18" ht="15" hidden="1" customHeight="1" x14ac:dyDescent="0.25">
      <c r="B64" s="49" t="str">
        <f>IF(($E58&gt;0),B58,B57)</f>
        <v>per 100 youth found delinquent</v>
      </c>
      <c r="C64" s="49">
        <f>IF(($E58&gt;0),C58,C57)</f>
        <v>1.37</v>
      </c>
      <c r="D64" s="49">
        <f>IF(($E58&gt;0),D58,D57)</f>
        <v>1.1200000000000001</v>
      </c>
      <c r="E64" s="56">
        <f>MAX(C64:D64)</f>
        <v>1.37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52.667000000000002</v>
      </c>
      <c r="D66" s="56">
        <f>D60</f>
        <v>20.405999999999999</v>
      </c>
      <c r="E66" s="56">
        <f>MAX(C66:D66)</f>
        <v>52.667000000000002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1.3</v>
      </c>
      <c r="D67" s="49">
        <f t="shared" si="12"/>
        <v>1.42</v>
      </c>
      <c r="E67" s="49">
        <f>MAX(C67:D67)</f>
        <v>1.42</v>
      </c>
      <c r="G67" s="1" t="str">
        <f>G61</f>
        <v>per 100 arrests</v>
      </c>
      <c r="L67" s="58">
        <f>IF(($E61&gt;0),L61,L60)</f>
        <v>100</v>
      </c>
      <c r="M67" s="58">
        <f>IF((B67=G67),1,2)</f>
        <v>1</v>
      </c>
    </row>
    <row r="68" spans="2:13" ht="15" hidden="1" customHeight="1" x14ac:dyDescent="0.25">
      <c r="B68" s="49" t="str">
        <f t="shared" si="12"/>
        <v>per 100 referrals</v>
      </c>
      <c r="C68" s="49">
        <f t="shared" si="12"/>
        <v>4.37</v>
      </c>
      <c r="D68" s="49">
        <f t="shared" si="12"/>
        <v>3.76</v>
      </c>
      <c r="E68" s="49">
        <f>MAX(C68:D68)</f>
        <v>4.37</v>
      </c>
      <c r="G68" s="1" t="str">
        <f>G62</f>
        <v>per 100 referrals</v>
      </c>
      <c r="L68" s="58">
        <f>IF(($E62&gt;0),L62,L61)</f>
        <v>100</v>
      </c>
      <c r="M68" s="58">
        <f>IF((B68=G68),1,2)</f>
        <v>1</v>
      </c>
    </row>
    <row r="69" spans="2:13" ht="15" hidden="1" customHeight="1" x14ac:dyDescent="0.25">
      <c r="B69" s="49" t="str">
        <f>IF(($E63&gt;0),B63,B61)</f>
        <v>per 100 youth petitioned</v>
      </c>
      <c r="C69" s="49">
        <f>IF(($E63&gt;0),C63,C62)</f>
        <v>4.37</v>
      </c>
      <c r="D69" s="49">
        <f>IF(($E63&gt;0),D63,D62)</f>
        <v>3.76</v>
      </c>
      <c r="E69" s="49">
        <f>MAX(C69:D69)</f>
        <v>4.37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1.37</v>
      </c>
      <c r="D70" s="49">
        <f>IF(($E64&gt;0),D64,D63)</f>
        <v>1.1200000000000001</v>
      </c>
      <c r="E70" s="56">
        <f>MAX(C70:D70)</f>
        <v>1.37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Macomb</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4.4229639430629062</v>
      </c>
      <c r="D7" s="72" t="str">
        <f>Hispanic!G7</f>
        <v>**</v>
      </c>
      <c r="E7" s="72" t="str">
        <f>Asian!G7</f>
        <v>**</v>
      </c>
      <c r="F7" s="72" t="str">
        <f>Hawaiian!G7</f>
        <v>*</v>
      </c>
      <c r="G7" s="72" t="str">
        <f>'Am Indian'!G7</f>
        <v>*</v>
      </c>
      <c r="H7" s="72" t="str">
        <f>'Other - Mixed'!G7</f>
        <v>*</v>
      </c>
      <c r="I7" s="73">
        <f>'All Minorities'!G7</f>
        <v>2.8191987273727936</v>
      </c>
      <c r="L7" s="1">
        <f>'Black or African-American'!L7</f>
        <v>1</v>
      </c>
      <c r="M7" s="1">
        <f>Hispanic!L7</f>
        <v>40</v>
      </c>
      <c r="N7" s="1">
        <f>Asian!L7</f>
        <v>20</v>
      </c>
      <c r="O7" s="1" t="e">
        <f>Hawaiian!L7</f>
        <v>#VALUE!</v>
      </c>
      <c r="P7" s="1">
        <f>'Am Indian'!L7</f>
        <v>139</v>
      </c>
      <c r="Q7" s="1" t="e">
        <f>'Other - Mixed'!L7</f>
        <v>#VALUE!</v>
      </c>
      <c r="R7" s="1">
        <f>'All Minorities'!L7</f>
        <v>1</v>
      </c>
    </row>
    <row r="8" spans="2:18" ht="15" customHeight="1" x14ac:dyDescent="0.25">
      <c r="B8" s="71" t="s">
        <v>9</v>
      </c>
      <c r="C8" s="72">
        <f>'Black or African-American'!$G8</f>
        <v>0.72551569728199139</v>
      </c>
      <c r="D8" s="72" t="str">
        <f>Hispanic!G8</f>
        <v>**</v>
      </c>
      <c r="E8" s="72" t="str">
        <f>Asian!G8</f>
        <v>**</v>
      </c>
      <c r="F8" s="72" t="str">
        <f>Hawaiian!G8</f>
        <v>*</v>
      </c>
      <c r="G8" s="72" t="str">
        <f>'Am Indian'!G8</f>
        <v>*</v>
      </c>
      <c r="H8" s="72" t="str">
        <f>'Other - Mixed'!G8</f>
        <v>*</v>
      </c>
      <c r="I8" s="73">
        <f>'All Minorities'!G8</f>
        <v>0.78770103458278284</v>
      </c>
      <c r="L8" s="1">
        <f>'Black or African-American'!L8</f>
        <v>1</v>
      </c>
      <c r="M8" s="1">
        <f>Hispanic!L8</f>
        <v>40</v>
      </c>
      <c r="N8" s="1">
        <f>Asian!L8</f>
        <v>40</v>
      </c>
      <c r="O8" s="1">
        <f>Hawaiian!L8</f>
        <v>139</v>
      </c>
      <c r="P8" s="1">
        <f>'Am Indian'!L8</f>
        <v>139</v>
      </c>
      <c r="Q8" s="1">
        <f>'Other - Mixed'!L8</f>
        <v>119</v>
      </c>
      <c r="R8" s="1">
        <f>'All Minorities'!L8</f>
        <v>1</v>
      </c>
    </row>
    <row r="9" spans="2:18" ht="15" customHeight="1" x14ac:dyDescent="0.25">
      <c r="B9" s="71" t="s">
        <v>10</v>
      </c>
      <c r="C9" s="72">
        <f>'Black or African-American'!$G9</f>
        <v>0.70507993937319713</v>
      </c>
      <c r="D9" s="72" t="str">
        <f>Hispanic!G9</f>
        <v>**</v>
      </c>
      <c r="E9" s="72" t="str">
        <f>Asian!G9</f>
        <v>**</v>
      </c>
      <c r="F9" s="72" t="str">
        <f>Hawaiian!G9</f>
        <v>*</v>
      </c>
      <c r="G9" s="72" t="str">
        <f>'Am Indian'!G9</f>
        <v>*</v>
      </c>
      <c r="H9" s="72" t="str">
        <f>'Other - Mixed'!G9</f>
        <v>*</v>
      </c>
      <c r="I9" s="73">
        <f>'All Minorities'!G9</f>
        <v>0.6678029857764195</v>
      </c>
      <c r="L9" s="1">
        <f>'Black or African-American'!L9</f>
        <v>1</v>
      </c>
      <c r="M9" s="1">
        <f>Hispanic!L9</f>
        <v>20</v>
      </c>
      <c r="N9" s="1">
        <f>Asian!L9</f>
        <v>40</v>
      </c>
      <c r="O9" s="1" t="e">
        <f>Hawaiian!L9</f>
        <v>#VALUE!</v>
      </c>
      <c r="P9" s="1" t="e">
        <f>'Am Indian'!L9</f>
        <v>#VALUE!</v>
      </c>
      <c r="Q9" s="1">
        <f>'Other - Mixed'!L9</f>
        <v>119</v>
      </c>
      <c r="R9" s="1">
        <f>'All Minorities'!L9</f>
        <v>1</v>
      </c>
    </row>
    <row r="10" spans="2:18" ht="15" customHeight="1" x14ac:dyDescent="0.25">
      <c r="B10" s="71" t="s">
        <v>11</v>
      </c>
      <c r="C10" s="72">
        <f>'Black or African-American'!$G10</f>
        <v>0.93521892532824336</v>
      </c>
      <c r="D10" s="72" t="str">
        <f>Hispanic!G10</f>
        <v>**</v>
      </c>
      <c r="E10" s="72" t="str">
        <f>Asian!G10</f>
        <v>**</v>
      </c>
      <c r="F10" s="72" t="str">
        <f>Hawaiian!G10</f>
        <v>*</v>
      </c>
      <c r="G10" s="72" t="str">
        <f>'Am Indian'!G10</f>
        <v>*</v>
      </c>
      <c r="H10" s="72" t="str">
        <f>'Other - Mixed'!G10</f>
        <v>*</v>
      </c>
      <c r="I10" s="73">
        <f>'All Minorities'!G10</f>
        <v>1.0482895285773886</v>
      </c>
      <c r="L10" s="1">
        <f>'Black or African-American'!L10</f>
        <v>2</v>
      </c>
      <c r="M10" s="1">
        <f>Hispanic!L10</f>
        <v>40</v>
      </c>
      <c r="N10" s="1">
        <f>Asian!L10</f>
        <v>40</v>
      </c>
      <c r="O10" s="1" t="e">
        <f>Hawaiian!L10</f>
        <v>#VALUE!</v>
      </c>
      <c r="P10" s="1" t="e">
        <f>'Am Indian'!L10</f>
        <v>#VALUE!</v>
      </c>
      <c r="Q10" s="1">
        <f>'Other - Mixed'!L10</f>
        <v>119</v>
      </c>
      <c r="R10" s="1">
        <f>'All Minorities'!L10</f>
        <v>2</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f>'Black or African-American'!$G12</f>
        <v>0.90330082036044179</v>
      </c>
      <c r="D12" s="72" t="str">
        <f>Hispanic!G12</f>
        <v>**</v>
      </c>
      <c r="E12" s="72" t="str">
        <f>Asian!G12</f>
        <v>**</v>
      </c>
      <c r="F12" s="72" t="str">
        <f>Hawaiian!G12</f>
        <v>*</v>
      </c>
      <c r="G12" s="72" t="str">
        <f>'Am Indian'!G12</f>
        <v>*</v>
      </c>
      <c r="H12" s="72" t="str">
        <f>'Other - Mixed'!G12</f>
        <v>*</v>
      </c>
      <c r="I12" s="73">
        <f>'All Minorities'!G12</f>
        <v>0.95014753843764577</v>
      </c>
      <c r="L12" s="1">
        <f>'Black or African-American'!L12</f>
        <v>2</v>
      </c>
      <c r="M12" s="1">
        <f>Hispanic!L12</f>
        <v>40</v>
      </c>
      <c r="N12" s="1">
        <f>Asian!L12</f>
        <v>40</v>
      </c>
      <c r="O12" s="1" t="e">
        <f>Hawaiian!L12</f>
        <v>#VALUE!</v>
      </c>
      <c r="P12" s="1" t="e">
        <f>'Am Indian'!L12</f>
        <v>#VALUE!</v>
      </c>
      <c r="Q12" s="1">
        <f>'Other - Mixed'!L12</f>
        <v>139</v>
      </c>
      <c r="R12" s="1">
        <f>'All Minorities'!L12</f>
        <v>2</v>
      </c>
    </row>
    <row r="13" spans="2:18" ht="15" customHeight="1" x14ac:dyDescent="0.25">
      <c r="B13" s="71" t="s">
        <v>14</v>
      </c>
      <c r="C13" s="72">
        <f>'Black or African-American'!$G13</f>
        <v>0.97587316176470595</v>
      </c>
      <c r="D13" s="72" t="str">
        <f>Hispanic!G13</f>
        <v>**</v>
      </c>
      <c r="E13" s="72" t="str">
        <f>Asian!G13</f>
        <v>--</v>
      </c>
      <c r="F13" s="72" t="str">
        <f>Hawaiian!G13</f>
        <v>*</v>
      </c>
      <c r="G13" s="72" t="str">
        <f>'Am Indian'!G13</f>
        <v>*</v>
      </c>
      <c r="H13" s="72" t="str">
        <f>'Other - Mixed'!G13</f>
        <v>*</v>
      </c>
      <c r="I13" s="73">
        <f>'All Minorities'!G13</f>
        <v>0.98037027310924363</v>
      </c>
      <c r="L13" s="1">
        <f>'Black or African-American'!L13</f>
        <v>2</v>
      </c>
      <c r="M13" s="1">
        <f>Hispanic!L13</f>
        <v>40</v>
      </c>
      <c r="N13" s="1" t="e">
        <f>Asian!L13</f>
        <v>#VALUE!</v>
      </c>
      <c r="O13" s="1" t="e">
        <f>Hawaiian!L13</f>
        <v>#VALUE!</v>
      </c>
      <c r="P13" s="1" t="e">
        <f>'Am Indian'!L13</f>
        <v>#VALUE!</v>
      </c>
      <c r="Q13" s="1">
        <f>'Other - Mixed'!L13</f>
        <v>139</v>
      </c>
      <c r="R13" s="1">
        <f>'All Minorities'!L13</f>
        <v>2</v>
      </c>
    </row>
    <row r="14" spans="2:18" ht="25.5" customHeight="1" x14ac:dyDescent="0.25">
      <c r="B14" s="71" t="s">
        <v>15</v>
      </c>
      <c r="C14" s="72">
        <f>'Black or African-American'!$G14</f>
        <v>1.5368589743589747</v>
      </c>
      <c r="D14" s="72" t="str">
        <f>Hispanic!G14</f>
        <v>**</v>
      </c>
      <c r="E14" s="72" t="str">
        <f>Asian!G14</f>
        <v>--</v>
      </c>
      <c r="F14" s="72" t="str">
        <f>Hawaiian!G14</f>
        <v>*</v>
      </c>
      <c r="G14" s="72" t="str">
        <f>'Am Indian'!G14</f>
        <v>*</v>
      </c>
      <c r="H14" s="72" t="str">
        <f>'Other - Mixed'!G14</f>
        <v>*</v>
      </c>
      <c r="I14" s="73">
        <f>'All Minorities'!G14</f>
        <v>1.6936813186813187</v>
      </c>
      <c r="L14" s="1">
        <f>'Black or African-American'!L14</f>
        <v>2</v>
      </c>
      <c r="M14" s="1">
        <f>Hispanic!L14</f>
        <v>40</v>
      </c>
      <c r="N14" s="1" t="e">
        <f>Asian!L14</f>
        <v>#VALUE!</v>
      </c>
      <c r="O14" s="1" t="e">
        <f>Hawaiian!L14</f>
        <v>#VALUE!</v>
      </c>
      <c r="P14" s="1" t="e">
        <f>'Am Indian'!L14</f>
        <v>#VALUE!</v>
      </c>
      <c r="Q14" s="1">
        <f>'Other - Mixed'!L14</f>
        <v>119</v>
      </c>
      <c r="R14" s="1">
        <f>'All Minorities'!L14</f>
        <v>2</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20</v>
      </c>
      <c r="M15" s="1">
        <f>Hispanic!L15</f>
        <v>40</v>
      </c>
      <c r="N15" s="1">
        <f>Asian!L15</f>
        <v>40</v>
      </c>
      <c r="O15" s="1" t="e">
        <f>Hawaiian!L15</f>
        <v>#VALUE!</v>
      </c>
      <c r="P15" s="1" t="e">
        <f>'Am Indian'!L15</f>
        <v>#VALUE!</v>
      </c>
      <c r="Q15" s="1">
        <f>'Other - Mixed'!L15</f>
        <v>139</v>
      </c>
      <c r="R15" s="1">
        <f>'All Minorities'!L15</f>
        <v>20</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73073</v>
      </c>
      <c r="D3" s="57">
        <f>'Data Entry'!C6</f>
        <v>52667</v>
      </c>
      <c r="E3" s="57">
        <f>'Data Entry'!D6</f>
        <v>12732</v>
      </c>
      <c r="F3" s="57">
        <f>'Data Entry'!E6</f>
        <v>3170</v>
      </c>
      <c r="G3" s="57">
        <f>'Data Entry'!F6</f>
        <v>4229</v>
      </c>
      <c r="H3" s="57">
        <f>'Data Entry'!G6</f>
        <v>0</v>
      </c>
      <c r="I3" s="57">
        <f>'Data Entry'!H6</f>
        <v>275</v>
      </c>
      <c r="J3" s="57">
        <f>'Data Entry'!I6</f>
        <v>0</v>
      </c>
      <c r="K3" s="57">
        <f>'Data Entry'!J6</f>
        <v>20406</v>
      </c>
    </row>
    <row r="4" spans="2:11" ht="15" customHeight="1" x14ac:dyDescent="0.25">
      <c r="B4" s="16" t="s">
        <v>8</v>
      </c>
      <c r="C4" s="1">
        <f>IF((C$3&gt;0),(1000*('Data Entry'!B7/'Data Entry'!B$6)), 0)</f>
        <v>3.8317846537024618</v>
      </c>
      <c r="D4" s="1">
        <f>IF((D$3&gt;0),(1000*('Data Entry'!C7/'Data Entry'!C$6)), 0)</f>
        <v>2.4683388079822279</v>
      </c>
      <c r="E4" s="1">
        <f>IF((E$3&gt;0),(1000*('Data Entry'!D7/'Data Entry'!D$6)), 0)</f>
        <v>10.917373546968269</v>
      </c>
      <c r="F4" s="1">
        <f>IF((F$3&gt;0),(1000*('Data Entry'!E7/'Data Entry'!E$6)), 0)</f>
        <v>0.94637223974763407</v>
      </c>
      <c r="G4" s="1">
        <f>IF((G$3&gt;0),(1000*('Data Entry'!F7/'Data Entry'!F$6)), 0)</f>
        <v>0</v>
      </c>
      <c r="H4" s="1">
        <f>IF((H$3&gt;0),(1000*('Data Entry'!G7/'Data Entry'!G$6)), 0)</f>
        <v>0</v>
      </c>
      <c r="I4" s="1">
        <f>IF((I$3&gt;0),(1000*('Data Entry'!H7/'Data Entry'!H$6)), 0)</f>
        <v>0</v>
      </c>
      <c r="J4" s="1">
        <f>IF((J$3&gt;0),(1000*('Data Entry'!I7/'Data Entry'!I$6)), 0)</f>
        <v>0</v>
      </c>
      <c r="K4" s="1">
        <f>IF((K$3&gt;0),(1000*('Data Entry'!J7/'Data Entry'!J$6)), 0)</f>
        <v>6.958737626188376</v>
      </c>
    </row>
    <row r="5" spans="2:11" ht="15" customHeight="1" x14ac:dyDescent="0.25">
      <c r="B5" s="16" t="s">
        <v>9</v>
      </c>
      <c r="C5" s="1">
        <f>IF((C$3&gt;0),(1000*('Data Entry'!B8/'Data Entry'!B$6)), 0)</f>
        <v>11.495353961107385</v>
      </c>
      <c r="D5" s="1">
        <f>IF((D$3&gt;0),(1000*('Data Entry'!C8/'Data Entry'!C$6)), 0)</f>
        <v>8.2974158391402586</v>
      </c>
      <c r="E5" s="1">
        <f>IF((E$3&gt;0),(1000*('Data Entry'!D8/'Data Entry'!D$6)), 0)</f>
        <v>26.625824693685203</v>
      </c>
      <c r="F5" s="1">
        <f>IF((F$3&gt;0),(1000*('Data Entry'!E8/'Data Entry'!E$6)), 0)</f>
        <v>3.1545741324921135</v>
      </c>
      <c r="G5" s="1">
        <f>IF((G$3&gt;0),(1000*('Data Entry'!F8/'Data Entry'!F$6)), 0)</f>
        <v>0.23646252069047055</v>
      </c>
      <c r="H5" s="1">
        <f>IF((H$3&gt;0),(1000*('Data Entry'!G8/'Data Entry'!G$6)), 0)</f>
        <v>0</v>
      </c>
      <c r="I5" s="1">
        <f>IF((I$3&gt;0),(1000*('Data Entry'!H8/'Data Entry'!H$6)), 0)</f>
        <v>0</v>
      </c>
      <c r="J5" s="1">
        <f>IF((J$3&gt;0),(1000*('Data Entry'!I8/'Data Entry'!I$6)), 0)</f>
        <v>0</v>
      </c>
      <c r="K5" s="1">
        <f>IF((K$3&gt;0),(1000*('Data Entry'!J8/'Data Entry'!J$6)), 0)</f>
        <v>18.425953151034012</v>
      </c>
    </row>
    <row r="6" spans="2:11" ht="15" customHeight="1" x14ac:dyDescent="0.25">
      <c r="B6" s="16" t="s">
        <v>10</v>
      </c>
      <c r="C6" s="1">
        <f>IF((C$3&gt;0),(1000*('Data Entry'!B9/'Data Entry'!B$6)), 0)</f>
        <v>4.1191685027301466</v>
      </c>
      <c r="D6" s="1">
        <f>IF((D$3&gt;0),(1000*('Data Entry'!C9/'Data Entry'!C$6)), 0)</f>
        <v>3.436687109575256</v>
      </c>
      <c r="E6" s="1">
        <f>IF((E$3&gt;0),(1000*('Data Entry'!D9/'Data Entry'!D$6)), 0)</f>
        <v>7.7756833176248827</v>
      </c>
      <c r="F6" s="1">
        <f>IF((F$3&gt;0),(1000*('Data Entry'!E9/'Data Entry'!E$6)), 0)</f>
        <v>0.31545741324921139</v>
      </c>
      <c r="G6" s="1">
        <f>IF((G$3&gt;0),(1000*('Data Entry'!F9/'Data Entry'!F$6)), 0)</f>
        <v>0.23646252069047055</v>
      </c>
      <c r="H6" s="1">
        <f>IF((H$3&gt;0),(1000*('Data Entry'!G9/'Data Entry'!G$6)), 0)</f>
        <v>0</v>
      </c>
      <c r="I6" s="1">
        <f>IF((I$3&gt;0),(1000*('Data Entry'!H9/'Data Entry'!H$6)), 0)</f>
        <v>0</v>
      </c>
      <c r="J6" s="1">
        <f>IF((J$3&gt;0),(1000*('Data Entry'!I9/'Data Entry'!I$6)), 0)</f>
        <v>0</v>
      </c>
      <c r="K6" s="1">
        <f>IF((K$3&gt;0),(1000*('Data Entry'!J9/'Data Entry'!J$6)), 0)</f>
        <v>5.0965402332647258</v>
      </c>
    </row>
    <row r="7" spans="2:11" ht="15" customHeight="1" x14ac:dyDescent="0.25">
      <c r="B7" s="16" t="s">
        <v>11</v>
      </c>
      <c r="C7" s="1">
        <f>IF((C$3&gt;0),(1000*('Data Entry'!B10/'Data Entry'!B$6)), 0)</f>
        <v>1.3274396836040672</v>
      </c>
      <c r="D7" s="1">
        <f>IF((D$3&gt;0),(1000*('Data Entry'!C10/'Data Entry'!C$6)), 0)</f>
        <v>0.96834830159302787</v>
      </c>
      <c r="E7" s="1">
        <f>IF((E$3&gt;0),(1000*('Data Entry'!D10/'Data Entry'!D$6)), 0)</f>
        <v>2.9060634621426327</v>
      </c>
      <c r="F7" s="1">
        <f>IF((F$3&gt;0),(1000*('Data Entry'!E10/'Data Entry'!E$6)), 0)</f>
        <v>0.31545741324921139</v>
      </c>
      <c r="G7" s="1">
        <f>IF((G$3&gt;0),(1000*('Data Entry'!F10/'Data Entry'!F$6)), 0)</f>
        <v>0</v>
      </c>
      <c r="H7" s="1">
        <f>IF((H$3&gt;0),(1000*('Data Entry'!G10/'Data Entry'!G$6)), 0)</f>
        <v>0</v>
      </c>
      <c r="I7" s="1">
        <f>IF((I$3&gt;0),(1000*('Data Entry'!H10/'Data Entry'!H$6)), 0)</f>
        <v>0</v>
      </c>
      <c r="J7" s="1">
        <f>IF((J$3&gt;0),(1000*('Data Entry'!I10/'Data Entry'!I$6)), 0)</f>
        <v>0</v>
      </c>
      <c r="K7" s="1">
        <f>IF((K$3&gt;0),(1000*('Data Entry'!J10/'Data Entry'!J$6)), 0)</f>
        <v>2.2542389493286286</v>
      </c>
    </row>
    <row r="8" spans="2:11" ht="15" customHeight="1" x14ac:dyDescent="0.25">
      <c r="B8" s="16" t="s">
        <v>95</v>
      </c>
      <c r="C8" s="1">
        <f>IF((C$3&gt;0),(1000*('Data Entry'!B11/'Data Entry'!B$6)), 0)</f>
        <v>11.495353961107385</v>
      </c>
      <c r="D8" s="1">
        <f>IF((D$3&gt;0),(1000*('Data Entry'!C11/'Data Entry'!C$6)), 0)</f>
        <v>8.2974158391402586</v>
      </c>
      <c r="E8" s="1">
        <f>IF((E$3&gt;0),(1000*('Data Entry'!D11/'Data Entry'!D$6)), 0)</f>
        <v>26.625824693685203</v>
      </c>
      <c r="F8" s="1">
        <f>IF((F$3&gt;0),(1000*('Data Entry'!E11/'Data Entry'!E$6)), 0)</f>
        <v>3.1545741324921135</v>
      </c>
      <c r="G8" s="1">
        <f>IF((G$3&gt;0),(1000*('Data Entry'!F11/'Data Entry'!F$6)), 0)</f>
        <v>0.23646252069047055</v>
      </c>
      <c r="H8" s="1">
        <f>IF((H$3&gt;0),(1000*('Data Entry'!G11/'Data Entry'!G$6)), 0)</f>
        <v>0</v>
      </c>
      <c r="I8" s="1">
        <f>IF((I$3&gt;0),(1000*('Data Entry'!H11/'Data Entry'!H$6)), 0)</f>
        <v>0</v>
      </c>
      <c r="J8" s="1">
        <f>IF((J$3&gt;0),(1000*('Data Entry'!I11/'Data Entry'!I$6)), 0)</f>
        <v>0</v>
      </c>
      <c r="K8" s="1">
        <f>IF((K$3&gt;0),(1000*('Data Entry'!J11/'Data Entry'!J$6)), 0)</f>
        <v>18.425953151034012</v>
      </c>
    </row>
    <row r="9" spans="2:11" ht="15" customHeight="1" x14ac:dyDescent="0.25">
      <c r="B9" s="16" t="s">
        <v>13</v>
      </c>
      <c r="C9" s="1">
        <f>IF((C$3&gt;0),(1000*('Data Entry'!B12/'Data Entry'!B$6)), 0)</f>
        <v>3.4212362979486266</v>
      </c>
      <c r="D9" s="1">
        <f>IF((D$3&gt;0),(1000*('Data Entry'!C12/'Data Entry'!C$6)), 0)</f>
        <v>2.6012493591812711</v>
      </c>
      <c r="E9" s="1">
        <f>IF((E$3&gt;0),(1000*('Data Entry'!D12/'Data Entry'!D$6)), 0)</f>
        <v>7.5400565504241284</v>
      </c>
      <c r="F9" s="1">
        <f>IF((F$3&gt;0),(1000*('Data Entry'!E12/'Data Entry'!E$6)), 0)</f>
        <v>1.8927444794952681</v>
      </c>
      <c r="G9" s="1">
        <f>IF((G$3&gt;0),(1000*('Data Entry'!F12/'Data Entry'!F$6)), 0)</f>
        <v>0</v>
      </c>
      <c r="H9" s="1">
        <f>IF((H$3&gt;0),(1000*('Data Entry'!G12/'Data Entry'!G$6)), 0)</f>
        <v>0</v>
      </c>
      <c r="I9" s="1">
        <f>IF((I$3&gt;0),(1000*('Data Entry'!H12/'Data Entry'!H$6)), 0)</f>
        <v>0</v>
      </c>
      <c r="J9" s="1">
        <f>IF((J$3&gt;0),(1000*('Data Entry'!I12/'Data Entry'!I$6)), 0)</f>
        <v>0</v>
      </c>
      <c r="K9" s="1">
        <f>IF((K$3&gt;0),(1000*('Data Entry'!J12/'Data Entry'!J$6)), 0)</f>
        <v>5.4885817896697047</v>
      </c>
    </row>
    <row r="10" spans="2:11" ht="15" customHeight="1" x14ac:dyDescent="0.25">
      <c r="B10" s="16" t="s">
        <v>14</v>
      </c>
      <c r="C10" s="1">
        <f>IF((C$3&gt;0),(1000*('Data Entry'!B13/'Data Entry'!B$6)), 0)</f>
        <v>3.3664965171814489</v>
      </c>
      <c r="D10" s="1">
        <f>IF((D$3&gt;0),(1000*('Data Entry'!C13/'Data Entry'!C$6)), 0)</f>
        <v>2.5822621375814077</v>
      </c>
      <c r="E10" s="1">
        <f>IF((E$3&gt;0),(1000*('Data Entry'!D13/'Data Entry'!D$6)), 0)</f>
        <v>7.3044297832233749</v>
      </c>
      <c r="F10" s="1">
        <f>IF((F$3&gt;0),(1000*('Data Entry'!E13/'Data Entry'!E$6)), 0)</f>
        <v>1.8927444794952681</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5.3415662060178377</v>
      </c>
    </row>
    <row r="11" spans="2:11" ht="25.5" customHeight="1" x14ac:dyDescent="0.25">
      <c r="B11" s="16" t="s">
        <v>15</v>
      </c>
      <c r="C11" s="1">
        <f>IF((C$3&gt;0),(1000*('Data Entry'!B14/'Data Entry'!B$6)), 0)</f>
        <v>0.42423330094562972</v>
      </c>
      <c r="D11" s="1">
        <f>IF((D$3&gt;0),(1000*('Data Entry'!C14/'Data Entry'!C$6)), 0)</f>
        <v>0.24683388079822277</v>
      </c>
      <c r="E11" s="1">
        <f>IF((E$3&gt;0),(1000*('Data Entry'!D14/'Data Entry'!D$6)), 0)</f>
        <v>1.0995915802701854</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0.88209350191120262</v>
      </c>
    </row>
    <row r="12" spans="2:11" ht="15" customHeight="1" x14ac:dyDescent="0.25">
      <c r="B12" s="16" t="s">
        <v>16</v>
      </c>
      <c r="C12" s="1">
        <f>IF((C$3&gt;0),(1000*('Data Entry'!B15/'Data Entry'!B$6)), 0)</f>
        <v>6.8424725958972532E-2</v>
      </c>
      <c r="D12" s="1">
        <f>IF((D$3&gt;0),(1000*('Data Entry'!C15/'Data Entry'!C$6)), 0)</f>
        <v>9.4936107999316455E-2</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Macomb</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4.4229639430629062</v>
      </c>
      <c r="E19" s="72">
        <f t="shared" si="1"/>
        <v>0.38340451346760496</v>
      </c>
      <c r="F19" s="72" t="str">
        <f t="shared" si="1"/>
        <v>--</v>
      </c>
      <c r="G19" s="72" t="str">
        <f t="shared" si="1"/>
        <v>--</v>
      </c>
      <c r="H19" s="72" t="str">
        <f t="shared" si="1"/>
        <v>--</v>
      </c>
      <c r="I19" s="72" t="str">
        <f t="shared" si="1"/>
        <v>--</v>
      </c>
      <c r="J19" s="73">
        <f t="shared" si="1"/>
        <v>2.8191987273727936</v>
      </c>
    </row>
    <row r="20" spans="2:10" ht="15" customHeight="1" x14ac:dyDescent="0.25">
      <c r="B20" s="71" t="s">
        <v>9</v>
      </c>
      <c r="C20" s="72">
        <f t="shared" ref="C20:J27" si="2">IF(AND(($D5&gt;0),(D5&gt;0)), (D5/$D5),"--")</f>
        <v>1</v>
      </c>
      <c r="D20" s="72">
        <f t="shared" si="2"/>
        <v>3.2089297692043903</v>
      </c>
      <c r="E20" s="72">
        <f t="shared" si="2"/>
        <v>0.38018754195872345</v>
      </c>
      <c r="F20" s="72">
        <f t="shared" si="2"/>
        <v>2.8498333128615588E-2</v>
      </c>
      <c r="G20" s="72" t="str">
        <f t="shared" si="2"/>
        <v>--</v>
      </c>
      <c r="H20" s="72" t="str">
        <f t="shared" si="2"/>
        <v>--</v>
      </c>
      <c r="I20" s="72" t="str">
        <f t="shared" si="2"/>
        <v>--</v>
      </c>
      <c r="J20" s="73">
        <f t="shared" si="2"/>
        <v>2.2206857542460146</v>
      </c>
    </row>
    <row r="21" spans="2:10" ht="15" customHeight="1" x14ac:dyDescent="0.25">
      <c r="B21" s="71" t="s">
        <v>10</v>
      </c>
      <c r="C21" s="72">
        <f t="shared" si="2"/>
        <v>1</v>
      </c>
      <c r="D21" s="72">
        <f t="shared" si="2"/>
        <v>2.262552007123479</v>
      </c>
      <c r="E21" s="72">
        <f t="shared" si="2"/>
        <v>9.1791135820973563E-2</v>
      </c>
      <c r="F21" s="72">
        <f t="shared" si="2"/>
        <v>6.8805367829861949E-2</v>
      </c>
      <c r="G21" s="72" t="str">
        <f t="shared" si="2"/>
        <v>--</v>
      </c>
      <c r="H21" s="72" t="str">
        <f t="shared" si="2"/>
        <v>--</v>
      </c>
      <c r="I21" s="72" t="str">
        <f t="shared" si="2"/>
        <v>--</v>
      </c>
      <c r="J21" s="73">
        <f t="shared" si="2"/>
        <v>1.482980577156648</v>
      </c>
    </row>
    <row r="22" spans="2:10" ht="15" customHeight="1" x14ac:dyDescent="0.25">
      <c r="B22" s="71" t="s">
        <v>11</v>
      </c>
      <c r="C22" s="72">
        <f t="shared" si="2"/>
        <v>1</v>
      </c>
      <c r="D22" s="72">
        <f t="shared" si="2"/>
        <v>3.0010518502091381</v>
      </c>
      <c r="E22" s="72">
        <f t="shared" si="2"/>
        <v>0.32576854085482776</v>
      </c>
      <c r="F22" s="72" t="str">
        <f t="shared" si="2"/>
        <v>--</v>
      </c>
      <c r="G22" s="72" t="str">
        <f t="shared" si="2"/>
        <v>--</v>
      </c>
      <c r="H22" s="72" t="str">
        <f t="shared" si="2"/>
        <v>--</v>
      </c>
      <c r="I22" s="72" t="str">
        <f t="shared" si="2"/>
        <v>--</v>
      </c>
      <c r="J22" s="73">
        <f t="shared" si="2"/>
        <v>2.327921622437076</v>
      </c>
    </row>
    <row r="23" spans="2:10" ht="15" customHeight="1" x14ac:dyDescent="0.25">
      <c r="B23" s="71" t="s">
        <v>95</v>
      </c>
      <c r="C23" s="72">
        <f t="shared" si="2"/>
        <v>1</v>
      </c>
      <c r="D23" s="72">
        <f t="shared" si="2"/>
        <v>3.2089297692043903</v>
      </c>
      <c r="E23" s="72">
        <f t="shared" si="2"/>
        <v>0.38018754195872345</v>
      </c>
      <c r="F23" s="72">
        <f t="shared" si="2"/>
        <v>2.8498333128615588E-2</v>
      </c>
      <c r="G23" s="72" t="str">
        <f t="shared" si="2"/>
        <v>--</v>
      </c>
      <c r="H23" s="72" t="str">
        <f t="shared" si="2"/>
        <v>--</v>
      </c>
      <c r="I23" s="72" t="str">
        <f t="shared" si="2"/>
        <v>--</v>
      </c>
      <c r="J23" s="73">
        <f t="shared" si="2"/>
        <v>2.2206857542460146</v>
      </c>
    </row>
    <row r="24" spans="2:10" ht="15" customHeight="1" x14ac:dyDescent="0.25">
      <c r="B24" s="71" t="s">
        <v>13</v>
      </c>
      <c r="C24" s="72">
        <f t="shared" si="2"/>
        <v>1</v>
      </c>
      <c r="D24" s="72">
        <f t="shared" si="2"/>
        <v>2.8986288930013688</v>
      </c>
      <c r="E24" s="72">
        <f t="shared" si="2"/>
        <v>0.72762900366114802</v>
      </c>
      <c r="F24" s="72" t="str">
        <f t="shared" si="2"/>
        <v>--</v>
      </c>
      <c r="G24" s="72" t="str">
        <f t="shared" si="2"/>
        <v>--</v>
      </c>
      <c r="H24" s="72" t="str">
        <f t="shared" si="2"/>
        <v>--</v>
      </c>
      <c r="I24" s="72" t="str">
        <f t="shared" si="2"/>
        <v>--</v>
      </c>
      <c r="J24" s="73">
        <f t="shared" si="2"/>
        <v>2.1099791030403967</v>
      </c>
    </row>
    <row r="25" spans="2:10" ht="15" customHeight="1" x14ac:dyDescent="0.25">
      <c r="B25" s="71" t="s">
        <v>14</v>
      </c>
      <c r="C25" s="72">
        <f t="shared" si="2"/>
        <v>1</v>
      </c>
      <c r="D25" s="72">
        <f t="shared" si="2"/>
        <v>2.8286941425957757</v>
      </c>
      <c r="E25" s="72">
        <f t="shared" si="2"/>
        <v>0.73297921692336243</v>
      </c>
      <c r="F25" s="72" t="str">
        <f t="shared" si="2"/>
        <v>--</v>
      </c>
      <c r="G25" s="72" t="str">
        <f t="shared" si="2"/>
        <v>--</v>
      </c>
      <c r="H25" s="72" t="str">
        <f t="shared" si="2"/>
        <v>--</v>
      </c>
      <c r="I25" s="72" t="str">
        <f t="shared" si="2"/>
        <v>--</v>
      </c>
      <c r="J25" s="73">
        <f t="shared" si="2"/>
        <v>2.0685607895025107</v>
      </c>
    </row>
    <row r="26" spans="2:10" ht="25.5" customHeight="1" x14ac:dyDescent="0.25">
      <c r="B26" s="71" t="s">
        <v>15</v>
      </c>
      <c r="C26" s="72">
        <f t="shared" si="2"/>
        <v>1</v>
      </c>
      <c r="D26" s="72">
        <f t="shared" si="2"/>
        <v>4.4547838275453744</v>
      </c>
      <c r="E26" s="72" t="str">
        <f t="shared" si="2"/>
        <v>--</v>
      </c>
      <c r="F26" s="72" t="str">
        <f t="shared" si="2"/>
        <v>--</v>
      </c>
      <c r="G26" s="72" t="str">
        <f t="shared" si="2"/>
        <v>--</v>
      </c>
      <c r="H26" s="72" t="str">
        <f t="shared" si="2"/>
        <v>--</v>
      </c>
      <c r="I26" s="72" t="str">
        <f t="shared" si="2"/>
        <v>--</v>
      </c>
      <c r="J26" s="73">
        <f t="shared" si="2"/>
        <v>3.5736321896274856</v>
      </c>
    </row>
    <row r="27" spans="2:10" ht="15" customHeight="1" x14ac:dyDescent="0.25">
      <c r="B27" s="71" t="s">
        <v>16</v>
      </c>
      <c r="C27" s="72">
        <f t="shared" si="2"/>
        <v>1</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113</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Macomb</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111</v>
      </c>
      <c r="C6" s="153" t="s">
        <v>109</v>
      </c>
      <c r="D6" s="154" t="s">
        <v>109</v>
      </c>
      <c r="E6" s="155" t="s">
        <v>110</v>
      </c>
      <c r="F6" s="154" t="s">
        <v>109</v>
      </c>
      <c r="G6" s="155" t="s">
        <v>110</v>
      </c>
      <c r="H6" s="154" t="s">
        <v>109</v>
      </c>
      <c r="I6" s="155" t="s">
        <v>110</v>
      </c>
      <c r="J6" s="154" t="s">
        <v>109</v>
      </c>
      <c r="K6" s="155" t="s">
        <v>110</v>
      </c>
      <c r="L6" s="154" t="s">
        <v>109</v>
      </c>
      <c r="M6" s="155" t="s">
        <v>110</v>
      </c>
      <c r="N6" s="154" t="s">
        <v>109</v>
      </c>
      <c r="O6" s="155" t="s">
        <v>110</v>
      </c>
      <c r="P6" s="154" t="s">
        <v>109</v>
      </c>
      <c r="Q6" s="156" t="s">
        <v>110</v>
      </c>
    </row>
    <row r="7" spans="2:26" s="135" customFormat="1" ht="18" customHeight="1" x14ac:dyDescent="0.3">
      <c r="B7" s="150" t="str">
        <f>'Data Entry'!A6</f>
        <v xml:space="preserve">1. Population at Risk (age 10 through 16) </v>
      </c>
      <c r="C7" s="104">
        <f>'Data Entry'!C6</f>
        <v>52667</v>
      </c>
      <c r="D7" s="105">
        <f>'Data Entry'!D6</f>
        <v>12732</v>
      </c>
      <c r="E7" s="106"/>
      <c r="F7" s="107">
        <f>'Data Entry'!E6</f>
        <v>3170</v>
      </c>
      <c r="G7" s="106"/>
      <c r="H7" s="107">
        <f>'Data Entry'!F6</f>
        <v>4229</v>
      </c>
      <c r="I7" s="106"/>
      <c r="J7" s="107">
        <f>'Data Entry'!G6</f>
        <v>0</v>
      </c>
      <c r="K7" s="106"/>
      <c r="L7" s="107">
        <f>'Data Entry'!H6</f>
        <v>275</v>
      </c>
      <c r="M7" s="106"/>
      <c r="N7" s="107">
        <f>'Data Entry'!I6</f>
        <v>0</v>
      </c>
      <c r="O7" s="106"/>
      <c r="P7" s="107">
        <f>'Data Entry'!J6</f>
        <v>20406</v>
      </c>
      <c r="Q7" s="108"/>
    </row>
    <row r="8" spans="2:26" s="1" customFormat="1" ht="15" customHeight="1" x14ac:dyDescent="0.3">
      <c r="B8" s="149" t="s">
        <v>8</v>
      </c>
      <c r="C8" s="104">
        <f>'Data Entry'!C7</f>
        <v>130</v>
      </c>
      <c r="D8" s="105">
        <f>'Data Entry'!D7</f>
        <v>139</v>
      </c>
      <c r="E8" s="106">
        <f>'Black or African-American'!$G7</f>
        <v>4.4229639430629062</v>
      </c>
      <c r="F8" s="107">
        <f>'Data Entry'!E7</f>
        <v>3</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142</v>
      </c>
      <c r="Q8" s="108">
        <f>'All Minorities'!G7</f>
        <v>2.8191987273727936</v>
      </c>
      <c r="R8"/>
      <c r="T8" s="1">
        <f>'Black or African-American'!L7</f>
        <v>1</v>
      </c>
      <c r="U8" s="1">
        <f>Hispanic!L7</f>
        <v>40</v>
      </c>
      <c r="V8" s="1">
        <f>Asian!L7</f>
        <v>20</v>
      </c>
      <c r="W8" s="1" t="e">
        <f>Hawaiian!L7</f>
        <v>#VALUE!</v>
      </c>
      <c r="X8" s="1">
        <f>'Am Indian'!L7</f>
        <v>139</v>
      </c>
      <c r="Y8" s="1" t="e">
        <f>'Other - Mixed'!L7</f>
        <v>#VALUE!</v>
      </c>
      <c r="Z8" s="1">
        <f>'All Minorities'!L7</f>
        <v>1</v>
      </c>
    </row>
    <row r="9" spans="2:26" s="1" customFormat="1" ht="15" customHeight="1" x14ac:dyDescent="0.3">
      <c r="B9" s="149" t="s">
        <v>126</v>
      </c>
      <c r="C9" s="104">
        <f>'Data Entry'!C8</f>
        <v>437</v>
      </c>
      <c r="D9" s="109">
        <f>'Data Entry'!D8</f>
        <v>339</v>
      </c>
      <c r="E9" s="110">
        <f>'Black or African-American'!$G8</f>
        <v>0.72551569728199139</v>
      </c>
      <c r="F9" s="111">
        <f>'Data Entry'!E8</f>
        <v>10</v>
      </c>
      <c r="G9" s="110" t="str">
        <f>Hispanic!G8</f>
        <v>**</v>
      </c>
      <c r="H9" s="111">
        <f>'Data Entry'!F8</f>
        <v>1</v>
      </c>
      <c r="I9" s="110" t="str">
        <f>Asian!G8</f>
        <v>**</v>
      </c>
      <c r="J9" s="111">
        <f>'Data Entry'!G8</f>
        <v>0</v>
      </c>
      <c r="K9" s="110" t="str">
        <f>Hawaiian!G8</f>
        <v>*</v>
      </c>
      <c r="L9" s="111">
        <f>'Data Entry'!H8</f>
        <v>0</v>
      </c>
      <c r="M9" s="110" t="str">
        <f>'Am Indian'!G8</f>
        <v>*</v>
      </c>
      <c r="N9" s="111">
        <f>'Data Entry'!I8</f>
        <v>26</v>
      </c>
      <c r="O9" s="110" t="str">
        <f>'Other - Mixed'!G8</f>
        <v>*</v>
      </c>
      <c r="P9" s="111">
        <f>'Data Entry'!J8</f>
        <v>376</v>
      </c>
      <c r="Q9" s="112">
        <f>'All Minorities'!G8</f>
        <v>0.78770103458278284</v>
      </c>
      <c r="R9"/>
      <c r="T9" s="1">
        <f>'Black or African-American'!L8</f>
        <v>1</v>
      </c>
      <c r="U9" s="1">
        <f>Hispanic!L8</f>
        <v>40</v>
      </c>
      <c r="V9" s="1">
        <f>Asian!L8</f>
        <v>40</v>
      </c>
      <c r="W9" s="1">
        <f>Hawaiian!L8</f>
        <v>139</v>
      </c>
      <c r="X9" s="1">
        <f>'Am Indian'!L8</f>
        <v>139</v>
      </c>
      <c r="Y9" s="1">
        <f>'Other - Mixed'!L8</f>
        <v>119</v>
      </c>
      <c r="Z9" s="1">
        <f>'All Minorities'!L8</f>
        <v>1</v>
      </c>
    </row>
    <row r="10" spans="2:26" s="1" customFormat="1" ht="15" customHeight="1" x14ac:dyDescent="0.3">
      <c r="B10" s="149" t="s">
        <v>10</v>
      </c>
      <c r="C10" s="104">
        <f>'Data Entry'!C9</f>
        <v>181</v>
      </c>
      <c r="D10" s="113">
        <f>'Data Entry'!D9</f>
        <v>99</v>
      </c>
      <c r="E10" s="114">
        <f>'Black or African-American'!$G9</f>
        <v>0.70507993937319713</v>
      </c>
      <c r="F10" s="115">
        <f>'Data Entry'!E9</f>
        <v>1</v>
      </c>
      <c r="G10" s="114" t="str">
        <f>Hispanic!G9</f>
        <v>**</v>
      </c>
      <c r="H10" s="115">
        <f>'Data Entry'!F9</f>
        <v>1</v>
      </c>
      <c r="I10" s="114" t="str">
        <f>Asian!G9</f>
        <v>**</v>
      </c>
      <c r="J10" s="115">
        <f>'Data Entry'!G9</f>
        <v>0</v>
      </c>
      <c r="K10" s="114" t="str">
        <f>Hawaiian!G9</f>
        <v>*</v>
      </c>
      <c r="L10" s="115">
        <f>'Data Entry'!H9</f>
        <v>0</v>
      </c>
      <c r="M10" s="114" t="str">
        <f>'Am Indian'!G9</f>
        <v>*</v>
      </c>
      <c r="N10" s="115">
        <f>'Data Entry'!I9</f>
        <v>3</v>
      </c>
      <c r="O10" s="114" t="str">
        <f>'Other - Mixed'!G9</f>
        <v>*</v>
      </c>
      <c r="P10" s="115">
        <f>'Data Entry'!J9</f>
        <v>104</v>
      </c>
      <c r="Q10" s="116">
        <f>'All Minorities'!G9</f>
        <v>0.6678029857764195</v>
      </c>
      <c r="R10"/>
      <c r="T10" s="1">
        <f>'Black or African-American'!L9</f>
        <v>1</v>
      </c>
      <c r="U10" s="1">
        <f>Hispanic!L9</f>
        <v>20</v>
      </c>
      <c r="V10" s="1">
        <f>Asian!L9</f>
        <v>40</v>
      </c>
      <c r="W10" s="1" t="e">
        <f>Hawaiian!L9</f>
        <v>#VALUE!</v>
      </c>
      <c r="X10" s="1" t="e">
        <f>'Am Indian'!L9</f>
        <v>#VALUE!</v>
      </c>
      <c r="Y10" s="1">
        <f>'Other - Mixed'!L9</f>
        <v>119</v>
      </c>
      <c r="Z10" s="1">
        <f>'All Minorities'!L9</f>
        <v>1</v>
      </c>
    </row>
    <row r="11" spans="2:26" s="1" customFormat="1" ht="15" customHeight="1" x14ac:dyDescent="0.3">
      <c r="B11" s="149" t="s">
        <v>11</v>
      </c>
      <c r="C11" s="104">
        <f>'Data Entry'!C10</f>
        <v>51</v>
      </c>
      <c r="D11" s="109">
        <f>'Data Entry'!D10</f>
        <v>37</v>
      </c>
      <c r="E11" s="110">
        <f>'Black or African-American'!$G10</f>
        <v>0.93521892532824336</v>
      </c>
      <c r="F11" s="111">
        <f>'Data Entry'!E10</f>
        <v>1</v>
      </c>
      <c r="G11" s="110" t="str">
        <f>Hispanic!G10</f>
        <v>**</v>
      </c>
      <c r="H11" s="111">
        <f>'Data Entry'!F10</f>
        <v>0</v>
      </c>
      <c r="I11" s="110" t="str">
        <f>Asian!G10</f>
        <v>**</v>
      </c>
      <c r="J11" s="111">
        <f>'Data Entry'!G10</f>
        <v>0</v>
      </c>
      <c r="K11" s="110" t="str">
        <f>Hawaiian!G10</f>
        <v>*</v>
      </c>
      <c r="L11" s="111">
        <f>'Data Entry'!H10</f>
        <v>0</v>
      </c>
      <c r="M11" s="110" t="str">
        <f>'Am Indian'!G10</f>
        <v>*</v>
      </c>
      <c r="N11" s="111">
        <f>'Data Entry'!I10</f>
        <v>8</v>
      </c>
      <c r="O11" s="110" t="str">
        <f>'Other - Mixed'!G10</f>
        <v>*</v>
      </c>
      <c r="P11" s="111">
        <f>'Data Entry'!J10</f>
        <v>46</v>
      </c>
      <c r="Q11" s="112">
        <f>'All Minorities'!G10</f>
        <v>1.0482895285773886</v>
      </c>
      <c r="R11"/>
      <c r="T11" s="1">
        <f>'Black or African-American'!L10</f>
        <v>2</v>
      </c>
      <c r="U11" s="1">
        <f>Hispanic!L10</f>
        <v>40</v>
      </c>
      <c r="V11" s="1">
        <f>Asian!L10</f>
        <v>40</v>
      </c>
      <c r="W11" s="1" t="e">
        <f>Hawaiian!L10</f>
        <v>#VALUE!</v>
      </c>
      <c r="X11" s="1" t="e">
        <f>'Am Indian'!L10</f>
        <v>#VALUE!</v>
      </c>
      <c r="Y11" s="1">
        <f>'Other - Mixed'!L10</f>
        <v>119</v>
      </c>
      <c r="Z11" s="1">
        <f>'All Minorities'!L10</f>
        <v>2</v>
      </c>
    </row>
    <row r="12" spans="2:26" s="1" customFormat="1" ht="15" customHeight="1" x14ac:dyDescent="0.3">
      <c r="B12" s="149" t="s">
        <v>95</v>
      </c>
      <c r="C12" s="104">
        <f>'Data Entry'!C11</f>
        <v>437</v>
      </c>
      <c r="D12" s="113">
        <f>'Data Entry'!D11</f>
        <v>339</v>
      </c>
      <c r="E12" s="114" t="str">
        <f>'Black or African-American'!$G11</f>
        <v>--</v>
      </c>
      <c r="F12" s="115">
        <f>'Data Entry'!E11</f>
        <v>10</v>
      </c>
      <c r="G12" s="114" t="str">
        <f>Hispanic!G11</f>
        <v>--</v>
      </c>
      <c r="H12" s="115">
        <f>'Data Entry'!F11</f>
        <v>1</v>
      </c>
      <c r="I12" s="114" t="str">
        <f>Asian!G11</f>
        <v>--</v>
      </c>
      <c r="J12" s="115">
        <f>'Data Entry'!G11</f>
        <v>0</v>
      </c>
      <c r="K12" s="114" t="str">
        <f>Hawaiian!G11</f>
        <v>*</v>
      </c>
      <c r="L12" s="115">
        <f>'Data Entry'!H11</f>
        <v>0</v>
      </c>
      <c r="M12" s="114" t="str">
        <f>'Am Indian'!G11</f>
        <v>*</v>
      </c>
      <c r="N12" s="115">
        <f>'Data Entry'!I11</f>
        <v>26</v>
      </c>
      <c r="O12" s="114" t="str">
        <f>'Other - Mixed'!G11</f>
        <v>*</v>
      </c>
      <c r="P12" s="115">
        <f>'Data Entry'!J11</f>
        <v>376</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137</v>
      </c>
      <c r="D13" s="109">
        <f>'Data Entry'!D12</f>
        <v>96</v>
      </c>
      <c r="E13" s="110">
        <f>'Black or African-American'!$G12</f>
        <v>0.90330082036044179</v>
      </c>
      <c r="F13" s="111">
        <f>'Data Entry'!E12</f>
        <v>6</v>
      </c>
      <c r="G13" s="110" t="str">
        <f>Hispanic!G12</f>
        <v>**</v>
      </c>
      <c r="H13" s="111">
        <f>'Data Entry'!F12</f>
        <v>0</v>
      </c>
      <c r="I13" s="110" t="str">
        <f>Asian!G12</f>
        <v>**</v>
      </c>
      <c r="J13" s="111">
        <f>'Data Entry'!G12</f>
        <v>0</v>
      </c>
      <c r="K13" s="110" t="str">
        <f>Hawaiian!G12</f>
        <v>*</v>
      </c>
      <c r="L13" s="111">
        <f>'Data Entry'!H12</f>
        <v>0</v>
      </c>
      <c r="M13" s="110" t="str">
        <f>'Am Indian'!G12</f>
        <v>*</v>
      </c>
      <c r="N13" s="111">
        <f>'Data Entry'!I12</f>
        <v>10</v>
      </c>
      <c r="O13" s="110" t="str">
        <f>'Other - Mixed'!G12</f>
        <v>*</v>
      </c>
      <c r="P13" s="111">
        <f>'Data Entry'!J12</f>
        <v>112</v>
      </c>
      <c r="Q13" s="112">
        <f>'All Minorities'!G12</f>
        <v>0.95014753843764577</v>
      </c>
      <c r="R13"/>
      <c r="T13" s="1">
        <f>'Black or African-American'!L12</f>
        <v>2</v>
      </c>
      <c r="U13" s="1">
        <f>Hispanic!L12</f>
        <v>40</v>
      </c>
      <c r="V13" s="1">
        <f>Asian!L12</f>
        <v>40</v>
      </c>
      <c r="W13" s="1" t="e">
        <f>Hawaiian!L12</f>
        <v>#VALUE!</v>
      </c>
      <c r="X13" s="1" t="e">
        <f>'Am Indian'!L12</f>
        <v>#VALUE!</v>
      </c>
      <c r="Y13" s="1">
        <f>'Other - Mixed'!L12</f>
        <v>139</v>
      </c>
      <c r="Z13" s="1">
        <f>'All Minorities'!L12</f>
        <v>2</v>
      </c>
    </row>
    <row r="14" spans="2:26" s="1" customFormat="1" ht="15" customHeight="1" x14ac:dyDescent="0.3">
      <c r="B14" s="149" t="s">
        <v>125</v>
      </c>
      <c r="C14" s="104">
        <f>'Data Entry'!C13</f>
        <v>136</v>
      </c>
      <c r="D14" s="113">
        <f>'Data Entry'!D13</f>
        <v>93</v>
      </c>
      <c r="E14" s="114">
        <f>'Black or African-American'!$G13</f>
        <v>0.97587316176470595</v>
      </c>
      <c r="F14" s="115">
        <f>'Data Entry'!E13</f>
        <v>6</v>
      </c>
      <c r="G14" s="114" t="str">
        <f>Hispanic!G13</f>
        <v>**</v>
      </c>
      <c r="H14" s="115">
        <f>'Data Entry'!F13</f>
        <v>0</v>
      </c>
      <c r="I14" s="114" t="str">
        <f>Asian!G13</f>
        <v>--</v>
      </c>
      <c r="J14" s="115">
        <f>'Data Entry'!G13</f>
        <v>0</v>
      </c>
      <c r="K14" s="114" t="str">
        <f>Hawaiian!G13</f>
        <v>*</v>
      </c>
      <c r="L14" s="115">
        <f>'Data Entry'!H13</f>
        <v>0</v>
      </c>
      <c r="M14" s="114" t="str">
        <f>'Am Indian'!G13</f>
        <v>*</v>
      </c>
      <c r="N14" s="115">
        <f>'Data Entry'!I13</f>
        <v>10</v>
      </c>
      <c r="O14" s="114" t="str">
        <f>'Other - Mixed'!G13</f>
        <v>*</v>
      </c>
      <c r="P14" s="115">
        <f>'Data Entry'!J13</f>
        <v>109</v>
      </c>
      <c r="Q14" s="116">
        <f>'All Minorities'!G13</f>
        <v>0.98037027310924363</v>
      </c>
      <c r="R14"/>
      <c r="T14" s="1">
        <f>'Black or African-American'!L13</f>
        <v>2</v>
      </c>
      <c r="U14" s="1">
        <f>Hispanic!L13</f>
        <v>40</v>
      </c>
      <c r="V14" s="1" t="e">
        <f>Asian!L13</f>
        <v>#VALUE!</v>
      </c>
      <c r="W14" s="1" t="e">
        <f>Hawaiian!L13</f>
        <v>#VALUE!</v>
      </c>
      <c r="X14" s="1" t="e">
        <f>'Am Indian'!L13</f>
        <v>#VALUE!</v>
      </c>
      <c r="Y14" s="1">
        <f>'Other - Mixed'!L13</f>
        <v>139</v>
      </c>
      <c r="Z14" s="1">
        <f>'All Minorities'!L13</f>
        <v>2</v>
      </c>
    </row>
    <row r="15" spans="2:26" s="1" customFormat="1" ht="33" x14ac:dyDescent="0.3">
      <c r="B15" s="151" t="s">
        <v>115</v>
      </c>
      <c r="C15" s="104">
        <f>'Data Entry'!C14</f>
        <v>13</v>
      </c>
      <c r="D15" s="109">
        <f>'Data Entry'!D14</f>
        <v>14</v>
      </c>
      <c r="E15" s="110">
        <f>'Black or African-American'!$G14</f>
        <v>1.5368589743589747</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4</v>
      </c>
      <c r="O15" s="110" t="str">
        <f>'Other - Mixed'!G14</f>
        <v>*</v>
      </c>
      <c r="P15" s="111">
        <f>'Data Entry'!J14</f>
        <v>18</v>
      </c>
      <c r="Q15" s="112">
        <f>'All Minorities'!G14</f>
        <v>1.6936813186813187</v>
      </c>
      <c r="R15"/>
      <c r="T15" s="1">
        <f>'Black or African-American'!L14</f>
        <v>2</v>
      </c>
      <c r="U15" s="1">
        <f>Hispanic!L14</f>
        <v>40</v>
      </c>
      <c r="V15" s="1" t="e">
        <f>Asian!L14</f>
        <v>#VALUE!</v>
      </c>
      <c r="W15" s="1" t="e">
        <f>Hawaiian!L14</f>
        <v>#VALUE!</v>
      </c>
      <c r="X15" s="1" t="e">
        <f>'Am Indian'!L14</f>
        <v>#VALUE!</v>
      </c>
      <c r="Y15" s="1">
        <f>'Other - Mixed'!L14</f>
        <v>119</v>
      </c>
      <c r="Z15" s="1">
        <f>'All Minorities'!L14</f>
        <v>2</v>
      </c>
    </row>
    <row r="16" spans="2:26" s="1" customFormat="1" ht="15" customHeight="1" x14ac:dyDescent="0.3">
      <c r="B16" s="149" t="s">
        <v>16</v>
      </c>
      <c r="C16" s="104">
        <f>'Data Entry'!C15</f>
        <v>5</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f>'Black or African-American'!L15</f>
        <v>20</v>
      </c>
      <c r="U16" s="1">
        <f>Hispanic!L15</f>
        <v>40</v>
      </c>
      <c r="V16" s="1">
        <f>Asian!L15</f>
        <v>40</v>
      </c>
      <c r="W16" s="1" t="e">
        <f>Hawaiian!L15</f>
        <v>#VALUE!</v>
      </c>
      <c r="X16" s="1" t="e">
        <f>'Am Indian'!L15</f>
        <v>#VALUE!</v>
      </c>
      <c r="Y16" s="1">
        <f>'Other - Mixed'!L15</f>
        <v>139</v>
      </c>
      <c r="Z16" s="1">
        <f>'All Minorities'!L15</f>
        <v>20</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120</v>
      </c>
      <c r="I19" s="139" t="s">
        <v>51</v>
      </c>
      <c r="J19" s="136"/>
      <c r="K19" s="136"/>
      <c r="L19" s="136"/>
      <c r="M19" s="136"/>
      <c r="N19" s="136"/>
      <c r="O19" s="137"/>
      <c r="P19" s="94"/>
      <c r="Q19" s="94"/>
    </row>
    <row r="20" spans="2:18" ht="16.5" x14ac:dyDescent="0.3">
      <c r="B20" s="94"/>
      <c r="C20" s="160" t="s">
        <v>117</v>
      </c>
      <c r="D20" s="166"/>
      <c r="E20" s="167"/>
      <c r="F20" s="168"/>
      <c r="G20" s="169" t="s">
        <v>53</v>
      </c>
      <c r="H20" s="166"/>
      <c r="I20" s="160" t="s">
        <v>56</v>
      </c>
      <c r="J20" s="166"/>
      <c r="K20" s="166"/>
      <c r="L20" s="166"/>
      <c r="M20" s="166"/>
      <c r="N20" s="166"/>
      <c r="O20" s="161" t="s">
        <v>57</v>
      </c>
      <c r="Q20" s="94"/>
    </row>
    <row r="21" spans="2:18" ht="15" customHeight="1" x14ac:dyDescent="0.3">
      <c r="B21" s="94"/>
      <c r="C21" s="162" t="s">
        <v>119</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Macomb County Juvenile Court</v>
      </c>
      <c r="E27" s="1" t="str">
        <f>'Data Entry'!D20</f>
        <v>Item 4.Diversion: Macomb County Juvenile Court</v>
      </c>
      <c r="I27" s="97"/>
      <c r="J27" s="97"/>
    </row>
    <row r="28" spans="2:18" ht="12.75" customHeight="1" x14ac:dyDescent="0.25">
      <c r="B28" s="1" t="str">
        <f>'Data Entry'!A21</f>
        <v>Item 5.Detention: Macomb County Juvenile Court</v>
      </c>
      <c r="E28" s="1" t="str">
        <f>'Data Entry'!D21</f>
        <v>Item 6.Petitioned: Macomb County Juvenile Court</v>
      </c>
      <c r="I28" s="97"/>
      <c r="J28" s="97"/>
    </row>
    <row r="29" spans="2:18" ht="12.75" customHeight="1" x14ac:dyDescent="0.25">
      <c r="B29" s="1" t="str">
        <f>'Data Entry'!A22</f>
        <v>Item 7.Delinquent: Macomb County Juvenile Court</v>
      </c>
      <c r="E29" s="1" t="str">
        <f>'Data Entry'!D22</f>
        <v>Item 8.Probation: Macomb County Juvenile Court</v>
      </c>
      <c r="I29" s="97"/>
      <c r="J29" s="97"/>
    </row>
    <row r="30" spans="2:18" ht="12.75" customHeight="1" x14ac:dyDescent="0.25">
      <c r="B30" s="1" t="str">
        <f>'Data Entry'!A23</f>
        <v>Item 9.Confinement: Macomb County Juvenile Court</v>
      </c>
      <c r="E30" s="1" t="str">
        <f>'Data Entry'!D23</f>
        <v>Item 10.Transferred: Macomb County Juvenile Court</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Macomb</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Macomb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122</v>
      </c>
      <c r="I6" s="97" t="str">
        <f>'Data Entry'!C5</f>
        <v>White</v>
      </c>
      <c r="K6" s="143" t="s">
        <v>123</v>
      </c>
      <c r="L6" s="143" t="s">
        <v>121</v>
      </c>
    </row>
    <row r="7" spans="1:12" x14ac:dyDescent="0.2">
      <c r="A7" s="132" t="str">
        <f>CONCATENATE("Waivers, total N=", 'Data Entry'!B15)</f>
        <v>Waivers, total N=5</v>
      </c>
      <c r="B7" s="157">
        <f>'Data Entry'!D15/'Data Entry'!B15</f>
        <v>0</v>
      </c>
      <c r="C7" s="157">
        <f>'Data Entry'!E15/'Data Entry'!B15</f>
        <v>0</v>
      </c>
      <c r="D7" s="157">
        <f>'Data Entry'!F15/'Data Entry'!B15</f>
        <v>0</v>
      </c>
      <c r="E7" s="157">
        <f>'Data Entry'!G15/'Data Entry'!B15</f>
        <v>0</v>
      </c>
      <c r="F7" s="157">
        <f>'Data Entry'!H15/'Data Entry'!B15</f>
        <v>0</v>
      </c>
      <c r="G7" s="157">
        <f>'Data Entry'!I15/'Data Entry'!B15</f>
        <v>0</v>
      </c>
      <c r="H7" s="157">
        <f>SUM(D7:G7)/'Data Entry'!B15</f>
        <v>0</v>
      </c>
      <c r="I7" s="157">
        <f>'Data Entry'!C15/'Data Entry'!B15</f>
        <v>1</v>
      </c>
      <c r="K7" s="97" t="str">
        <f t="shared" ref="K7:K14" si="0">A7</f>
        <v>Waivers, total N=5</v>
      </c>
      <c r="L7">
        <f>I14/(SUM(B14:G14))</f>
        <v>2.5809565813976283</v>
      </c>
    </row>
    <row r="8" spans="1:12" ht="25.5" customHeight="1" x14ac:dyDescent="0.2">
      <c r="A8" s="158" t="str">
        <f>CONCATENATE("Confinement, total N=", 'Data Entry'!B14)</f>
        <v>Confinement, total N=31</v>
      </c>
      <c r="B8" s="157">
        <f>'Data Entry'!D14/'Data Entry'!B14</f>
        <v>0.45161290322580644</v>
      </c>
      <c r="C8" s="157">
        <f>'Data Entry'!E14/'Data Entry'!B14</f>
        <v>0</v>
      </c>
      <c r="D8" s="157">
        <f>'Data Entry'!F14/'Data Entry'!B14</f>
        <v>0</v>
      </c>
      <c r="E8" s="157">
        <f>'Data Entry'!G14/'Data Entry'!B14</f>
        <v>0</v>
      </c>
      <c r="F8" s="157">
        <f>'Data Entry'!H14/'Data Entry'!B14</f>
        <v>0</v>
      </c>
      <c r="G8" s="157">
        <f>'Data Entry'!I14/'Data Entry'!B14</f>
        <v>0.12903225806451613</v>
      </c>
      <c r="H8" s="157">
        <f>SUM(D8:G8)/'Data Entry'!B14</f>
        <v>4.1623309053069714E-3</v>
      </c>
      <c r="I8" s="157">
        <f>'Data Entry'!C14/'Data Entry'!B14</f>
        <v>0.41935483870967744</v>
      </c>
      <c r="K8" s="97" t="str">
        <f>A8</f>
        <v>Confinement, total N=31</v>
      </c>
      <c r="L8">
        <f>I14/(SUM(B14:G14))</f>
        <v>2.5809565813976283</v>
      </c>
    </row>
    <row r="9" spans="1:12" x14ac:dyDescent="0.2">
      <c r="A9" s="132" t="str">
        <f>CONCATENATE("Delinquent Findings, total N=", 'Data Entry'!B12)</f>
        <v>Delinquent Findings, total N=250</v>
      </c>
      <c r="B9" s="157">
        <f>'Data Entry'!D12/'Data Entry'!B12</f>
        <v>0.38400000000000001</v>
      </c>
      <c r="C9" s="157">
        <f>'Data Entry'!E12/'Data Entry'!B12</f>
        <v>2.4E-2</v>
      </c>
      <c r="D9" s="157">
        <f>'Data Entry'!F12/'Data Entry'!B12</f>
        <v>0</v>
      </c>
      <c r="E9" s="157">
        <f>'Data Entry'!G12/'Data Entry'!B12</f>
        <v>0</v>
      </c>
      <c r="F9" s="157">
        <f>'Data Entry'!H12/'Data Entry'!B12</f>
        <v>0</v>
      </c>
      <c r="G9" s="157">
        <f>'Data Entry'!I12/'Data Entry'!B12</f>
        <v>0.04</v>
      </c>
      <c r="H9" s="157">
        <f>SUM(D9:G9)/'Data Entry'!B12</f>
        <v>1.6000000000000001E-4</v>
      </c>
      <c r="I9" s="157">
        <f>'Data Entry'!C12/'Data Entry'!B12</f>
        <v>0.54800000000000004</v>
      </c>
      <c r="K9" s="97" t="str">
        <f t="shared" si="0"/>
        <v>Delinquent Findings, total N=250</v>
      </c>
      <c r="L9">
        <f>I14/(SUM(B14:G14))</f>
        <v>2.5809565813976283</v>
      </c>
    </row>
    <row r="10" spans="1:12" x14ac:dyDescent="0.2">
      <c r="A10" s="132" t="str">
        <f>CONCATENATE("Petitions, total N=", 'Data Entry'!B11)</f>
        <v>Petitions, total N=840</v>
      </c>
      <c r="B10" s="157">
        <f>'Data Entry'!D11/'Data Entry'!B11</f>
        <v>0.40357142857142858</v>
      </c>
      <c r="C10" s="157">
        <f>'Data Entry'!E11/'Data Entry'!B11</f>
        <v>1.1904761904761904E-2</v>
      </c>
      <c r="D10" s="157">
        <f>'Data Entry'!F11/'Data Entry'!B11</f>
        <v>1.1904761904761906E-3</v>
      </c>
      <c r="E10" s="157">
        <f>'Data Entry'!G11/'Data Entry'!B11</f>
        <v>0</v>
      </c>
      <c r="F10" s="157">
        <f>'Data Entry'!H11/'Data Entry'!B11</f>
        <v>0</v>
      </c>
      <c r="G10" s="157">
        <f>'Data Entry'!I11/'Data Entry'!B11</f>
        <v>3.0952380952380953E-2</v>
      </c>
      <c r="H10" s="157">
        <f>SUM(D10:G10)/'Data Entry'!B11</f>
        <v>3.8265306122448984E-5</v>
      </c>
      <c r="I10" s="157">
        <f>'Data Entry'!C11/'Data Entry'!B11</f>
        <v>0.52023809523809528</v>
      </c>
      <c r="K10" s="97" t="str">
        <f t="shared" si="0"/>
        <v>Petitions, total N=840</v>
      </c>
      <c r="L10">
        <f>I14/(SUM(B14:G14))</f>
        <v>2.5809565813976283</v>
      </c>
    </row>
    <row r="11" spans="1:12" x14ac:dyDescent="0.2">
      <c r="A11" s="132" t="str">
        <f>CONCATENATE("Detentions, total N=", 'Data Entry'!B10)</f>
        <v>Detentions, total N=97</v>
      </c>
      <c r="B11" s="157">
        <f>'Data Entry'!D10/'Data Entry'!B10</f>
        <v>0.38144329896907214</v>
      </c>
      <c r="C11" s="157">
        <f>'Data Entry'!E10/'Data Entry'!B10</f>
        <v>1.0309278350515464E-2</v>
      </c>
      <c r="D11" s="157">
        <f>'Data Entry'!F10/'Data Entry'!B10</f>
        <v>0</v>
      </c>
      <c r="E11" s="157">
        <f>'Data Entry'!G10/'Data Entry'!B10</f>
        <v>0</v>
      </c>
      <c r="F11" s="157">
        <f>'Data Entry'!H10/'Data Entry'!B10</f>
        <v>0</v>
      </c>
      <c r="G11" s="157">
        <f>'Data Entry'!I10/'Data Entry'!B10</f>
        <v>8.247422680412371E-2</v>
      </c>
      <c r="H11" s="157">
        <f>SUM(D11:G11)/'Data Entry'!B10</f>
        <v>8.502497608672547E-4</v>
      </c>
      <c r="I11" s="157">
        <f>'Data Entry'!C10/'Data Entry'!B10</f>
        <v>0.52577319587628868</v>
      </c>
      <c r="K11" s="97" t="str">
        <f t="shared" si="0"/>
        <v>Detentions, total N=97</v>
      </c>
      <c r="L11">
        <f>I14/(SUM(B14:G14))</f>
        <v>2.5809565813976283</v>
      </c>
    </row>
    <row r="12" spans="1:12" x14ac:dyDescent="0.2">
      <c r="A12" s="132" t="str">
        <f>CONCATENATE("Referrals, total N=", 'Data Entry'!B8)</f>
        <v>Referrals, total N=840</v>
      </c>
      <c r="B12" s="157">
        <f>'Data Entry'!D8/'Data Entry'!B8</f>
        <v>0.40357142857142858</v>
      </c>
      <c r="C12" s="157">
        <f>'Data Entry'!E8/'Data Entry'!B8</f>
        <v>1.1904761904761904E-2</v>
      </c>
      <c r="D12" s="157">
        <f>'Data Entry'!F8/'Data Entry'!B8</f>
        <v>1.1904761904761906E-3</v>
      </c>
      <c r="E12" s="157">
        <f>'Data Entry'!G8/'Data Entry'!B8</f>
        <v>0</v>
      </c>
      <c r="F12" s="157">
        <f>'Data Entry'!H8/'Data Entry'!B8</f>
        <v>0</v>
      </c>
      <c r="G12" s="157">
        <f>'Data Entry'!I8/'Data Entry'!B8</f>
        <v>3.0952380952380953E-2</v>
      </c>
      <c r="H12" s="157">
        <f>SUM(D12:G12)/'Data Entry'!B8</f>
        <v>3.8265306122448984E-5</v>
      </c>
      <c r="I12" s="157">
        <f>'Data Entry'!C8/'Data Entry'!B8</f>
        <v>0.52023809523809528</v>
      </c>
      <c r="K12" s="97" t="str">
        <f t="shared" si="0"/>
        <v>Referrals, total N=840</v>
      </c>
      <c r="L12">
        <f>I14/(SUM(B14:G14))</f>
        <v>2.5809565813976283</v>
      </c>
    </row>
    <row r="13" spans="1:12" x14ac:dyDescent="0.2">
      <c r="A13" s="132" t="str">
        <f>CONCATENATE("Arrests, total N=", 'Data Entry'!B7)</f>
        <v>Arrests, total N=280</v>
      </c>
      <c r="B13" s="157">
        <f>'Data Entry'!D7/'Data Entry'!B7</f>
        <v>0.49642857142857144</v>
      </c>
      <c r="C13" s="157">
        <f>'Data Entry'!E7/'Data Entry'!B7</f>
        <v>1.0714285714285714E-2</v>
      </c>
      <c r="D13" s="157">
        <f>'Data Entry'!F7/'Data Entry'!B7</f>
        <v>0</v>
      </c>
      <c r="E13" s="157">
        <f>'Data Entry'!G7/'Data Entry'!B7</f>
        <v>0</v>
      </c>
      <c r="F13" s="157">
        <f>'Data Entry'!H7/'Data Entry'!B7</f>
        <v>0</v>
      </c>
      <c r="G13" s="157">
        <f>'Data Entry'!I7/'Data Entry'!B7</f>
        <v>0</v>
      </c>
      <c r="H13" s="157">
        <f>SUM(D13:G13)/'Data Entry'!B7</f>
        <v>0</v>
      </c>
      <c r="I13" s="157">
        <f>'Data Entry'!C7/'Data Entry'!B7</f>
        <v>0.4642857142857143</v>
      </c>
      <c r="K13" s="97" t="str">
        <f t="shared" si="0"/>
        <v>Arrests, total N=280</v>
      </c>
      <c r="L13">
        <f>I14/(SUM(B14:G14))</f>
        <v>2.5809565813976283</v>
      </c>
    </row>
    <row r="14" spans="1:12" x14ac:dyDescent="0.2">
      <c r="A14" s="132" t="str">
        <f>CONCATENATE("Population, total N=", 'Data Entry'!B6)</f>
        <v>Population, total N=73073</v>
      </c>
      <c r="B14" s="157">
        <f>'Data Entry'!D6/'Data Entry'!B6</f>
        <v>0.17423672218192765</v>
      </c>
      <c r="C14" s="157">
        <f>'Data Entry'!E6/'Data Entry'!B6</f>
        <v>4.3381276257988585E-2</v>
      </c>
      <c r="D14" s="157">
        <f>'Data Entry'!F6/'Data Entry'!B6</f>
        <v>5.7873633216098973E-2</v>
      </c>
      <c r="E14" s="157">
        <f>'Data Entry'!G6/'Data Entry'!B6</f>
        <v>0</v>
      </c>
      <c r="F14" s="157">
        <f>'Data Entry'!H6/'Data Entry'!B6</f>
        <v>3.7633599277434892E-3</v>
      </c>
      <c r="G14" s="157">
        <f>'Data Entry'!I6/'Data Entry'!B6</f>
        <v>0</v>
      </c>
      <c r="H14" s="157">
        <f>SUM(D14:G14)/'Data Entry'!B6</f>
        <v>8.4349887296049787E-7</v>
      </c>
      <c r="I14" s="157">
        <f>'Data Entry'!C6/'Data Entry'!B6</f>
        <v>0.72074500841624134</v>
      </c>
      <c r="K14" s="97" t="str">
        <f t="shared" si="0"/>
        <v>Population, total N=73073</v>
      </c>
      <c r="L14">
        <f>I14/(SUM(B14:G14))</f>
        <v>2.5809565813976283</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113</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Macomb</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111</v>
      </c>
      <c r="C6" s="126" t="s">
        <v>109</v>
      </c>
      <c r="D6" s="127" t="s">
        <v>109</v>
      </c>
      <c r="E6" s="128" t="s">
        <v>110</v>
      </c>
      <c r="F6" s="127" t="s">
        <v>109</v>
      </c>
      <c r="G6" s="128" t="s">
        <v>110</v>
      </c>
      <c r="H6" s="127" t="s">
        <v>109</v>
      </c>
      <c r="I6" s="128" t="s">
        <v>110</v>
      </c>
      <c r="J6" s="127" t="s">
        <v>109</v>
      </c>
      <c r="K6" s="129" t="s">
        <v>110</v>
      </c>
    </row>
    <row r="7" spans="2:30" s="135" customFormat="1" ht="18" customHeight="1" x14ac:dyDescent="0.3">
      <c r="B7" s="148" t="str">
        <f>'Data Entry'!A6</f>
        <v xml:space="preserve">1. Population at Risk (age 10 through 16) </v>
      </c>
      <c r="C7" s="104">
        <f>'Data Entry'!C6</f>
        <v>52667</v>
      </c>
      <c r="D7" s="105">
        <f>'Data Entry'!D6</f>
        <v>12732</v>
      </c>
      <c r="E7" s="106"/>
      <c r="F7" s="107">
        <f>'Data Entry'!E6</f>
        <v>3170</v>
      </c>
      <c r="G7" s="106"/>
      <c r="H7" s="107">
        <f>'Data Entry'!F6</f>
        <v>4229</v>
      </c>
      <c r="I7" s="106"/>
      <c r="J7" s="107">
        <f>'Data Entry'!J6</f>
        <v>20406</v>
      </c>
      <c r="K7" s="108"/>
    </row>
    <row r="8" spans="2:30" s="1" customFormat="1" ht="15" customHeight="1" x14ac:dyDescent="0.3">
      <c r="B8" s="125" t="s">
        <v>8</v>
      </c>
      <c r="C8" s="104">
        <f>'Data Entry'!C7</f>
        <v>130</v>
      </c>
      <c r="D8" s="105">
        <f>'Data Entry'!D7</f>
        <v>139</v>
      </c>
      <c r="E8" s="106">
        <f>'Black or African-American'!$G7</f>
        <v>4.4229639430629062</v>
      </c>
      <c r="F8" s="107">
        <f>'Data Entry'!E7</f>
        <v>3</v>
      </c>
      <c r="G8" s="106" t="str">
        <f>Hispanic!G7</f>
        <v>**</v>
      </c>
      <c r="H8" s="107">
        <f>'Data Entry'!F7</f>
        <v>0</v>
      </c>
      <c r="I8" s="106" t="str">
        <f>Asian!G7</f>
        <v>**</v>
      </c>
      <c r="J8" s="107">
        <f>'Data Entry'!J7</f>
        <v>142</v>
      </c>
      <c r="K8" s="108">
        <f>'All Minorities'!G7</f>
        <v>2.8191987273727936</v>
      </c>
      <c r="L8"/>
      <c r="N8" s="1">
        <f>'Black or African-American'!L7</f>
        <v>1</v>
      </c>
      <c r="O8" s="1">
        <f>Hispanic!L7</f>
        <v>40</v>
      </c>
      <c r="P8" s="1">
        <f>Asian!L7</f>
        <v>20</v>
      </c>
      <c r="Q8" s="1" t="e">
        <f>Hawaiian!L7</f>
        <v>#VALUE!</v>
      </c>
      <c r="R8" s="1">
        <f>'Am Indian'!L7</f>
        <v>139</v>
      </c>
      <c r="S8" s="1" t="e">
        <f>'Other - Mixed'!L7</f>
        <v>#VALUE!</v>
      </c>
      <c r="T8" s="1">
        <f>'All Minorities'!L7</f>
        <v>1</v>
      </c>
    </row>
    <row r="9" spans="2:30" s="1" customFormat="1" ht="15" customHeight="1" x14ac:dyDescent="0.3">
      <c r="B9" s="125" t="s">
        <v>126</v>
      </c>
      <c r="C9" s="104">
        <f>'Data Entry'!C8</f>
        <v>437</v>
      </c>
      <c r="D9" s="109">
        <f>'Data Entry'!D8</f>
        <v>339</v>
      </c>
      <c r="E9" s="110">
        <f>'Black or African-American'!$G8</f>
        <v>0.72551569728199139</v>
      </c>
      <c r="F9" s="111">
        <f>'Data Entry'!E8</f>
        <v>10</v>
      </c>
      <c r="G9" s="110" t="str">
        <f>Hispanic!G8</f>
        <v>**</v>
      </c>
      <c r="H9" s="111">
        <f>'Data Entry'!F8</f>
        <v>1</v>
      </c>
      <c r="I9" s="110" t="str">
        <f>Asian!G8</f>
        <v>**</v>
      </c>
      <c r="J9" s="111">
        <f>'Data Entry'!J8</f>
        <v>376</v>
      </c>
      <c r="K9" s="112">
        <f>'All Minorities'!G8</f>
        <v>0.78770103458278284</v>
      </c>
      <c r="L9"/>
      <c r="N9" s="1">
        <f>'Black or African-American'!L8</f>
        <v>1</v>
      </c>
      <c r="O9" s="1">
        <f>Hispanic!L8</f>
        <v>40</v>
      </c>
      <c r="P9" s="1">
        <f>Asian!L8</f>
        <v>40</v>
      </c>
      <c r="Q9" s="1">
        <f>Hawaiian!L8</f>
        <v>139</v>
      </c>
      <c r="R9" s="1">
        <f>'Am Indian'!L8</f>
        <v>139</v>
      </c>
      <c r="S9" s="1">
        <f>'Other - Mixed'!L8</f>
        <v>119</v>
      </c>
      <c r="T9" s="1">
        <f>'All Minorities'!L8</f>
        <v>1</v>
      </c>
    </row>
    <row r="10" spans="2:30" s="1" customFormat="1" ht="15" customHeight="1" x14ac:dyDescent="0.3">
      <c r="B10" s="125" t="s">
        <v>10</v>
      </c>
      <c r="C10" s="104">
        <f>'Data Entry'!C9</f>
        <v>181</v>
      </c>
      <c r="D10" s="113">
        <f>'Data Entry'!D9</f>
        <v>99</v>
      </c>
      <c r="E10" s="114">
        <f>'Black or African-American'!$G9</f>
        <v>0.70507993937319713</v>
      </c>
      <c r="F10" s="115">
        <f>'Data Entry'!E9</f>
        <v>1</v>
      </c>
      <c r="G10" s="114" t="str">
        <f>Hispanic!G9</f>
        <v>**</v>
      </c>
      <c r="H10" s="115">
        <f>'Data Entry'!F9</f>
        <v>1</v>
      </c>
      <c r="I10" s="114" t="str">
        <f>Asian!G9</f>
        <v>**</v>
      </c>
      <c r="J10" s="115">
        <f>'Data Entry'!J9</f>
        <v>104</v>
      </c>
      <c r="K10" s="116">
        <f>'All Minorities'!G9</f>
        <v>0.6678029857764195</v>
      </c>
      <c r="L10"/>
      <c r="N10" s="1">
        <f>'Black or African-American'!L9</f>
        <v>1</v>
      </c>
      <c r="O10" s="1">
        <f>Hispanic!L9</f>
        <v>20</v>
      </c>
      <c r="P10" s="1">
        <f>Asian!L9</f>
        <v>40</v>
      </c>
      <c r="Q10" s="1" t="e">
        <f>Hawaiian!L9</f>
        <v>#VALUE!</v>
      </c>
      <c r="R10" s="1" t="e">
        <f>'Am Indian'!L9</f>
        <v>#VALUE!</v>
      </c>
      <c r="S10" s="1">
        <f>'Other - Mixed'!L9</f>
        <v>119</v>
      </c>
      <c r="T10" s="1">
        <f>'All Minorities'!L9</f>
        <v>1</v>
      </c>
    </row>
    <row r="11" spans="2:30" s="1" customFormat="1" ht="15" customHeight="1" x14ac:dyDescent="0.3">
      <c r="B11" s="125" t="s">
        <v>11</v>
      </c>
      <c r="C11" s="104">
        <f>'Data Entry'!C10</f>
        <v>51</v>
      </c>
      <c r="D11" s="109">
        <f>'Data Entry'!D10</f>
        <v>37</v>
      </c>
      <c r="E11" s="110">
        <f>'Black or African-American'!$G10</f>
        <v>0.93521892532824336</v>
      </c>
      <c r="F11" s="111">
        <f>'Data Entry'!E10</f>
        <v>1</v>
      </c>
      <c r="G11" s="110" t="str">
        <f>Hispanic!G10</f>
        <v>**</v>
      </c>
      <c r="H11" s="111">
        <f>'Data Entry'!F10</f>
        <v>0</v>
      </c>
      <c r="I11" s="110" t="str">
        <f>Asian!G10</f>
        <v>**</v>
      </c>
      <c r="J11" s="111">
        <f>'Data Entry'!J10</f>
        <v>46</v>
      </c>
      <c r="K11" s="112">
        <f>'All Minorities'!G10</f>
        <v>1.0482895285773886</v>
      </c>
      <c r="L11"/>
      <c r="N11" s="1">
        <f>'Black or African-American'!L10</f>
        <v>2</v>
      </c>
      <c r="O11" s="1">
        <f>Hispanic!L10</f>
        <v>40</v>
      </c>
      <c r="P11" s="1">
        <f>Asian!L10</f>
        <v>40</v>
      </c>
      <c r="Q11" s="1" t="e">
        <f>Hawaiian!L10</f>
        <v>#VALUE!</v>
      </c>
      <c r="R11" s="1" t="e">
        <f>'Am Indian'!L10</f>
        <v>#VALUE!</v>
      </c>
      <c r="S11" s="1">
        <f>'Other - Mixed'!L10</f>
        <v>119</v>
      </c>
      <c r="T11" s="1">
        <f>'All Minorities'!L10</f>
        <v>2</v>
      </c>
    </row>
    <row r="12" spans="2:30" s="1" customFormat="1" ht="15" customHeight="1" x14ac:dyDescent="0.3">
      <c r="B12" s="125" t="s">
        <v>95</v>
      </c>
      <c r="C12" s="104">
        <f>'Data Entry'!C11</f>
        <v>437</v>
      </c>
      <c r="D12" s="113">
        <f>'Data Entry'!D11</f>
        <v>339</v>
      </c>
      <c r="E12" s="114" t="str">
        <f>'Black or African-American'!$G11</f>
        <v>--</v>
      </c>
      <c r="F12" s="115">
        <f>'Data Entry'!E11</f>
        <v>10</v>
      </c>
      <c r="G12" s="114" t="str">
        <f>Hispanic!G11</f>
        <v>--</v>
      </c>
      <c r="H12" s="115">
        <f>'Data Entry'!F11</f>
        <v>1</v>
      </c>
      <c r="I12" s="114" t="str">
        <f>Asian!G11</f>
        <v>--</v>
      </c>
      <c r="J12" s="115">
        <f>'Data Entry'!J11</f>
        <v>376</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137</v>
      </c>
      <c r="D13" s="109">
        <f>'Data Entry'!D12</f>
        <v>96</v>
      </c>
      <c r="E13" s="110">
        <f>'Black or African-American'!$G12</f>
        <v>0.90330082036044179</v>
      </c>
      <c r="F13" s="111">
        <f>'Data Entry'!E12</f>
        <v>6</v>
      </c>
      <c r="G13" s="110" t="str">
        <f>Hispanic!G12</f>
        <v>**</v>
      </c>
      <c r="H13" s="111">
        <f>'Data Entry'!F12</f>
        <v>0</v>
      </c>
      <c r="I13" s="110" t="str">
        <f>Asian!G12</f>
        <v>**</v>
      </c>
      <c r="J13" s="111">
        <f>'Data Entry'!J12</f>
        <v>112</v>
      </c>
      <c r="K13" s="112">
        <f>'All Minorities'!G12</f>
        <v>0.95014753843764577</v>
      </c>
      <c r="L13"/>
      <c r="N13" s="1">
        <f>'Black or African-American'!L12</f>
        <v>2</v>
      </c>
      <c r="O13" s="1">
        <f>Hispanic!L12</f>
        <v>40</v>
      </c>
      <c r="P13" s="1">
        <f>Asian!L12</f>
        <v>40</v>
      </c>
      <c r="Q13" s="1" t="e">
        <f>Hawaiian!L12</f>
        <v>#VALUE!</v>
      </c>
      <c r="R13" s="1" t="e">
        <f>'Am Indian'!L12</f>
        <v>#VALUE!</v>
      </c>
      <c r="S13" s="1">
        <f>'Other - Mixed'!L12</f>
        <v>139</v>
      </c>
      <c r="T13" s="1">
        <f>'All Minorities'!L12</f>
        <v>2</v>
      </c>
      <c r="W13" s="135"/>
      <c r="X13" s="135"/>
      <c r="Y13" s="135"/>
      <c r="Z13" s="135"/>
      <c r="AA13" s="135"/>
      <c r="AB13" s="135"/>
      <c r="AC13" s="135"/>
      <c r="AD13" s="135"/>
    </row>
    <row r="14" spans="2:30" s="1" customFormat="1" ht="15" customHeight="1" x14ac:dyDescent="0.3">
      <c r="B14" s="125" t="s">
        <v>14</v>
      </c>
      <c r="C14" s="104">
        <f>'Data Entry'!C13</f>
        <v>136</v>
      </c>
      <c r="D14" s="113">
        <f>'Data Entry'!D13</f>
        <v>93</v>
      </c>
      <c r="E14" s="114">
        <f>'Black or African-American'!$G13</f>
        <v>0.97587316176470595</v>
      </c>
      <c r="F14" s="115">
        <f>'Data Entry'!E13</f>
        <v>6</v>
      </c>
      <c r="G14" s="114" t="str">
        <f>Hispanic!G13</f>
        <v>**</v>
      </c>
      <c r="H14" s="115">
        <f>'Data Entry'!F13</f>
        <v>0</v>
      </c>
      <c r="I14" s="114" t="str">
        <f>Asian!G13</f>
        <v>--</v>
      </c>
      <c r="J14" s="115">
        <f>'Data Entry'!J13</f>
        <v>109</v>
      </c>
      <c r="K14" s="116">
        <f>'All Minorities'!G13</f>
        <v>0.98037027310924363</v>
      </c>
      <c r="L14"/>
      <c r="N14" s="1">
        <f>'Black or African-American'!L13</f>
        <v>2</v>
      </c>
      <c r="O14" s="1">
        <f>Hispanic!L13</f>
        <v>40</v>
      </c>
      <c r="P14" s="1" t="e">
        <f>Asian!L13</f>
        <v>#VALUE!</v>
      </c>
      <c r="Q14" s="1" t="e">
        <f>Hawaiian!L13</f>
        <v>#VALUE!</v>
      </c>
      <c r="R14" s="1" t="e">
        <f>'Am Indian'!L13</f>
        <v>#VALUE!</v>
      </c>
      <c r="S14" s="1">
        <f>'Other - Mixed'!L13</f>
        <v>139</v>
      </c>
      <c r="T14" s="1">
        <f>'All Minorities'!L13</f>
        <v>2</v>
      </c>
      <c r="W14" s="135"/>
      <c r="X14" s="135"/>
      <c r="Y14" s="135"/>
      <c r="Z14" s="135"/>
      <c r="AA14" s="135"/>
      <c r="AB14" s="135"/>
      <c r="AC14" s="135"/>
      <c r="AD14" s="135"/>
    </row>
    <row r="15" spans="2:30" s="1" customFormat="1" ht="33" x14ac:dyDescent="0.3">
      <c r="B15" s="130" t="s">
        <v>115</v>
      </c>
      <c r="C15" s="104">
        <f>'Data Entry'!C14</f>
        <v>13</v>
      </c>
      <c r="D15" s="109">
        <f>'Data Entry'!D14</f>
        <v>14</v>
      </c>
      <c r="E15" s="110">
        <f>'Black or African-American'!$G14</f>
        <v>1.5368589743589747</v>
      </c>
      <c r="F15" s="111">
        <f>'Data Entry'!E14</f>
        <v>0</v>
      </c>
      <c r="G15" s="110" t="str">
        <f>Hispanic!G14</f>
        <v>**</v>
      </c>
      <c r="H15" s="111">
        <f>'Data Entry'!F14</f>
        <v>0</v>
      </c>
      <c r="I15" s="110" t="str">
        <f>Asian!G14</f>
        <v>--</v>
      </c>
      <c r="J15" s="111">
        <f>'Data Entry'!J14</f>
        <v>18</v>
      </c>
      <c r="K15" s="112">
        <f>'All Minorities'!G14</f>
        <v>1.6936813186813187</v>
      </c>
      <c r="L15"/>
      <c r="N15" s="1">
        <f>'Black or African-American'!L14</f>
        <v>2</v>
      </c>
      <c r="O15" s="1">
        <f>Hispanic!L14</f>
        <v>40</v>
      </c>
      <c r="P15" s="1" t="e">
        <f>Asian!L14</f>
        <v>#VALUE!</v>
      </c>
      <c r="Q15" s="1" t="e">
        <f>Hawaiian!L14</f>
        <v>#VALUE!</v>
      </c>
      <c r="R15" s="1" t="e">
        <f>'Am Indian'!L14</f>
        <v>#VALUE!</v>
      </c>
      <c r="S15" s="1">
        <f>'Other - Mixed'!L14</f>
        <v>119</v>
      </c>
      <c r="T15" s="1">
        <f>'All Minorities'!L14</f>
        <v>2</v>
      </c>
      <c r="W15" s="135"/>
      <c r="X15" s="135"/>
      <c r="Y15" s="135"/>
      <c r="Z15" s="135"/>
      <c r="AA15" s="135"/>
      <c r="AB15" s="135"/>
      <c r="AC15" s="135"/>
      <c r="AD15" s="135"/>
    </row>
    <row r="16" spans="2:30" s="1" customFormat="1" ht="15" customHeight="1" x14ac:dyDescent="0.3">
      <c r="B16" s="125" t="s">
        <v>16</v>
      </c>
      <c r="C16" s="104">
        <f>'Data Entry'!C15</f>
        <v>5</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f>'Black or African-American'!L15</f>
        <v>20</v>
      </c>
      <c r="O16" s="1">
        <f>Hispanic!L15</f>
        <v>40</v>
      </c>
      <c r="P16" s="1">
        <f>Asian!L15</f>
        <v>40</v>
      </c>
      <c r="Q16" s="1" t="e">
        <f>Hawaiian!L15</f>
        <v>#VALUE!</v>
      </c>
      <c r="R16" s="1" t="e">
        <f>'Am Indian'!L15</f>
        <v>#VALUE!</v>
      </c>
      <c r="S16" s="1">
        <f>'Other - Mixed'!L15</f>
        <v>139</v>
      </c>
      <c r="T16" s="1">
        <f>'All Minorities'!L15</f>
        <v>20</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112</v>
      </c>
      <c r="C19" s="200"/>
      <c r="D19" s="200"/>
      <c r="E19" s="200"/>
      <c r="F19" s="200"/>
      <c r="G19" s="200"/>
      <c r="H19" s="200"/>
      <c r="I19" s="201"/>
      <c r="J19" s="202"/>
      <c r="K19" s="203"/>
    </row>
    <row r="20" spans="2:30" ht="15.75" x14ac:dyDescent="0.3">
      <c r="B20" s="160" t="s">
        <v>117</v>
      </c>
      <c r="C20" s="207" t="s">
        <v>53</v>
      </c>
      <c r="D20" s="208"/>
      <c r="E20" s="191" t="s">
        <v>56</v>
      </c>
      <c r="F20" s="192"/>
      <c r="G20" s="192"/>
      <c r="H20" s="192"/>
      <c r="I20" s="192"/>
      <c r="J20" s="192"/>
      <c r="K20" s="161" t="s">
        <v>57</v>
      </c>
    </row>
    <row r="21" spans="2:30" ht="15" customHeight="1" x14ac:dyDescent="0.3">
      <c r="B21" s="162" t="s">
        <v>118</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Macomb County Juvenile Court</v>
      </c>
      <c r="E27" s="1" t="str">
        <f>'Data Entry'!D20</f>
        <v>Item 4.Diversion: Macomb County Juvenile Court</v>
      </c>
      <c r="I27" s="97"/>
    </row>
    <row r="28" spans="2:30" ht="12.75" customHeight="1" x14ac:dyDescent="0.25">
      <c r="B28" s="1" t="str">
        <f>'Data Entry'!A21</f>
        <v>Item 5.Detention: Macomb County Juvenile Court</v>
      </c>
      <c r="E28" s="1" t="str">
        <f>'Data Entry'!D21</f>
        <v>Item 6.Petitioned: Macomb County Juvenile Court</v>
      </c>
      <c r="I28" s="97"/>
    </row>
    <row r="29" spans="2:30" ht="12.75" customHeight="1" x14ac:dyDescent="0.25">
      <c r="B29" s="1" t="str">
        <f>'Data Entry'!A22</f>
        <v>Item 7.Delinquent: Macomb County Juvenile Court</v>
      </c>
      <c r="E29" s="1" t="str">
        <f>'Data Entry'!D22</f>
        <v>Item 8.Probation: Macomb County Juvenile Court</v>
      </c>
      <c r="I29" s="97"/>
    </row>
    <row r="30" spans="2:30" ht="12.75" customHeight="1" x14ac:dyDescent="0.25">
      <c r="B30" s="1" t="str">
        <f>'Data Entry'!A23</f>
        <v>Item 9.Confinement: Macomb County Juvenile Court</v>
      </c>
      <c r="E30" s="1" t="str">
        <f>'Data Entry'!D23</f>
        <v>Item 10.Transferred: Macomb County Juvenile Court</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Macomb</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52667</v>
      </c>
      <c r="D6" s="34"/>
      <c r="E6" s="33">
        <f>'Data Entry'!D6</f>
        <v>12732</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130</v>
      </c>
      <c r="D7" s="34">
        <f>IF((AND(C66&gt;0,C7&gt;0)),(C7/C66),0)</f>
        <v>2.4683388079822279</v>
      </c>
      <c r="E7" s="33">
        <f>'Data Entry'!D7</f>
        <v>139</v>
      </c>
      <c r="F7" s="34">
        <f>IF((AND($E$7&gt;0,$D$66&gt;0)),($E$7/$D$66),0)</f>
        <v>10.917373546968269</v>
      </c>
      <c r="G7" s="39">
        <f>IF(L$6=100,"*",IF(M7=FALSE,"--",IF(K7=20,"**",($F7/$D7))))</f>
        <v>4.4229639430629062</v>
      </c>
      <c r="H7" s="40"/>
      <c r="I7" s="41"/>
      <c r="J7" s="40">
        <f>IF((ABS($U7)&gt;Defaults!D$7),1,2)</f>
        <v>1</v>
      </c>
      <c r="K7" s="39">
        <f>IF((AND(N7&gt;Defaults!B$12,(N7+O7)&gt;Defaults!B$13, P7 &gt; Defaults!B$12, (P7+Q7) &gt; Defaults!B$13)),1,20)</f>
        <v>1</v>
      </c>
      <c r="L7" s="1">
        <f>(J7*K7+L$6)-1</f>
        <v>1</v>
      </c>
      <c r="M7" s="1" t="b">
        <f t="shared" ref="M7:M15" si="0">(ISNUMBER(J7))</f>
        <v>1</v>
      </c>
      <c r="N7" s="42">
        <f t="shared" ref="N7:N15" si="1">E7</f>
        <v>139</v>
      </c>
      <c r="O7" s="42">
        <f>E6-E7</f>
        <v>12593</v>
      </c>
      <c r="P7" s="42">
        <f t="shared" ref="P7:P15" si="2">C7</f>
        <v>130</v>
      </c>
      <c r="Q7" s="42">
        <f>C6-C7</f>
        <v>52537</v>
      </c>
      <c r="R7" s="42">
        <f t="shared" ref="R7:R15" si="3">SUM(N7:Q7)</f>
        <v>65399</v>
      </c>
      <c r="S7" s="30">
        <f t="shared" ref="S7:S15" si="4">R7*((((N7*Q7)-(O7*P7))^2))</f>
        <v>2.0992091995551127E+18</v>
      </c>
      <c r="T7" s="30">
        <f t="shared" ref="T7:T15" si="5">(N7+O7)*(P7+Q7)*(N7+P7)*(O7+Q7)</f>
        <v>1.174812527819268E+16</v>
      </c>
      <c r="U7" s="31">
        <f t="shared" ref="U7:U15" si="6">IF((S7&gt;0),S7/T7,"- -")</f>
        <v>178.68461136107777</v>
      </c>
    </row>
    <row r="8" spans="2:21" ht="18" customHeight="1" x14ac:dyDescent="0.25">
      <c r="B8" s="32" t="str">
        <f>'Data Entry'!A8</f>
        <v>3. Refer to Juvenile Court</v>
      </c>
      <c r="C8" s="33">
        <f>'Data Entry'!C8</f>
        <v>437</v>
      </c>
      <c r="D8" s="34">
        <f>IF((AND(C67&gt;0,C8&gt;0)),(C8/C67),0)</f>
        <v>336.15384615384613</v>
      </c>
      <c r="E8" s="33">
        <f>'Data Entry'!D8</f>
        <v>339</v>
      </c>
      <c r="F8" s="34">
        <f>IF((AND($E$8&gt;0,$D$67&gt;0)),($E8/$D67),0)</f>
        <v>243.88489208633095</v>
      </c>
      <c r="G8" s="39">
        <f t="shared" ref="G8:G15" si="7">IF(L$6=100,"*",IF(M8=FALSE,"--",IF(K8=20,"**",($F8/$D8))))</f>
        <v>0.72551569728199139</v>
      </c>
      <c r="H8" s="40"/>
      <c r="I8" s="41"/>
      <c r="J8" s="40">
        <f>IF((ABS($U8)&gt;Defaults!D$7),1,2)</f>
        <v>1</v>
      </c>
      <c r="K8" s="39">
        <f>IF((AND(N8&gt;Defaults!B$12,(N8+O8)&gt;Defaults!B$13, P8 &gt; Defaults!B$12, (P8+Q8) &gt; Defaults!B$13)),1,20)</f>
        <v>1</v>
      </c>
      <c r="L8" s="1">
        <f t="shared" ref="L8:L15" si="8">(J8*K8+L$6)-1</f>
        <v>1</v>
      </c>
      <c r="M8" s="1" t="b">
        <f t="shared" si="0"/>
        <v>1</v>
      </c>
      <c r="N8" s="42">
        <f t="shared" si="1"/>
        <v>339</v>
      </c>
      <c r="O8" s="42">
        <f>((D67*L67)-E8)+0.05</f>
        <v>-199.95</v>
      </c>
      <c r="P8" s="42">
        <f t="shared" si="2"/>
        <v>437</v>
      </c>
      <c r="Q8" s="42">
        <f>(C$67*L67)-C8</f>
        <v>-307</v>
      </c>
      <c r="R8" s="42">
        <f t="shared" si="3"/>
        <v>269.04999999999995</v>
      </c>
      <c r="S8" s="30">
        <f t="shared" si="4"/>
        <v>74989082345.378677</v>
      </c>
      <c r="T8" s="30">
        <f t="shared" si="5"/>
        <v>-7111172179.8000002</v>
      </c>
      <c r="U8" s="31">
        <f t="shared" si="6"/>
        <v>-10.545249144493043</v>
      </c>
    </row>
    <row r="9" spans="2:21" ht="18" customHeight="1" x14ac:dyDescent="0.25">
      <c r="B9" s="32" t="str">
        <f>'Data Entry'!A9</f>
        <v xml:space="preserve">4. Cases Diverted </v>
      </c>
      <c r="C9" s="33">
        <f>'Data Entry'!C9</f>
        <v>181</v>
      </c>
      <c r="D9" s="34">
        <f>IF((AND(C68&gt;0,C9&gt;0)),((C9/C68)),0)</f>
        <v>41.418764302059493</v>
      </c>
      <c r="E9" s="33">
        <f>'Data Entry'!D9</f>
        <v>99</v>
      </c>
      <c r="F9" s="34">
        <f>IF((AND($E$9&gt;0,$D$68&gt;0)),(($E$9/$D$68)),0)</f>
        <v>29.20353982300885</v>
      </c>
      <c r="G9" s="39">
        <f t="shared" si="7"/>
        <v>0.70507993937319713</v>
      </c>
      <c r="H9" s="40"/>
      <c r="I9" s="41"/>
      <c r="J9" s="40">
        <f>IF((ABS($U9)&gt;Defaults!D$7),1,2)</f>
        <v>1</v>
      </c>
      <c r="K9" s="39">
        <f>IF((AND(N9&gt;Defaults!B$12,(N9+O9)&gt;Defaults!B$13, P9 &gt; Defaults!B$12, (P9+Q9) &gt; Defaults!B$13)),1,20)</f>
        <v>1</v>
      </c>
      <c r="L9" s="1">
        <f t="shared" si="8"/>
        <v>1</v>
      </c>
      <c r="M9" s="1" t="b">
        <f t="shared" si="0"/>
        <v>1</v>
      </c>
      <c r="N9" s="42">
        <f t="shared" si="1"/>
        <v>99</v>
      </c>
      <c r="O9" s="42">
        <f>(D$68*L68)-E9</f>
        <v>240</v>
      </c>
      <c r="P9" s="42">
        <f t="shared" si="2"/>
        <v>181</v>
      </c>
      <c r="Q9" s="42">
        <f>(C$68*L68)-C9</f>
        <v>256</v>
      </c>
      <c r="R9" s="42">
        <f t="shared" si="3"/>
        <v>776</v>
      </c>
      <c r="S9" s="30">
        <f t="shared" si="4"/>
        <v>254113007616</v>
      </c>
      <c r="T9" s="30">
        <f t="shared" si="5"/>
        <v>20574099840</v>
      </c>
      <c r="U9" s="31">
        <f t="shared" si="6"/>
        <v>12.351111814960454</v>
      </c>
    </row>
    <row r="10" spans="2:21" ht="18" customHeight="1" x14ac:dyDescent="0.25">
      <c r="B10" s="32" t="str">
        <f>'Data Entry'!A10</f>
        <v>5. Cases Involving Secure Detention</v>
      </c>
      <c r="C10" s="33">
        <f>'Data Entry'!C10</f>
        <v>51</v>
      </c>
      <c r="D10" s="34">
        <f>IF(((AND(C68&gt;0,C10&gt;0))),(C10/(C68)),0)</f>
        <v>11.670480549199084</v>
      </c>
      <c r="E10" s="33">
        <f>'Data Entry'!D10</f>
        <v>37</v>
      </c>
      <c r="F10" s="34">
        <f>IF(((AND($E$10&gt;0,$D$68&gt;0))),($E$10/($D$68)),0)</f>
        <v>10.914454277286135</v>
      </c>
      <c r="G10" s="39">
        <f t="shared" si="7"/>
        <v>0.93521892532824336</v>
      </c>
      <c r="H10" s="40"/>
      <c r="I10" s="41"/>
      <c r="J10" s="40">
        <f>IF((ABS($U10)&gt;Defaults!D$7),1,2)</f>
        <v>2</v>
      </c>
      <c r="K10" s="39">
        <f>IF((AND(N10&gt;Defaults!B$12,(N10+O10)&gt;Defaults!B$13, P10 &gt; Defaults!B$12, (P10+Q10) &gt; Defaults!B$13)),1,20)</f>
        <v>1</v>
      </c>
      <c r="L10" s="1">
        <f t="shared" si="8"/>
        <v>2</v>
      </c>
      <c r="M10" s="1" t="b">
        <f t="shared" si="0"/>
        <v>1</v>
      </c>
      <c r="N10" s="42">
        <f t="shared" si="1"/>
        <v>37</v>
      </c>
      <c r="O10" s="42">
        <f>(D$68*L68)-E10</f>
        <v>302</v>
      </c>
      <c r="P10" s="42">
        <f t="shared" si="2"/>
        <v>51</v>
      </c>
      <c r="Q10" s="42">
        <f>(C$68*L68)-C10</f>
        <v>386</v>
      </c>
      <c r="R10" s="42">
        <f t="shared" si="3"/>
        <v>776</v>
      </c>
      <c r="S10" s="30">
        <f t="shared" si="4"/>
        <v>973414400</v>
      </c>
      <c r="T10" s="30">
        <f t="shared" si="5"/>
        <v>8969169792</v>
      </c>
      <c r="U10" s="31">
        <f t="shared" si="6"/>
        <v>0.10852892994268337</v>
      </c>
    </row>
    <row r="11" spans="2:21" ht="18" customHeight="1" x14ac:dyDescent="0.25">
      <c r="B11" s="32" t="str">
        <f>'Data Entry'!A11</f>
        <v>6. Cases Petitioned (Charge Filed)</v>
      </c>
      <c r="C11" s="33">
        <f>'Data Entry'!C11</f>
        <v>437</v>
      </c>
      <c r="D11" s="34">
        <f>IF(((AND(C68&gt;0,C11&gt;0))),(C11/(C68)),0)</f>
        <v>100</v>
      </c>
      <c r="E11" s="33">
        <f>'Data Entry'!D11</f>
        <v>339</v>
      </c>
      <c r="F11" s="34">
        <f>IF(((AND($E$11&gt;0,$D$68&gt;0))),($E$11/($D$68)),0)</f>
        <v>100</v>
      </c>
      <c r="G11" s="39" t="str">
        <f t="shared" si="7"/>
        <v>--</v>
      </c>
      <c r="H11" s="40"/>
      <c r="I11" s="41"/>
      <c r="J11" s="40" t="e">
        <f>IF((ABS($U11)&gt;Defaults!D$7),1,2)</f>
        <v>#VALUE!</v>
      </c>
      <c r="K11" s="39">
        <f>IF((AND(N11&gt;Defaults!B$12,(N11+O11)&gt;Defaults!B$13, P11 &gt; Defaults!B$12, (P11+Q11) &gt; Defaults!B$13)),1,20)</f>
        <v>1</v>
      </c>
      <c r="L11" s="1" t="e">
        <f t="shared" si="8"/>
        <v>#VALUE!</v>
      </c>
      <c r="M11" s="1" t="b">
        <f t="shared" si="0"/>
        <v>0</v>
      </c>
      <c r="N11" s="42">
        <f t="shared" si="1"/>
        <v>339</v>
      </c>
      <c r="O11" s="42">
        <f>(D$68*L68)-E11</f>
        <v>0</v>
      </c>
      <c r="P11" s="42">
        <f t="shared" si="2"/>
        <v>437</v>
      </c>
      <c r="Q11" s="42">
        <f>(C$68*L68)-C11</f>
        <v>0</v>
      </c>
      <c r="R11" s="42">
        <f t="shared" si="3"/>
        <v>776</v>
      </c>
      <c r="S11" s="30">
        <f t="shared" si="4"/>
        <v>0</v>
      </c>
      <c r="T11" s="30">
        <f t="shared" si="5"/>
        <v>0</v>
      </c>
      <c r="U11" s="31" t="str">
        <f t="shared" si="6"/>
        <v>- -</v>
      </c>
    </row>
    <row r="12" spans="2:21" ht="18" customHeight="1" x14ac:dyDescent="0.25">
      <c r="B12" s="32" t="str">
        <f>'Data Entry'!A12</f>
        <v>7. Cases Resulting in Delinquent Findings</v>
      </c>
      <c r="C12" s="33">
        <f>'Data Entry'!C12</f>
        <v>137</v>
      </c>
      <c r="D12" s="34">
        <f>IF(((AND(C69&gt;0,C12&gt;0))),(C12/(C69)),0)</f>
        <v>31.350114416475972</v>
      </c>
      <c r="E12" s="33">
        <f>'Data Entry'!D12</f>
        <v>96</v>
      </c>
      <c r="F12" s="34">
        <f>IF(((AND($D$69&gt;0,$E$12&gt;0))),(E12/(D69)),0)</f>
        <v>28.318584070796458</v>
      </c>
      <c r="G12" s="39">
        <f t="shared" si="7"/>
        <v>0.90330082036044179</v>
      </c>
      <c r="H12" s="40"/>
      <c r="I12" s="41"/>
      <c r="J12" s="40">
        <f>IF((ABS($U12)&gt;Defaults!D$7),1,2)</f>
        <v>2</v>
      </c>
      <c r="K12" s="39">
        <f>IF((AND(N12&gt;Defaults!B$12,(N12+O12)&gt;Defaults!B$13, P12 &gt; Defaults!B$12, (P12+Q12) &gt; Defaults!B$13)),1,20)</f>
        <v>1</v>
      </c>
      <c r="L12" s="1">
        <f t="shared" si="8"/>
        <v>2</v>
      </c>
      <c r="M12" s="1" t="b">
        <f t="shared" si="0"/>
        <v>1</v>
      </c>
      <c r="N12" s="42">
        <f t="shared" si="1"/>
        <v>96</v>
      </c>
      <c r="O12" s="42">
        <f>(D69*L69)-E12</f>
        <v>243</v>
      </c>
      <c r="P12" s="42">
        <f t="shared" si="2"/>
        <v>137</v>
      </c>
      <c r="Q12" s="42">
        <f>(C69*L69)-C12</f>
        <v>300</v>
      </c>
      <c r="R12" s="42">
        <f t="shared" si="3"/>
        <v>776</v>
      </c>
      <c r="S12" s="30">
        <f t="shared" si="4"/>
        <v>15651206856</v>
      </c>
      <c r="T12" s="30">
        <f t="shared" si="5"/>
        <v>18742904217</v>
      </c>
      <c r="U12" s="31">
        <f t="shared" si="6"/>
        <v>0.83504704899490445</v>
      </c>
    </row>
    <row r="13" spans="2:21" ht="18" customHeight="1" x14ac:dyDescent="0.25">
      <c r="B13" s="32" t="str">
        <f>'Data Entry'!A13</f>
        <v>8. Cases Resulting in Probation Placement</v>
      </c>
      <c r="C13" s="33">
        <f>'Data Entry'!C13</f>
        <v>136</v>
      </c>
      <c r="D13" s="34">
        <f>IF(((AND(C70&gt;0,C13&gt;0))),(C13/(C70)),0)</f>
        <v>99.270072992700719</v>
      </c>
      <c r="E13" s="33">
        <f>'Data Entry'!D13</f>
        <v>93</v>
      </c>
      <c r="F13" s="34">
        <f>IF(((AND($D$70&gt;0,$E$13&gt;0))),($E$13/($D$70)),0)</f>
        <v>96.875</v>
      </c>
      <c r="G13" s="39">
        <f t="shared" si="7"/>
        <v>0.97587316176470595</v>
      </c>
      <c r="H13" s="40"/>
      <c r="I13" s="41"/>
      <c r="J13" s="40">
        <f>IF((ABS($U13)&gt;Defaults!D$7),1,2)</f>
        <v>2</v>
      </c>
      <c r="K13" s="39">
        <f>IF((AND(N13&gt;Defaults!B$12,(N13+O13)&gt;Defaults!B$13, P13 &gt; Defaults!B$12, (P13+Q13) &gt; Defaults!B$13)),1,20)</f>
        <v>1</v>
      </c>
      <c r="L13" s="1">
        <f t="shared" si="8"/>
        <v>2</v>
      </c>
      <c r="M13" s="1" t="b">
        <f t="shared" si="0"/>
        <v>1</v>
      </c>
      <c r="N13" s="42">
        <f t="shared" si="1"/>
        <v>93</v>
      </c>
      <c r="O13" s="42">
        <f>(D70*L70)-E13</f>
        <v>3</v>
      </c>
      <c r="P13" s="42">
        <f t="shared" si="2"/>
        <v>136</v>
      </c>
      <c r="Q13" s="42">
        <f>(C70*L70)-C13</f>
        <v>1</v>
      </c>
      <c r="R13" s="42">
        <f t="shared" si="3"/>
        <v>233</v>
      </c>
      <c r="S13" s="30">
        <f t="shared" si="4"/>
        <v>23119425</v>
      </c>
      <c r="T13" s="30">
        <f t="shared" si="5"/>
        <v>12047232</v>
      </c>
      <c r="U13" s="31">
        <f t="shared" si="6"/>
        <v>1.9190653089439964</v>
      </c>
    </row>
    <row r="14" spans="2:21" ht="30.75" customHeight="1" x14ac:dyDescent="0.25">
      <c r="B14" s="32" t="str">
        <f>'Data Entry'!A14</f>
        <v xml:space="preserve">9. Cases Resulting in Confinement in Secure Juvenile Correctional Facilities </v>
      </c>
      <c r="C14" s="33">
        <f>'Data Entry'!C14</f>
        <v>13</v>
      </c>
      <c r="D14" s="34">
        <f>IF(((AND(C70&gt;0,C14&gt;0))), ((C14/(C70))),0)</f>
        <v>9.4890510948905096</v>
      </c>
      <c r="E14" s="33">
        <f>'Data Entry'!D14</f>
        <v>14</v>
      </c>
      <c r="F14" s="34">
        <f>IF(((AND($D$70&gt;0,$E$14&gt;0))), (($E$14/($D$70))),0)</f>
        <v>14.583333333333334</v>
      </c>
      <c r="G14" s="39">
        <f t="shared" si="7"/>
        <v>1.5368589743589747</v>
      </c>
      <c r="H14" s="40"/>
      <c r="I14" s="41"/>
      <c r="J14" s="40">
        <f>IF((ABS($U14)&gt;Defaults!D$7),1,2)</f>
        <v>2</v>
      </c>
      <c r="K14" s="39">
        <f>IF((AND(N14&gt;Defaults!B$12,(N14+O14)&gt;Defaults!B$13, P14 &gt; Defaults!B$12, (P14+Q14) &gt; Defaults!B$13)),1,20)</f>
        <v>1</v>
      </c>
      <c r="L14" s="1">
        <f t="shared" si="8"/>
        <v>2</v>
      </c>
      <c r="M14" s="1" t="b">
        <f t="shared" si="0"/>
        <v>1</v>
      </c>
      <c r="N14" s="42">
        <f t="shared" si="1"/>
        <v>14</v>
      </c>
      <c r="O14" s="42">
        <f>(D70*L70)-E14</f>
        <v>82</v>
      </c>
      <c r="P14" s="42">
        <f t="shared" si="2"/>
        <v>13</v>
      </c>
      <c r="Q14" s="42">
        <f>(C70*L70)-C14</f>
        <v>124</v>
      </c>
      <c r="R14" s="42">
        <f t="shared" si="3"/>
        <v>233</v>
      </c>
      <c r="S14" s="30">
        <f t="shared" si="4"/>
        <v>104593700</v>
      </c>
      <c r="T14" s="30">
        <f t="shared" si="5"/>
        <v>73151424</v>
      </c>
      <c r="U14" s="31">
        <f t="shared" si="6"/>
        <v>1.4298245239901277</v>
      </c>
    </row>
    <row r="15" spans="2:21" ht="15.75" customHeight="1" x14ac:dyDescent="0.25">
      <c r="B15" s="32" t="str">
        <f>'Data Entry'!A15</f>
        <v xml:space="preserve">10. Cases Transferred to Adult Court </v>
      </c>
      <c r="C15" s="33">
        <f>'Data Entry'!C15</f>
        <v>5</v>
      </c>
      <c r="D15" s="34">
        <f>IF(((AND(C69&gt;0,C15&gt;0))),((C15/(C69))),0)</f>
        <v>1.1441647597254003</v>
      </c>
      <c r="E15" s="33">
        <f>'Data Entry'!D15</f>
        <v>0</v>
      </c>
      <c r="F15" s="34">
        <f>IF(((AND($D$69&gt;0,$E$15&gt;0))),(($E$15/($D$69))),0)</f>
        <v>0</v>
      </c>
      <c r="G15" s="39" t="str">
        <f t="shared" si="7"/>
        <v>**</v>
      </c>
      <c r="H15" s="40"/>
      <c r="I15" s="41"/>
      <c r="J15" s="40">
        <f>IF((ABS($U15)&gt;Defaults!D$7),1,2)</f>
        <v>1</v>
      </c>
      <c r="K15" s="39">
        <f>IF((AND(N15&gt;Defaults!B$12,(N15+O15)&gt;Defaults!B$13, P15 &gt; Defaults!B$12, (P15+Q15) &gt; Defaults!B$13)),1,20)</f>
        <v>20</v>
      </c>
      <c r="L15" s="1">
        <f t="shared" si="8"/>
        <v>20</v>
      </c>
      <c r="M15" s="1" t="b">
        <f t="shared" si="0"/>
        <v>1</v>
      </c>
      <c r="N15" s="42">
        <f t="shared" si="1"/>
        <v>0</v>
      </c>
      <c r="O15" s="42">
        <f>(D69*L69)-E15</f>
        <v>339</v>
      </c>
      <c r="P15" s="42">
        <f t="shared" si="2"/>
        <v>5</v>
      </c>
      <c r="Q15" s="42">
        <f>(C69*L69)-C15</f>
        <v>432</v>
      </c>
      <c r="R15" s="42">
        <f t="shared" si="3"/>
        <v>776</v>
      </c>
      <c r="S15" s="30">
        <f t="shared" si="4"/>
        <v>2229467400</v>
      </c>
      <c r="T15" s="30">
        <f t="shared" si="5"/>
        <v>571091265</v>
      </c>
      <c r="U15" s="31">
        <f t="shared" si="6"/>
        <v>3.9038723521712417</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52.667000000000002</v>
      </c>
      <c r="D42" s="56">
        <f>E6/1000</f>
        <v>12.731999999999999</v>
      </c>
      <c r="E42" s="56">
        <f>MAX(C42:D42)</f>
        <v>52.667000000000002</v>
      </c>
      <c r="G42" s="1" t="str">
        <f>B42</f>
        <v>per 1000 youth</v>
      </c>
      <c r="L42" s="57">
        <v>1000</v>
      </c>
      <c r="M42" s="57"/>
      <c r="R42" s="49"/>
    </row>
    <row r="43" spans="2:18" ht="15" hidden="1" customHeight="1" x14ac:dyDescent="0.25">
      <c r="B43" s="49" t="s">
        <v>87</v>
      </c>
      <c r="C43" s="56">
        <f>C7/100</f>
        <v>1.3</v>
      </c>
      <c r="D43" s="56">
        <f>E7/100</f>
        <v>1.39</v>
      </c>
      <c r="E43" s="56">
        <f>MAX(C43:D43,0)</f>
        <v>1.39</v>
      </c>
      <c r="G43" s="1" t="str">
        <f>B43</f>
        <v>per 100 arrests</v>
      </c>
      <c r="L43" s="57">
        <v>100</v>
      </c>
      <c r="M43" s="57"/>
      <c r="R43" s="49"/>
    </row>
    <row r="44" spans="2:18" ht="15" hidden="1" customHeight="1" x14ac:dyDescent="0.25">
      <c r="B44" s="49" t="s">
        <v>88</v>
      </c>
      <c r="C44" s="56">
        <f>C8/100</f>
        <v>4.37</v>
      </c>
      <c r="D44" s="56">
        <f>E8/100</f>
        <v>3.39</v>
      </c>
      <c r="E44" s="56">
        <f>MAX(C44:D44,0)</f>
        <v>4.37</v>
      </c>
      <c r="G44" s="1" t="str">
        <f>B44</f>
        <v>per 100 referrals</v>
      </c>
      <c r="L44" s="57">
        <v>100</v>
      </c>
      <c r="M44" s="57"/>
      <c r="R44" s="49"/>
    </row>
    <row r="45" spans="2:18" ht="15" hidden="1" customHeight="1" x14ac:dyDescent="0.25">
      <c r="B45" s="49" t="s">
        <v>89</v>
      </c>
      <c r="C45" s="49">
        <f>C11/100</f>
        <v>4.37</v>
      </c>
      <c r="D45" s="49">
        <f>E11/100</f>
        <v>3.39</v>
      </c>
      <c r="E45" s="56">
        <f>MAX(C45:D45,0)</f>
        <v>4.37</v>
      </c>
      <c r="G45" s="1" t="str">
        <f>B45</f>
        <v>per 100 youth petitioned</v>
      </c>
      <c r="L45" s="57">
        <v>100</v>
      </c>
      <c r="M45" s="57"/>
      <c r="R45" s="49"/>
    </row>
    <row r="46" spans="2:18" ht="15" hidden="1" customHeight="1" x14ac:dyDescent="0.25">
      <c r="B46" s="49" t="s">
        <v>90</v>
      </c>
      <c r="C46" s="49">
        <f>C12/100</f>
        <v>1.37</v>
      </c>
      <c r="D46" s="49">
        <f>E12/100</f>
        <v>0.96</v>
      </c>
      <c r="E46" s="56">
        <f>MAX(C46:D46)</f>
        <v>1.37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52.667000000000002</v>
      </c>
      <c r="D48" s="56">
        <f>D42</f>
        <v>12.731999999999999</v>
      </c>
      <c r="E48" s="56">
        <f>MAX(C48:D48)</f>
        <v>52.667000000000002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1.3</v>
      </c>
      <c r="D49" s="49">
        <f t="shared" si="9"/>
        <v>1.39</v>
      </c>
      <c r="E49" s="49">
        <f>MAX(C49:D49)</f>
        <v>1.39</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4.37</v>
      </c>
      <c r="D50" s="49">
        <f t="shared" si="9"/>
        <v>3.39</v>
      </c>
      <c r="E50" s="49">
        <f>MAX(C50:D50)</f>
        <v>4.37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4.37</v>
      </c>
      <c r="D51" s="49">
        <f>IF(($E45&gt;0),D45,D44)</f>
        <v>3.39</v>
      </c>
      <c r="E51" s="49">
        <f>MAX(C51:D51)</f>
        <v>4.37</v>
      </c>
      <c r="G51" s="1" t="str">
        <f>G45</f>
        <v>per 100 youth petitioned</v>
      </c>
      <c r="L51" s="58">
        <f>IF(($E45&gt;0),L45,L44)</f>
        <v>100</v>
      </c>
      <c r="M51" s="58"/>
    </row>
    <row r="52" spans="2:18" ht="15" hidden="1" customHeight="1" x14ac:dyDescent="0.25">
      <c r="B52" s="49" t="str">
        <f>IF(($E46&gt;0),B46,B45)</f>
        <v>per 100 youth found delinquent</v>
      </c>
      <c r="C52" s="49">
        <f>IF(($E46&gt;0),C46,C45)</f>
        <v>1.37</v>
      </c>
      <c r="D52" s="49">
        <f>IF(($E46&gt;0),D46,D45)</f>
        <v>0.96</v>
      </c>
      <c r="E52" s="56">
        <f>MAX(C52:D52)</f>
        <v>1.37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52.667000000000002</v>
      </c>
      <c r="D54" s="56">
        <f>D48</f>
        <v>12.731999999999999</v>
      </c>
      <c r="E54" s="56">
        <f>MAX(C54:D54)</f>
        <v>52.667000000000002</v>
      </c>
      <c r="G54" s="1" t="str">
        <f>G48</f>
        <v>per 1000 youth</v>
      </c>
      <c r="L54" s="58">
        <f>L48</f>
        <v>1000</v>
      </c>
      <c r="M54" s="58"/>
    </row>
    <row r="55" spans="2:18" ht="15" hidden="1" customHeight="1" x14ac:dyDescent="0.25">
      <c r="B55" s="49" t="str">
        <f t="shared" ref="B55:D56" si="10">IF(($E49&gt;0),B49,B48)</f>
        <v>per 100 arrests</v>
      </c>
      <c r="C55" s="49">
        <f t="shared" si="10"/>
        <v>1.3</v>
      </c>
      <c r="D55" s="49">
        <f t="shared" si="10"/>
        <v>1.39</v>
      </c>
      <c r="E55" s="49">
        <f>MAX(C55:D55)</f>
        <v>1.39</v>
      </c>
      <c r="G55" s="1" t="str">
        <f>G49</f>
        <v>per 100 arrests</v>
      </c>
      <c r="L55" s="58">
        <f>IF(($E49&gt;0),L49,L48)</f>
        <v>100</v>
      </c>
      <c r="M55" s="58"/>
    </row>
    <row r="56" spans="2:18" ht="15" hidden="1" customHeight="1" x14ac:dyDescent="0.25">
      <c r="B56" s="49" t="str">
        <f t="shared" si="10"/>
        <v>per 100 referrals</v>
      </c>
      <c r="C56" s="49">
        <f t="shared" si="10"/>
        <v>4.37</v>
      </c>
      <c r="D56" s="49">
        <f t="shared" si="10"/>
        <v>3.39</v>
      </c>
      <c r="E56" s="49">
        <f>MAX(C56:D56)</f>
        <v>4.37</v>
      </c>
      <c r="G56" s="1" t="str">
        <f>G50</f>
        <v>per 100 referrals</v>
      </c>
      <c r="L56" s="58">
        <f>IF(($E50&gt;0),L50,L49)</f>
        <v>100</v>
      </c>
      <c r="M56" s="58"/>
    </row>
    <row r="57" spans="2:18" ht="15" hidden="1" customHeight="1" x14ac:dyDescent="0.25">
      <c r="B57" s="49" t="str">
        <f>IF(($E51&gt;0),B51,B49)</f>
        <v>per 100 youth petitioned</v>
      </c>
      <c r="C57" s="49">
        <f>IF(($E51&gt;0),C51,C50)</f>
        <v>4.37</v>
      </c>
      <c r="D57" s="49">
        <f>IF(($E51&gt;0),D51,D50)</f>
        <v>3.39</v>
      </c>
      <c r="E57" s="49">
        <f>MAX(C57:D57)</f>
        <v>4.37</v>
      </c>
      <c r="G57" s="1" t="str">
        <f>G51</f>
        <v>per 100 youth petitioned</v>
      </c>
      <c r="L57" s="58">
        <f>IF(($E51&gt;0),L51,L50)</f>
        <v>100</v>
      </c>
      <c r="M57" s="58"/>
    </row>
    <row r="58" spans="2:18" ht="15" hidden="1" customHeight="1" x14ac:dyDescent="0.25">
      <c r="B58" s="49" t="str">
        <f>IF(($E52&gt;0),B52,B51)</f>
        <v>per 100 youth found delinquent</v>
      </c>
      <c r="C58" s="49">
        <f>IF(($E52&gt;0),C52,C51)</f>
        <v>1.37</v>
      </c>
      <c r="D58" s="49">
        <f>IF(($E52&gt;0),D52,D51)</f>
        <v>0.96</v>
      </c>
      <c r="E58" s="56">
        <f>MAX(C58:D58)</f>
        <v>1.37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52.667000000000002</v>
      </c>
      <c r="D60" s="56">
        <f>D54</f>
        <v>12.731999999999999</v>
      </c>
      <c r="E60" s="56">
        <f>MAX(C60:D60)</f>
        <v>52.667000000000002</v>
      </c>
      <c r="G60" s="1" t="str">
        <f>G54</f>
        <v>per 1000 youth</v>
      </c>
      <c r="L60" s="58">
        <f>L54</f>
        <v>1000</v>
      </c>
      <c r="M60" s="58"/>
    </row>
    <row r="61" spans="2:18" ht="15" hidden="1" customHeight="1" x14ac:dyDescent="0.25">
      <c r="B61" s="49" t="str">
        <f t="shared" ref="B61:D62" si="11">IF(($E55&gt;0),B55,B54)</f>
        <v>per 100 arrests</v>
      </c>
      <c r="C61" s="49">
        <f t="shared" si="11"/>
        <v>1.3</v>
      </c>
      <c r="D61" s="49">
        <f t="shared" si="11"/>
        <v>1.39</v>
      </c>
      <c r="E61" s="49">
        <f>MAX(C61:D61)</f>
        <v>1.39</v>
      </c>
      <c r="G61" s="1" t="str">
        <f>G55</f>
        <v>per 100 arrests</v>
      </c>
      <c r="L61" s="58">
        <f>IF(($E55&gt;0),L55,L54)</f>
        <v>100</v>
      </c>
      <c r="M61" s="58"/>
    </row>
    <row r="62" spans="2:18" ht="15" hidden="1" customHeight="1" x14ac:dyDescent="0.25">
      <c r="B62" s="49" t="str">
        <f t="shared" si="11"/>
        <v>per 100 referrals</v>
      </c>
      <c r="C62" s="49">
        <f t="shared" si="11"/>
        <v>4.37</v>
      </c>
      <c r="D62" s="49">
        <f t="shared" si="11"/>
        <v>3.39</v>
      </c>
      <c r="E62" s="49">
        <f>MAX(C62:D62)</f>
        <v>4.37</v>
      </c>
      <c r="G62" s="1" t="str">
        <f>G56</f>
        <v>per 100 referrals</v>
      </c>
      <c r="L62" s="58">
        <f>IF(($E56&gt;0),L56,L55)</f>
        <v>100</v>
      </c>
      <c r="M62" s="58"/>
    </row>
    <row r="63" spans="2:18" ht="15" hidden="1" customHeight="1" x14ac:dyDescent="0.25">
      <c r="B63" s="49" t="str">
        <f>IF(($E57&gt;0),B57,B55)</f>
        <v>per 100 youth petitioned</v>
      </c>
      <c r="C63" s="49">
        <f>IF(($E57&gt;0),C57,C56)</f>
        <v>4.37</v>
      </c>
      <c r="D63" s="49">
        <f>IF(($E57&gt;0),D57,D56)</f>
        <v>3.39</v>
      </c>
      <c r="E63" s="49">
        <f>MAX(C63:D63)</f>
        <v>4.37</v>
      </c>
      <c r="G63" s="1" t="str">
        <f>G57</f>
        <v>per 100 youth petitioned</v>
      </c>
      <c r="L63" s="58">
        <f>IF(($E57&gt;0),L57,L56)</f>
        <v>100</v>
      </c>
      <c r="M63" s="58"/>
    </row>
    <row r="64" spans="2:18" ht="15" hidden="1" customHeight="1" x14ac:dyDescent="0.25">
      <c r="B64" s="49" t="str">
        <f>IF(($E58&gt;0),B58,B57)</f>
        <v>per 100 youth found delinquent</v>
      </c>
      <c r="C64" s="49">
        <f>IF(($E58&gt;0),C58,C57)</f>
        <v>1.37</v>
      </c>
      <c r="D64" s="49">
        <f>IF(($E58&gt;0),D58,D57)</f>
        <v>0.96</v>
      </c>
      <c r="E64" s="56">
        <f>MAX(C64:D64)</f>
        <v>1.37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52.667000000000002</v>
      </c>
      <c r="D66" s="56">
        <f>D60</f>
        <v>12.731999999999999</v>
      </c>
      <c r="E66" s="56">
        <f>MAX(C66:D66)</f>
        <v>52.667000000000002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1.3</v>
      </c>
      <c r="D67" s="49">
        <f t="shared" si="12"/>
        <v>1.39</v>
      </c>
      <c r="E67" s="49">
        <f>MAX(C67:D67)</f>
        <v>1.39</v>
      </c>
      <c r="G67" s="1" t="str">
        <f>G61</f>
        <v>per 100 arrests</v>
      </c>
      <c r="L67" s="58">
        <f>IF(($E61&gt;0),L61,L60)</f>
        <v>100</v>
      </c>
      <c r="M67" s="58">
        <f>IF((B67=G67),1,2)</f>
        <v>1</v>
      </c>
    </row>
    <row r="68" spans="2:13" ht="15" hidden="1" customHeight="1" x14ac:dyDescent="0.25">
      <c r="B68" s="49" t="str">
        <f t="shared" si="12"/>
        <v>per 100 referrals</v>
      </c>
      <c r="C68" s="49">
        <f t="shared" si="12"/>
        <v>4.37</v>
      </c>
      <c r="D68" s="49">
        <f t="shared" si="12"/>
        <v>3.39</v>
      </c>
      <c r="E68" s="49">
        <f>MAX(C68:D68)</f>
        <v>4.37</v>
      </c>
      <c r="G68" s="1" t="str">
        <f>G62</f>
        <v>per 100 referrals</v>
      </c>
      <c r="L68" s="58">
        <f>IF(($E62&gt;0),L62,L61)</f>
        <v>100</v>
      </c>
      <c r="M68" s="58">
        <f>IF((B68=G68),1,2)</f>
        <v>1</v>
      </c>
    </row>
    <row r="69" spans="2:13" ht="15" hidden="1" customHeight="1" x14ac:dyDescent="0.25">
      <c r="B69" s="49" t="str">
        <f>IF(($E63&gt;0),B63,B61)</f>
        <v>per 100 youth petitioned</v>
      </c>
      <c r="C69" s="49">
        <f>IF(($E63&gt;0),C63,C62)</f>
        <v>4.37</v>
      </c>
      <c r="D69" s="49">
        <f>IF(($E63&gt;0),D63,D62)</f>
        <v>3.39</v>
      </c>
      <c r="E69" s="49">
        <f>MAX(C69:D69)</f>
        <v>4.37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1.37</v>
      </c>
      <c r="D70" s="49">
        <f>IF(($E64&gt;0),D64,D63)</f>
        <v>0.96</v>
      </c>
      <c r="E70" s="56">
        <f>MAX(C70:D70)</f>
        <v>1.37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Macomb</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52667</v>
      </c>
      <c r="D6" s="34"/>
      <c r="E6" s="33">
        <f>'Data Entry'!F6</f>
        <v>4229</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130</v>
      </c>
      <c r="D7" s="34">
        <f>IF((AND(C66&gt;0,C7&gt;0)),(C7/C66),0)</f>
        <v>2.4683388079822279</v>
      </c>
      <c r="E7" s="33">
        <f>'Data Entry'!F7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4229</v>
      </c>
      <c r="P7" s="42">
        <f t="shared" ref="P7:P15" si="4">C7</f>
        <v>130</v>
      </c>
      <c r="Q7" s="42">
        <f>C6-C7</f>
        <v>52537</v>
      </c>
      <c r="R7" s="42">
        <f t="shared" ref="R7:R15" si="5">SUM(N7:Q7)</f>
        <v>56896</v>
      </c>
      <c r="S7" s="30">
        <f t="shared" ref="S7:S15" si="6">R7*((((N7*Q7)-(O7*P7))^2))</f>
        <v>1.71966483217984E+16</v>
      </c>
      <c r="T7" s="30">
        <f t="shared" ref="T7:T15" si="7">(N7+O7)*(P7+Q7)*(N7+P7)*(O7+Q7)</f>
        <v>1643644577267940</v>
      </c>
      <c r="U7" s="31">
        <f t="shared" ref="U7:U15" si="8">IF((S7&gt;0),S7/T7,"- -")</f>
        <v>10.462510301577854</v>
      </c>
    </row>
    <row r="8" spans="2:21" ht="18" customHeight="1" x14ac:dyDescent="0.25">
      <c r="B8" s="32" t="str">
        <f>'Data Entry'!A8</f>
        <v>3. Refer to Juvenile Court</v>
      </c>
      <c r="C8" s="33">
        <f>'Data Entry'!C8</f>
        <v>437</v>
      </c>
      <c r="D8" s="34">
        <f>IF((AND(C67&gt;0,C8&gt;0)),(C8/C67),0)</f>
        <v>336.15384615384613</v>
      </c>
      <c r="E8" s="33">
        <f>'Data Entry'!F8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437</v>
      </c>
      <c r="Q8" s="42">
        <f>(C$67*L67)-C8</f>
        <v>-307</v>
      </c>
      <c r="R8" s="42">
        <f t="shared" si="5"/>
        <v>130.05000000000001</v>
      </c>
      <c r="S8" s="30">
        <f t="shared" si="6"/>
        <v>1521119.7461249996</v>
      </c>
      <c r="T8" s="30">
        <f t="shared" si="7"/>
        <v>-876733.65000000072</v>
      </c>
      <c r="U8" s="31">
        <f t="shared" si="8"/>
        <v>-1.7349850164015015</v>
      </c>
    </row>
    <row r="9" spans="2:21" ht="18" customHeight="1" x14ac:dyDescent="0.25">
      <c r="B9" s="32" t="str">
        <f>'Data Entry'!A9</f>
        <v xml:space="preserve">4. Cases Diverted </v>
      </c>
      <c r="C9" s="33">
        <f>'Data Entry'!C9</f>
        <v>181</v>
      </c>
      <c r="D9" s="34">
        <f>IF((AND(C68&gt;0,C9&gt;0)),((C9/C68)),0)</f>
        <v>41.418764302059493</v>
      </c>
      <c r="E9" s="33">
        <f>'Data Entry'!F9</f>
        <v>1</v>
      </c>
      <c r="F9" s="34">
        <f>IF((AND($E$9&gt;0,$D$68&gt;0)),(($E$9/$D$68)),0)</f>
        <v>100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0</v>
      </c>
      <c r="P9" s="42">
        <f t="shared" si="4"/>
        <v>181</v>
      </c>
      <c r="Q9" s="42">
        <f>(C$68*L68)-C9</f>
        <v>256</v>
      </c>
      <c r="R9" s="42">
        <f t="shared" si="5"/>
        <v>438</v>
      </c>
      <c r="S9" s="30">
        <f t="shared" si="6"/>
        <v>28704768</v>
      </c>
      <c r="T9" s="30">
        <f t="shared" si="7"/>
        <v>20360704</v>
      </c>
      <c r="U9" s="31">
        <f t="shared" si="8"/>
        <v>1.4098121558075791</v>
      </c>
    </row>
    <row r="10" spans="2:21" ht="18" customHeight="1" x14ac:dyDescent="0.25">
      <c r="B10" s="32" t="str">
        <f>'Data Entry'!A10</f>
        <v>5. Cases Involving Secure Detention</v>
      </c>
      <c r="C10" s="33">
        <f>'Data Entry'!C10</f>
        <v>51</v>
      </c>
      <c r="D10" s="34">
        <f>IF(((AND(C68&gt;0,C10&gt;0))),(C10/(C68)),0)</f>
        <v>11.670480549199084</v>
      </c>
      <c r="E10" s="33">
        <f>'Data Entry'!F10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51</v>
      </c>
      <c r="Q10" s="42">
        <f>(C$68*L68)-C10</f>
        <v>386</v>
      </c>
      <c r="R10" s="42">
        <f t="shared" si="5"/>
        <v>438</v>
      </c>
      <c r="S10" s="30">
        <f t="shared" si="6"/>
        <v>1139238</v>
      </c>
      <c r="T10" s="30">
        <f t="shared" si="7"/>
        <v>8625069</v>
      </c>
      <c r="U10" s="31">
        <f t="shared" si="8"/>
        <v>0.13208450854132298</v>
      </c>
    </row>
    <row r="11" spans="2:21" ht="18" customHeight="1" x14ac:dyDescent="0.25">
      <c r="B11" s="32" t="str">
        <f>'Data Entry'!A11</f>
        <v>6. Cases Petitioned (Charge Filed)</v>
      </c>
      <c r="C11" s="33">
        <f>'Data Entry'!C11</f>
        <v>437</v>
      </c>
      <c r="D11" s="34">
        <f>IF(((AND(C68&gt;0,C11&gt;0))),(C11/(C68)),0)</f>
        <v>100</v>
      </c>
      <c r="E11" s="33">
        <f>'Data Entry'!F11</f>
        <v>1</v>
      </c>
      <c r="F11" s="34">
        <f>IF(((AND($E$11&gt;0,$D$68&gt;0))),($E$11/($D$68)),0)</f>
        <v>100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1</v>
      </c>
      <c r="O11" s="42">
        <f>(D$68*L68)-E11</f>
        <v>0</v>
      </c>
      <c r="P11" s="42">
        <f t="shared" si="4"/>
        <v>437</v>
      </c>
      <c r="Q11" s="42">
        <f>(C$68*L68)-C11</f>
        <v>0</v>
      </c>
      <c r="R11" s="42">
        <f t="shared" si="5"/>
        <v>438</v>
      </c>
      <c r="S11" s="30">
        <f t="shared" si="6"/>
        <v>0</v>
      </c>
      <c r="T11" s="30">
        <f t="shared" si="7"/>
        <v>0</v>
      </c>
      <c r="U11" s="31" t="str">
        <f t="shared" si="8"/>
        <v>- -</v>
      </c>
    </row>
    <row r="12" spans="2:21" ht="18" customHeight="1" x14ac:dyDescent="0.25">
      <c r="B12" s="32" t="str">
        <f>'Data Entry'!A12</f>
        <v>7. Cases Resulting in Delinquent Findings</v>
      </c>
      <c r="C12" s="33">
        <f>'Data Entry'!C12</f>
        <v>137</v>
      </c>
      <c r="D12" s="34">
        <f>IF(((AND(C69&gt;0,C12&gt;0))),(C12/(C69)),0)</f>
        <v>31.350114416475972</v>
      </c>
      <c r="E12" s="33">
        <f>'Data Entry'!F12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137</v>
      </c>
      <c r="Q12" s="42">
        <f>(C69*L69)-C12</f>
        <v>300</v>
      </c>
      <c r="R12" s="42">
        <f t="shared" si="5"/>
        <v>438</v>
      </c>
      <c r="S12" s="30">
        <f t="shared" si="6"/>
        <v>8220822</v>
      </c>
      <c r="T12" s="30">
        <f t="shared" si="7"/>
        <v>18020569</v>
      </c>
      <c r="U12" s="31">
        <f t="shared" si="8"/>
        <v>0.45619103370154407</v>
      </c>
    </row>
    <row r="13" spans="2:21" ht="18" customHeight="1" x14ac:dyDescent="0.25">
      <c r="B13" s="32" t="str">
        <f>'Data Entry'!A13</f>
        <v>8. Cases Resulting in Probation Placement</v>
      </c>
      <c r="C13" s="33">
        <f>'Data Entry'!C13</f>
        <v>136</v>
      </c>
      <c r="D13" s="34">
        <f>IF(((AND(C70&gt;0,C13&gt;0))),(C13/(C70)),0)</f>
        <v>99.270072992700719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136</v>
      </c>
      <c r="Q13" s="42">
        <f>(C70*L70)-C13</f>
        <v>1</v>
      </c>
      <c r="R13" s="42">
        <f t="shared" si="5"/>
        <v>137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9.4890510948905096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124</v>
      </c>
      <c r="R14" s="42">
        <f t="shared" si="5"/>
        <v>137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5</v>
      </c>
      <c r="D15" s="34">
        <f>IF(((AND(C69&gt;0,C15&gt;0))),((C15/(C69))),0)</f>
        <v>1.1441647597254003</v>
      </c>
      <c r="E15" s="33">
        <f>'Data Entry'!F15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1</v>
      </c>
      <c r="P15" s="42">
        <f t="shared" si="4"/>
        <v>5</v>
      </c>
      <c r="Q15" s="42">
        <f>(C69*L69)-C15</f>
        <v>432</v>
      </c>
      <c r="R15" s="42">
        <f t="shared" si="5"/>
        <v>438</v>
      </c>
      <c r="S15" s="30">
        <f t="shared" si="6"/>
        <v>10950</v>
      </c>
      <c r="T15" s="30">
        <f t="shared" si="7"/>
        <v>946105</v>
      </c>
      <c r="U15" s="31">
        <f t="shared" si="8"/>
        <v>1.1573768239254628E-2</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52.667000000000002</v>
      </c>
      <c r="D42" s="56">
        <f>E6/1000</f>
        <v>4.2290000000000001</v>
      </c>
      <c r="E42" s="56">
        <f>MAX(C42:D42)</f>
        <v>52.667000000000002</v>
      </c>
      <c r="G42" s="1" t="str">
        <f>B42</f>
        <v>per 1000 youth</v>
      </c>
      <c r="L42" s="57">
        <v>1000</v>
      </c>
      <c r="M42" s="57"/>
      <c r="R42" s="49"/>
    </row>
    <row r="43" spans="2:18" ht="15" hidden="1" customHeight="1" x14ac:dyDescent="0.25">
      <c r="B43" s="49" t="s">
        <v>87</v>
      </c>
      <c r="C43" s="56">
        <f>C7/100</f>
        <v>1.3</v>
      </c>
      <c r="D43" s="56">
        <f>E7/100</f>
        <v>0</v>
      </c>
      <c r="E43" s="56">
        <f>MAX(C43:D43,0)</f>
        <v>1.3</v>
      </c>
      <c r="G43" s="1" t="str">
        <f>B43</f>
        <v>per 100 arrests</v>
      </c>
      <c r="L43" s="57">
        <v>100</v>
      </c>
      <c r="M43" s="57"/>
      <c r="R43" s="49"/>
    </row>
    <row r="44" spans="2:18" ht="15" hidden="1" customHeight="1" x14ac:dyDescent="0.25">
      <c r="B44" s="49" t="s">
        <v>88</v>
      </c>
      <c r="C44" s="56">
        <f>C8/100</f>
        <v>4.37</v>
      </c>
      <c r="D44" s="56">
        <f>E8/100</f>
        <v>0.01</v>
      </c>
      <c r="E44" s="56">
        <f>MAX(C44:D44,0)</f>
        <v>4.37</v>
      </c>
      <c r="G44" s="1" t="str">
        <f>B44</f>
        <v>per 100 referrals</v>
      </c>
      <c r="L44" s="57">
        <v>100</v>
      </c>
      <c r="M44" s="57"/>
      <c r="R44" s="49"/>
    </row>
    <row r="45" spans="2:18" ht="15" hidden="1" customHeight="1" x14ac:dyDescent="0.25">
      <c r="B45" s="49" t="s">
        <v>89</v>
      </c>
      <c r="C45" s="49">
        <f>C11/100</f>
        <v>4.37</v>
      </c>
      <c r="D45" s="49">
        <f>E11/100</f>
        <v>0.01</v>
      </c>
      <c r="E45" s="56">
        <f>MAX(C45:D45,0)</f>
        <v>4.37</v>
      </c>
      <c r="G45" s="1" t="str">
        <f>B45</f>
        <v>per 100 youth petitioned</v>
      </c>
      <c r="L45" s="57">
        <v>100</v>
      </c>
      <c r="M45" s="57"/>
      <c r="R45" s="49"/>
    </row>
    <row r="46" spans="2:18" ht="15" hidden="1" customHeight="1" x14ac:dyDescent="0.25">
      <c r="B46" s="49" t="s">
        <v>90</v>
      </c>
      <c r="C46" s="49">
        <f>C12/100</f>
        <v>1.37</v>
      </c>
      <c r="D46" s="49">
        <f>E12/100</f>
        <v>0</v>
      </c>
      <c r="E46" s="56">
        <f>MAX(C46:D46)</f>
        <v>1.37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52.667000000000002</v>
      </c>
      <c r="D48" s="56">
        <f>D42</f>
        <v>4.2290000000000001</v>
      </c>
      <c r="E48" s="56">
        <f>MAX(C48:D48)</f>
        <v>52.667000000000002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1.3</v>
      </c>
      <c r="D49" s="49">
        <f t="shared" si="9"/>
        <v>0</v>
      </c>
      <c r="E49" s="49">
        <f>MAX(C49:D49)</f>
        <v>1.3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4.37</v>
      </c>
      <c r="D50" s="49">
        <f t="shared" si="9"/>
        <v>0.01</v>
      </c>
      <c r="E50" s="49">
        <f>MAX(C50:D50)</f>
        <v>4.37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4.37</v>
      </c>
      <c r="D51" s="49">
        <f>IF(($E45&gt;0),D45,D44)</f>
        <v>0.01</v>
      </c>
      <c r="E51" s="49">
        <f>MAX(C51:D51)</f>
        <v>4.37</v>
      </c>
      <c r="G51" s="1" t="str">
        <f>G45</f>
        <v>per 100 youth petitioned</v>
      </c>
      <c r="L51" s="58">
        <f>IF(($E45&gt;0),L45,L44)</f>
        <v>100</v>
      </c>
      <c r="M51" s="58"/>
    </row>
    <row r="52" spans="2:18" ht="15" hidden="1" customHeight="1" x14ac:dyDescent="0.25">
      <c r="B52" s="49" t="str">
        <f>IF(($E46&gt;0),B46,B45)</f>
        <v>per 100 youth found delinquent</v>
      </c>
      <c r="C52" s="49">
        <f>IF(($E46&gt;0),C46,C45)</f>
        <v>1.37</v>
      </c>
      <c r="D52" s="49">
        <f>IF(($E46&gt;0),D46,D45)</f>
        <v>0</v>
      </c>
      <c r="E52" s="56">
        <f>MAX(C52:D52)</f>
        <v>1.37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52.667000000000002</v>
      </c>
      <c r="D54" s="56">
        <f>D48</f>
        <v>4.2290000000000001</v>
      </c>
      <c r="E54" s="56">
        <f>MAX(C54:D54)</f>
        <v>52.667000000000002</v>
      </c>
      <c r="G54" s="1" t="str">
        <f>G48</f>
        <v>per 1000 youth</v>
      </c>
      <c r="L54" s="58">
        <f>L48</f>
        <v>1000</v>
      </c>
      <c r="M54" s="58"/>
    </row>
    <row r="55" spans="2:18" ht="15" hidden="1" customHeight="1" x14ac:dyDescent="0.25">
      <c r="B55" s="49" t="str">
        <f t="shared" ref="B55:D56" si="10">IF(($E49&gt;0),B49,B48)</f>
        <v>per 100 arrests</v>
      </c>
      <c r="C55" s="49">
        <f t="shared" si="10"/>
        <v>1.3</v>
      </c>
      <c r="D55" s="49">
        <f t="shared" si="10"/>
        <v>0</v>
      </c>
      <c r="E55" s="49">
        <f>MAX(C55:D55)</f>
        <v>1.3</v>
      </c>
      <c r="G55" s="1" t="str">
        <f>G49</f>
        <v>per 100 arrests</v>
      </c>
      <c r="L55" s="58">
        <f>IF(($E49&gt;0),L49,L48)</f>
        <v>100</v>
      </c>
      <c r="M55" s="58"/>
    </row>
    <row r="56" spans="2:18" ht="15" hidden="1" customHeight="1" x14ac:dyDescent="0.25">
      <c r="B56" s="49" t="str">
        <f t="shared" si="10"/>
        <v>per 100 referrals</v>
      </c>
      <c r="C56" s="49">
        <f t="shared" si="10"/>
        <v>4.37</v>
      </c>
      <c r="D56" s="49">
        <f t="shared" si="10"/>
        <v>0.01</v>
      </c>
      <c r="E56" s="49">
        <f>MAX(C56:D56)</f>
        <v>4.37</v>
      </c>
      <c r="G56" s="1" t="str">
        <f>G50</f>
        <v>per 100 referrals</v>
      </c>
      <c r="L56" s="58">
        <f>IF(($E50&gt;0),L50,L49)</f>
        <v>100</v>
      </c>
      <c r="M56" s="58"/>
    </row>
    <row r="57" spans="2:18" ht="15" hidden="1" customHeight="1" x14ac:dyDescent="0.25">
      <c r="B57" s="49" t="str">
        <f>IF(($E51&gt;0),B51,B49)</f>
        <v>per 100 youth petitioned</v>
      </c>
      <c r="C57" s="49">
        <f>IF(($E51&gt;0),C51,C50)</f>
        <v>4.37</v>
      </c>
      <c r="D57" s="49">
        <f>IF(($E51&gt;0),D51,D50)</f>
        <v>0.01</v>
      </c>
      <c r="E57" s="49">
        <f>MAX(C57:D57)</f>
        <v>4.37</v>
      </c>
      <c r="G57" s="1" t="str">
        <f>G51</f>
        <v>per 100 youth petitioned</v>
      </c>
      <c r="L57" s="58">
        <f>IF(($E51&gt;0),L51,L50)</f>
        <v>100</v>
      </c>
      <c r="M57" s="58"/>
    </row>
    <row r="58" spans="2:18" ht="15" hidden="1" customHeight="1" x14ac:dyDescent="0.25">
      <c r="B58" s="49" t="str">
        <f>IF(($E52&gt;0),B52,B51)</f>
        <v>per 100 youth found delinquent</v>
      </c>
      <c r="C58" s="49">
        <f>IF(($E52&gt;0),C52,C51)</f>
        <v>1.37</v>
      </c>
      <c r="D58" s="49">
        <f>IF(($E52&gt;0),D52,D51)</f>
        <v>0</v>
      </c>
      <c r="E58" s="56">
        <f>MAX(C58:D58)</f>
        <v>1.37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52.667000000000002</v>
      </c>
      <c r="D60" s="56">
        <f>D54</f>
        <v>4.2290000000000001</v>
      </c>
      <c r="E60" s="56">
        <f>MAX(C60:D60)</f>
        <v>52.667000000000002</v>
      </c>
      <c r="G60" s="1" t="str">
        <f>G54</f>
        <v>per 1000 youth</v>
      </c>
      <c r="L60" s="58">
        <f>L54</f>
        <v>1000</v>
      </c>
      <c r="M60" s="58"/>
    </row>
    <row r="61" spans="2:18" ht="15" hidden="1" customHeight="1" x14ac:dyDescent="0.25">
      <c r="B61" s="49" t="str">
        <f t="shared" ref="B61:D62" si="11">IF(($E55&gt;0),B55,B54)</f>
        <v>per 100 arrests</v>
      </c>
      <c r="C61" s="49">
        <f t="shared" si="11"/>
        <v>1.3</v>
      </c>
      <c r="D61" s="49">
        <f t="shared" si="11"/>
        <v>0</v>
      </c>
      <c r="E61" s="49">
        <f>MAX(C61:D61)</f>
        <v>1.3</v>
      </c>
      <c r="G61" s="1" t="str">
        <f>G55</f>
        <v>per 100 arrests</v>
      </c>
      <c r="L61" s="58">
        <f>IF(($E55&gt;0),L55,L54)</f>
        <v>100</v>
      </c>
      <c r="M61" s="58"/>
    </row>
    <row r="62" spans="2:18" ht="15" hidden="1" customHeight="1" x14ac:dyDescent="0.25">
      <c r="B62" s="49" t="str">
        <f t="shared" si="11"/>
        <v>per 100 referrals</v>
      </c>
      <c r="C62" s="49">
        <f t="shared" si="11"/>
        <v>4.37</v>
      </c>
      <c r="D62" s="49">
        <f t="shared" si="11"/>
        <v>0.01</v>
      </c>
      <c r="E62" s="49">
        <f>MAX(C62:D62)</f>
        <v>4.37</v>
      </c>
      <c r="G62" s="1" t="str">
        <f>G56</f>
        <v>per 100 referrals</v>
      </c>
      <c r="L62" s="58">
        <f>IF(($E56&gt;0),L56,L55)</f>
        <v>100</v>
      </c>
      <c r="M62" s="58"/>
    </row>
    <row r="63" spans="2:18" ht="15" hidden="1" customHeight="1" x14ac:dyDescent="0.25">
      <c r="B63" s="49" t="str">
        <f>IF(($E57&gt;0),B57,B55)</f>
        <v>per 100 youth petitioned</v>
      </c>
      <c r="C63" s="49">
        <f>IF(($E57&gt;0),C57,C56)</f>
        <v>4.37</v>
      </c>
      <c r="D63" s="49">
        <f>IF(($E57&gt;0),D57,D56)</f>
        <v>0.01</v>
      </c>
      <c r="E63" s="49">
        <f>MAX(C63:D63)</f>
        <v>4.37</v>
      </c>
      <c r="G63" s="1" t="str">
        <f>G57</f>
        <v>per 100 youth petitioned</v>
      </c>
      <c r="L63" s="58">
        <f>IF(($E57&gt;0),L57,L56)</f>
        <v>100</v>
      </c>
      <c r="M63" s="58"/>
    </row>
    <row r="64" spans="2:18" ht="15" hidden="1" customHeight="1" x14ac:dyDescent="0.25">
      <c r="B64" s="49" t="str">
        <f>IF(($E58&gt;0),B58,B57)</f>
        <v>per 100 youth found delinquent</v>
      </c>
      <c r="C64" s="49">
        <f>IF(($E58&gt;0),C58,C57)</f>
        <v>1.37</v>
      </c>
      <c r="D64" s="49">
        <f>IF(($E58&gt;0),D58,D57)</f>
        <v>0</v>
      </c>
      <c r="E64" s="56">
        <f>MAX(C64:D64)</f>
        <v>1.37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52.667000000000002</v>
      </c>
      <c r="D66" s="56">
        <f>D60</f>
        <v>4.2290000000000001</v>
      </c>
      <c r="E66" s="56">
        <f>MAX(C66:D66)</f>
        <v>52.667000000000002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1.3</v>
      </c>
      <c r="D67" s="49">
        <f t="shared" si="12"/>
        <v>0</v>
      </c>
      <c r="E67" s="49">
        <f>MAX(C67:D67)</f>
        <v>1.3</v>
      </c>
      <c r="G67" s="1" t="str">
        <f>G61</f>
        <v>per 100 arrests</v>
      </c>
      <c r="L67" s="58">
        <f>IF(($E61&gt;0),L61,L60)</f>
        <v>100</v>
      </c>
      <c r="M67" s="58">
        <f>IF((B67=G67),1,2)</f>
        <v>1</v>
      </c>
    </row>
    <row r="68" spans="2:13" ht="15" hidden="1" customHeight="1" x14ac:dyDescent="0.25">
      <c r="B68" s="49" t="str">
        <f t="shared" si="12"/>
        <v>per 100 referrals</v>
      </c>
      <c r="C68" s="49">
        <f t="shared" si="12"/>
        <v>4.37</v>
      </c>
      <c r="D68" s="49">
        <f t="shared" si="12"/>
        <v>0.01</v>
      </c>
      <c r="E68" s="49">
        <f>MAX(C68:D68)</f>
        <v>4.37</v>
      </c>
      <c r="G68" s="1" t="str">
        <f>G62</f>
        <v>per 100 referrals</v>
      </c>
      <c r="L68" s="58">
        <f>IF(($E62&gt;0),L62,L61)</f>
        <v>100</v>
      </c>
      <c r="M68" s="58">
        <f>IF((B68=G68),1,2)</f>
        <v>1</v>
      </c>
    </row>
    <row r="69" spans="2:13" ht="15" hidden="1" customHeight="1" x14ac:dyDescent="0.25">
      <c r="B69" s="49" t="str">
        <f>IF(($E63&gt;0),B63,B61)</f>
        <v>per 100 youth petitioned</v>
      </c>
      <c r="C69" s="49">
        <f>IF(($E63&gt;0),C63,C62)</f>
        <v>4.37</v>
      </c>
      <c r="D69" s="49">
        <f>IF(($E63&gt;0),D63,D62)</f>
        <v>0.01</v>
      </c>
      <c r="E69" s="49">
        <f>MAX(C69:D69)</f>
        <v>4.37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1.37</v>
      </c>
      <c r="D70" s="49">
        <f>IF(($E64&gt;0),D64,D63)</f>
        <v>0</v>
      </c>
      <c r="E70" s="56">
        <f>MAX(C70:D70)</f>
        <v>1.37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Macomb</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52667</v>
      </c>
      <c r="D6" s="34"/>
      <c r="E6" s="33">
        <f>'Data Entry'!E6</f>
        <v>3170</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130</v>
      </c>
      <c r="D7" s="34">
        <f>IF((AND(C66&gt;0,C7&gt;0)),(C7/C66),0)</f>
        <v>2.4683388079822279</v>
      </c>
      <c r="E7" s="33">
        <f>'Data Entry'!E7</f>
        <v>3</v>
      </c>
      <c r="F7" s="34">
        <f>IF((AND($E$7&gt;0,$D$66&gt;0)),($E$7/$D$66),0)</f>
        <v>0.94637223974763407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3167</v>
      </c>
      <c r="P7" s="42">
        <f t="shared" ref="P7:P15" si="4">C7</f>
        <v>130</v>
      </c>
      <c r="Q7" s="42">
        <f>C6-C7</f>
        <v>52537</v>
      </c>
      <c r="R7" s="42">
        <f t="shared" ref="R7:R15" si="5">SUM(N7:Q7)</f>
        <v>55837</v>
      </c>
      <c r="S7" s="30">
        <f t="shared" ref="S7:S15" si="6">R7*((((N7*Q7)-(O7*P7))^2))</f>
        <v>3605188593662437</v>
      </c>
      <c r="T7" s="30">
        <f t="shared" ref="T7:T15" si="7">(N7+O7)*(P7+Q7)*(N7+P7)*(O7+Q7)</f>
        <v>1236903636294480</v>
      </c>
      <c r="U7" s="31">
        <f t="shared" ref="U7:U15" si="8">IF((S7&gt;0),S7/T7,"- -")</f>
        <v>2.9146883296930657</v>
      </c>
    </row>
    <row r="8" spans="2:21" ht="18" customHeight="1" x14ac:dyDescent="0.25">
      <c r="B8" s="32" t="str">
        <f>'Data Entry'!A8</f>
        <v>3. Refer to Juvenile Court</v>
      </c>
      <c r="C8" s="33">
        <f>'Data Entry'!C8</f>
        <v>437</v>
      </c>
      <c r="D8" s="34">
        <f>IF((AND(C67&gt;0,C8&gt;0)),(C8/C67),0)</f>
        <v>336.15384615384613</v>
      </c>
      <c r="E8" s="33">
        <f>'Data Entry'!E8</f>
        <v>10</v>
      </c>
      <c r="F8" s="34">
        <f>IF((AND($E$8&gt;0,$D$67&gt;0)),($E8/$D67),0)</f>
        <v>333.33333333333337</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10</v>
      </c>
      <c r="O8" s="42">
        <f>((D67*L67)-E8)+0.05</f>
        <v>-6.95</v>
      </c>
      <c r="P8" s="42">
        <f t="shared" si="4"/>
        <v>437</v>
      </c>
      <c r="Q8" s="42">
        <f>(C$67*L67)-C8</f>
        <v>-307</v>
      </c>
      <c r="R8" s="42">
        <f t="shared" si="5"/>
        <v>133.05000000000001</v>
      </c>
      <c r="S8" s="30">
        <f t="shared" si="6"/>
        <v>143577.24862499922</v>
      </c>
      <c r="T8" s="30">
        <f t="shared" si="7"/>
        <v>-55643085.225000001</v>
      </c>
      <c r="U8" s="31">
        <f t="shared" si="8"/>
        <v>-2.5803250852181555E-3</v>
      </c>
    </row>
    <row r="9" spans="2:21" ht="18" customHeight="1" x14ac:dyDescent="0.25">
      <c r="B9" s="32" t="str">
        <f>'Data Entry'!A9</f>
        <v xml:space="preserve">4. Cases Diverted </v>
      </c>
      <c r="C9" s="33">
        <f>'Data Entry'!C9</f>
        <v>181</v>
      </c>
      <c r="D9" s="34">
        <f>IF((AND(C68&gt;0,C9&gt;0)),((C9/C68)),0)</f>
        <v>41.418764302059493</v>
      </c>
      <c r="E9" s="33">
        <f>'Data Entry'!E9</f>
        <v>1</v>
      </c>
      <c r="F9" s="34">
        <f>IF((AND($E$9&gt;0,$D$68&gt;0)),(($E$9/$D$68)),0)</f>
        <v>10</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1</v>
      </c>
      <c r="O9" s="42">
        <f>(D$68*L68)-E9</f>
        <v>9</v>
      </c>
      <c r="P9" s="42">
        <f t="shared" si="4"/>
        <v>181</v>
      </c>
      <c r="Q9" s="42">
        <f>(C$68*L68)-C9</f>
        <v>256</v>
      </c>
      <c r="R9" s="42">
        <f t="shared" si="5"/>
        <v>447</v>
      </c>
      <c r="S9" s="30">
        <f t="shared" si="6"/>
        <v>842652663</v>
      </c>
      <c r="T9" s="30">
        <f t="shared" si="7"/>
        <v>210765100</v>
      </c>
      <c r="U9" s="31">
        <f t="shared" si="8"/>
        <v>3.9980654434723775</v>
      </c>
    </row>
    <row r="10" spans="2:21" ht="18" customHeight="1" x14ac:dyDescent="0.25">
      <c r="B10" s="32" t="str">
        <f>'Data Entry'!A10</f>
        <v>5. Cases Involving Secure Detention</v>
      </c>
      <c r="C10" s="33">
        <f>'Data Entry'!C10</f>
        <v>51</v>
      </c>
      <c r="D10" s="34">
        <f>IF(((AND(C68&gt;0,C10&gt;0))),(C10/(C68)),0)</f>
        <v>11.670480549199084</v>
      </c>
      <c r="E10" s="33">
        <f>'Data Entry'!E10</f>
        <v>1</v>
      </c>
      <c r="F10" s="34">
        <f>IF(((AND($E$10&gt;0,$D$68&gt;0))),($E$10/($D$68)),0)</f>
        <v>10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9</v>
      </c>
      <c r="P10" s="42">
        <f t="shared" si="4"/>
        <v>51</v>
      </c>
      <c r="Q10" s="42">
        <f>(C$68*L68)-C10</f>
        <v>386</v>
      </c>
      <c r="R10" s="42">
        <f t="shared" si="5"/>
        <v>447</v>
      </c>
      <c r="S10" s="30">
        <f t="shared" si="6"/>
        <v>2382063</v>
      </c>
      <c r="T10" s="30">
        <f t="shared" si="7"/>
        <v>89759800</v>
      </c>
      <c r="U10" s="31">
        <f t="shared" si="8"/>
        <v>2.6538194158186628E-2</v>
      </c>
    </row>
    <row r="11" spans="2:21" ht="18" customHeight="1" x14ac:dyDescent="0.25">
      <c r="B11" s="32" t="str">
        <f>'Data Entry'!A11</f>
        <v>6. Cases Petitioned (Charge Filed)</v>
      </c>
      <c r="C11" s="33">
        <f>'Data Entry'!C11</f>
        <v>437</v>
      </c>
      <c r="D11" s="34">
        <f>IF(((AND(C68&gt;0,C11&gt;0))),(C11/(C68)),0)</f>
        <v>100</v>
      </c>
      <c r="E11" s="33">
        <f>'Data Entry'!E11</f>
        <v>10</v>
      </c>
      <c r="F11" s="34">
        <f>IF(((AND($E$11&gt;0,$D$68&gt;0))),($E$11/($D$68)),0)</f>
        <v>100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10</v>
      </c>
      <c r="O11" s="42">
        <f>(D$68*L68)-E11</f>
        <v>0</v>
      </c>
      <c r="P11" s="42">
        <f t="shared" si="4"/>
        <v>437</v>
      </c>
      <c r="Q11" s="42">
        <f>(C$68*L68)-C11</f>
        <v>0</v>
      </c>
      <c r="R11" s="42">
        <f t="shared" si="5"/>
        <v>447</v>
      </c>
      <c r="S11" s="30">
        <f t="shared" si="6"/>
        <v>0</v>
      </c>
      <c r="T11" s="30">
        <f t="shared" si="7"/>
        <v>0</v>
      </c>
      <c r="U11" s="31" t="str">
        <f t="shared" si="8"/>
        <v>- -</v>
      </c>
    </row>
    <row r="12" spans="2:21" ht="18" customHeight="1" x14ac:dyDescent="0.25">
      <c r="B12" s="32" t="str">
        <f>'Data Entry'!A12</f>
        <v>7. Cases Resulting in Delinquent Findings</v>
      </c>
      <c r="C12" s="33">
        <f>'Data Entry'!C12</f>
        <v>137</v>
      </c>
      <c r="D12" s="34">
        <f>IF(((AND(C69&gt;0,C12&gt;0))),(C12/(C69)),0)</f>
        <v>31.350114416475972</v>
      </c>
      <c r="E12" s="33">
        <f>'Data Entry'!E12</f>
        <v>6</v>
      </c>
      <c r="F12" s="34">
        <f>IF(((AND($D$69&gt;0,$E$12&gt;0))),(E12/(D69)),0)</f>
        <v>60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6</v>
      </c>
      <c r="O12" s="42">
        <f>(D69*L69)-E12</f>
        <v>4</v>
      </c>
      <c r="P12" s="42">
        <f t="shared" si="4"/>
        <v>137</v>
      </c>
      <c r="Q12" s="42">
        <f>(C69*L69)-C12</f>
        <v>300</v>
      </c>
      <c r="R12" s="42">
        <f t="shared" si="5"/>
        <v>447</v>
      </c>
      <c r="S12" s="30">
        <f t="shared" si="6"/>
        <v>700674288</v>
      </c>
      <c r="T12" s="30">
        <f t="shared" si="7"/>
        <v>189972640</v>
      </c>
      <c r="U12" s="31">
        <f t="shared" si="8"/>
        <v>3.688290524361824</v>
      </c>
    </row>
    <row r="13" spans="2:21" ht="18" customHeight="1" x14ac:dyDescent="0.25">
      <c r="B13" s="32" t="str">
        <f>'Data Entry'!A13</f>
        <v>8. Cases Resulting in Probation Placement</v>
      </c>
      <c r="C13" s="33">
        <f>'Data Entry'!C13</f>
        <v>136</v>
      </c>
      <c r="D13" s="34">
        <f>IF(((AND(C70&gt;0,C13&gt;0))),(C13/(C70)),0)</f>
        <v>99.270072992700719</v>
      </c>
      <c r="E13" s="33">
        <f>'Data Entry'!E13</f>
        <v>6</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6</v>
      </c>
      <c r="O13" s="42">
        <f>(D70*L70)-E13</f>
        <v>0</v>
      </c>
      <c r="P13" s="42">
        <f t="shared" si="4"/>
        <v>136</v>
      </c>
      <c r="Q13" s="42">
        <f>(C70*L70)-C13</f>
        <v>1</v>
      </c>
      <c r="R13" s="42">
        <f t="shared" si="5"/>
        <v>143</v>
      </c>
      <c r="S13" s="30">
        <f t="shared" si="6"/>
        <v>5148</v>
      </c>
      <c r="T13" s="30">
        <f t="shared" si="7"/>
        <v>116724</v>
      </c>
      <c r="U13" s="31">
        <f t="shared" si="8"/>
        <v>4.4104040300195331E-2</v>
      </c>
    </row>
    <row r="14" spans="2:21" ht="30.75" customHeight="1" x14ac:dyDescent="0.25">
      <c r="B14" s="32" t="str">
        <f>'Data Entry'!A14</f>
        <v xml:space="preserve">9. Cases Resulting in Confinement in Secure Juvenile Correctional Facilities </v>
      </c>
      <c r="C14" s="33">
        <f>'Data Entry'!C14</f>
        <v>13</v>
      </c>
      <c r="D14" s="34">
        <f>IF(((AND(C70&gt;0,C14&gt;0))), ((C14/(C70))),0)</f>
        <v>9.4890510948905096</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6</v>
      </c>
      <c r="P14" s="42">
        <f t="shared" si="4"/>
        <v>13</v>
      </c>
      <c r="Q14" s="42">
        <f>(C70*L70)-C14</f>
        <v>124</v>
      </c>
      <c r="R14" s="42">
        <f t="shared" si="5"/>
        <v>143</v>
      </c>
      <c r="S14" s="30">
        <f t="shared" si="6"/>
        <v>870012</v>
      </c>
      <c r="T14" s="30">
        <f t="shared" si="7"/>
        <v>1389180</v>
      </c>
      <c r="U14" s="31">
        <f t="shared" si="8"/>
        <v>0.62627737226277369</v>
      </c>
    </row>
    <row r="15" spans="2:21" ht="15.75" customHeight="1" x14ac:dyDescent="0.25">
      <c r="B15" s="32" t="str">
        <f>'Data Entry'!A15</f>
        <v xml:space="preserve">10. Cases Transferred to Adult Court </v>
      </c>
      <c r="C15" s="33">
        <f>'Data Entry'!C15</f>
        <v>5</v>
      </c>
      <c r="D15" s="34">
        <f>IF(((AND(C69&gt;0,C15&gt;0))),((C15/(C69))),0)</f>
        <v>1.1441647597254003</v>
      </c>
      <c r="E15" s="33">
        <f>'Data Entry'!E15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10</v>
      </c>
      <c r="P15" s="42">
        <f t="shared" si="4"/>
        <v>5</v>
      </c>
      <c r="Q15" s="42">
        <f>(C69*L69)-C15</f>
        <v>432</v>
      </c>
      <c r="R15" s="42">
        <f t="shared" si="5"/>
        <v>447</v>
      </c>
      <c r="S15" s="30">
        <f t="shared" si="6"/>
        <v>1117500</v>
      </c>
      <c r="T15" s="30">
        <f t="shared" si="7"/>
        <v>9657700</v>
      </c>
      <c r="U15" s="31">
        <f t="shared" si="8"/>
        <v>0.11571077999937873</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52.667000000000002</v>
      </c>
      <c r="D42" s="56">
        <f>E6/1000</f>
        <v>3.17</v>
      </c>
      <c r="E42" s="56">
        <f>MAX(C42:D42)</f>
        <v>52.667000000000002</v>
      </c>
      <c r="G42" s="1" t="str">
        <f>B42</f>
        <v>per 1000 youth</v>
      </c>
      <c r="L42" s="57">
        <v>1000</v>
      </c>
      <c r="M42" s="57"/>
      <c r="R42" s="49"/>
    </row>
    <row r="43" spans="2:18" ht="15" hidden="1" customHeight="1" x14ac:dyDescent="0.25">
      <c r="B43" s="49" t="s">
        <v>87</v>
      </c>
      <c r="C43" s="56">
        <f>C7/100</f>
        <v>1.3</v>
      </c>
      <c r="D43" s="56">
        <f>E7/100</f>
        <v>0.03</v>
      </c>
      <c r="E43" s="56">
        <f>MAX(C43:D43,0)</f>
        <v>1.3</v>
      </c>
      <c r="G43" s="1" t="str">
        <f>B43</f>
        <v>per 100 arrests</v>
      </c>
      <c r="L43" s="57">
        <v>100</v>
      </c>
      <c r="M43" s="57"/>
      <c r="R43" s="49"/>
    </row>
    <row r="44" spans="2:18" ht="15" hidden="1" customHeight="1" x14ac:dyDescent="0.25">
      <c r="B44" s="49" t="s">
        <v>88</v>
      </c>
      <c r="C44" s="56">
        <f>C8/100</f>
        <v>4.37</v>
      </c>
      <c r="D44" s="56">
        <f>E8/100</f>
        <v>0.1</v>
      </c>
      <c r="E44" s="56">
        <f>MAX(C44:D44,0)</f>
        <v>4.37</v>
      </c>
      <c r="G44" s="1" t="str">
        <f>B44</f>
        <v>per 100 referrals</v>
      </c>
      <c r="L44" s="57">
        <v>100</v>
      </c>
      <c r="M44" s="57"/>
      <c r="R44" s="49"/>
    </row>
    <row r="45" spans="2:18" ht="15" hidden="1" customHeight="1" x14ac:dyDescent="0.25">
      <c r="B45" s="49" t="s">
        <v>89</v>
      </c>
      <c r="C45" s="49">
        <f>C11/100</f>
        <v>4.37</v>
      </c>
      <c r="D45" s="49">
        <f>E11/100</f>
        <v>0.1</v>
      </c>
      <c r="E45" s="56">
        <f>MAX(C45:D45,0)</f>
        <v>4.37</v>
      </c>
      <c r="G45" s="1" t="str">
        <f>B45</f>
        <v>per 100 youth petitioned</v>
      </c>
      <c r="L45" s="57">
        <v>100</v>
      </c>
      <c r="M45" s="57"/>
      <c r="R45" s="49"/>
    </row>
    <row r="46" spans="2:18" ht="15" hidden="1" customHeight="1" x14ac:dyDescent="0.25">
      <c r="B46" s="49" t="s">
        <v>90</v>
      </c>
      <c r="C46" s="49">
        <f>C12/100</f>
        <v>1.37</v>
      </c>
      <c r="D46" s="49">
        <f>E12/100</f>
        <v>0.06</v>
      </c>
      <c r="E46" s="56">
        <f>MAX(C46:D46)</f>
        <v>1.37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52.667000000000002</v>
      </c>
      <c r="D48" s="56">
        <f>D42</f>
        <v>3.17</v>
      </c>
      <c r="E48" s="56">
        <f>MAX(C48:D48)</f>
        <v>52.667000000000002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1.3</v>
      </c>
      <c r="D49" s="49">
        <f t="shared" si="9"/>
        <v>0.03</v>
      </c>
      <c r="E49" s="49">
        <f>MAX(C49:D49)</f>
        <v>1.3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4.37</v>
      </c>
      <c r="D50" s="49">
        <f t="shared" si="9"/>
        <v>0.1</v>
      </c>
      <c r="E50" s="49">
        <f>MAX(C50:D50)</f>
        <v>4.37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4.37</v>
      </c>
      <c r="D51" s="49">
        <f>IF(($E45&gt;0),D45,D44)</f>
        <v>0.1</v>
      </c>
      <c r="E51" s="49">
        <f>MAX(C51:D51)</f>
        <v>4.37</v>
      </c>
      <c r="G51" s="1" t="str">
        <f>G45</f>
        <v>per 100 youth petitioned</v>
      </c>
      <c r="L51" s="58">
        <f>IF(($E45&gt;0),L45,L44)</f>
        <v>100</v>
      </c>
      <c r="M51" s="58"/>
    </row>
    <row r="52" spans="2:18" ht="15" hidden="1" customHeight="1" x14ac:dyDescent="0.25">
      <c r="B52" s="49" t="str">
        <f>IF(($E46&gt;0),B46,B45)</f>
        <v>per 100 youth found delinquent</v>
      </c>
      <c r="C52" s="49">
        <f>IF(($E46&gt;0),C46,C45)</f>
        <v>1.37</v>
      </c>
      <c r="D52" s="49">
        <f>IF(($E46&gt;0),D46,D45)</f>
        <v>0.06</v>
      </c>
      <c r="E52" s="56">
        <f>MAX(C52:D52)</f>
        <v>1.37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52.667000000000002</v>
      </c>
      <c r="D54" s="56">
        <f>D48</f>
        <v>3.17</v>
      </c>
      <c r="E54" s="56">
        <f>MAX(C54:D54)</f>
        <v>52.667000000000002</v>
      </c>
      <c r="G54" s="1" t="str">
        <f>G48</f>
        <v>per 1000 youth</v>
      </c>
      <c r="L54" s="58">
        <f>L48</f>
        <v>1000</v>
      </c>
      <c r="M54" s="58"/>
    </row>
    <row r="55" spans="2:18" ht="15" hidden="1" customHeight="1" x14ac:dyDescent="0.25">
      <c r="B55" s="49" t="str">
        <f t="shared" ref="B55:D56" si="10">IF(($E49&gt;0),B49,B48)</f>
        <v>per 100 arrests</v>
      </c>
      <c r="C55" s="49">
        <f t="shared" si="10"/>
        <v>1.3</v>
      </c>
      <c r="D55" s="49">
        <f t="shared" si="10"/>
        <v>0.03</v>
      </c>
      <c r="E55" s="49">
        <f>MAX(C55:D55)</f>
        <v>1.3</v>
      </c>
      <c r="G55" s="1" t="str">
        <f>G49</f>
        <v>per 100 arrests</v>
      </c>
      <c r="L55" s="58">
        <f>IF(($E49&gt;0),L49,L48)</f>
        <v>100</v>
      </c>
      <c r="M55" s="58"/>
    </row>
    <row r="56" spans="2:18" ht="15" hidden="1" customHeight="1" x14ac:dyDescent="0.25">
      <c r="B56" s="49" t="str">
        <f t="shared" si="10"/>
        <v>per 100 referrals</v>
      </c>
      <c r="C56" s="49">
        <f t="shared" si="10"/>
        <v>4.37</v>
      </c>
      <c r="D56" s="49">
        <f t="shared" si="10"/>
        <v>0.1</v>
      </c>
      <c r="E56" s="49">
        <f>MAX(C56:D56)</f>
        <v>4.37</v>
      </c>
      <c r="G56" s="1" t="str">
        <f>G50</f>
        <v>per 100 referrals</v>
      </c>
      <c r="L56" s="58">
        <f>IF(($E50&gt;0),L50,L49)</f>
        <v>100</v>
      </c>
      <c r="M56" s="58"/>
    </row>
    <row r="57" spans="2:18" ht="15" hidden="1" customHeight="1" x14ac:dyDescent="0.25">
      <c r="B57" s="49" t="str">
        <f>IF(($E51&gt;0),B51,B49)</f>
        <v>per 100 youth petitioned</v>
      </c>
      <c r="C57" s="49">
        <f>IF(($E51&gt;0),C51,C50)</f>
        <v>4.37</v>
      </c>
      <c r="D57" s="49">
        <f>IF(($E51&gt;0),D51,D50)</f>
        <v>0.1</v>
      </c>
      <c r="E57" s="49">
        <f>MAX(C57:D57)</f>
        <v>4.37</v>
      </c>
      <c r="G57" s="1" t="str">
        <f>G51</f>
        <v>per 100 youth petitioned</v>
      </c>
      <c r="L57" s="58">
        <f>IF(($E51&gt;0),L51,L50)</f>
        <v>100</v>
      </c>
      <c r="M57" s="58"/>
    </row>
    <row r="58" spans="2:18" ht="15" hidden="1" customHeight="1" x14ac:dyDescent="0.25">
      <c r="B58" s="49" t="str">
        <f>IF(($E52&gt;0),B52,B51)</f>
        <v>per 100 youth found delinquent</v>
      </c>
      <c r="C58" s="49">
        <f>IF(($E52&gt;0),C52,C51)</f>
        <v>1.37</v>
      </c>
      <c r="D58" s="49">
        <f>IF(($E52&gt;0),D52,D51)</f>
        <v>0.06</v>
      </c>
      <c r="E58" s="56">
        <f>MAX(C58:D58)</f>
        <v>1.37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52.667000000000002</v>
      </c>
      <c r="D60" s="56">
        <f>D54</f>
        <v>3.17</v>
      </c>
      <c r="E60" s="56">
        <f>MAX(C60:D60)</f>
        <v>52.667000000000002</v>
      </c>
      <c r="G60" s="1" t="str">
        <f>G54</f>
        <v>per 1000 youth</v>
      </c>
      <c r="L60" s="58">
        <f>L54</f>
        <v>1000</v>
      </c>
      <c r="M60" s="58"/>
    </row>
    <row r="61" spans="2:18" ht="15" hidden="1" customHeight="1" x14ac:dyDescent="0.25">
      <c r="B61" s="49" t="str">
        <f t="shared" ref="B61:D62" si="11">IF(($E55&gt;0),B55,B54)</f>
        <v>per 100 arrests</v>
      </c>
      <c r="C61" s="49">
        <f t="shared" si="11"/>
        <v>1.3</v>
      </c>
      <c r="D61" s="49">
        <f t="shared" si="11"/>
        <v>0.03</v>
      </c>
      <c r="E61" s="49">
        <f>MAX(C61:D61)</f>
        <v>1.3</v>
      </c>
      <c r="G61" s="1" t="str">
        <f>G55</f>
        <v>per 100 arrests</v>
      </c>
      <c r="L61" s="58">
        <f>IF(($E55&gt;0),L55,L54)</f>
        <v>100</v>
      </c>
      <c r="M61" s="58"/>
    </row>
    <row r="62" spans="2:18" ht="15" hidden="1" customHeight="1" x14ac:dyDescent="0.25">
      <c r="B62" s="49" t="str">
        <f t="shared" si="11"/>
        <v>per 100 referrals</v>
      </c>
      <c r="C62" s="49">
        <f t="shared" si="11"/>
        <v>4.37</v>
      </c>
      <c r="D62" s="49">
        <f t="shared" si="11"/>
        <v>0.1</v>
      </c>
      <c r="E62" s="49">
        <f>MAX(C62:D62)</f>
        <v>4.37</v>
      </c>
      <c r="G62" s="1" t="str">
        <f>G56</f>
        <v>per 100 referrals</v>
      </c>
      <c r="L62" s="58">
        <f>IF(($E56&gt;0),L56,L55)</f>
        <v>100</v>
      </c>
      <c r="M62" s="58"/>
    </row>
    <row r="63" spans="2:18" ht="15" hidden="1" customHeight="1" x14ac:dyDescent="0.25">
      <c r="B63" s="49" t="str">
        <f>IF(($E57&gt;0),B57,B55)</f>
        <v>per 100 youth petitioned</v>
      </c>
      <c r="C63" s="49">
        <f>IF(($E57&gt;0),C57,C56)</f>
        <v>4.37</v>
      </c>
      <c r="D63" s="49">
        <f>IF(($E57&gt;0),D57,D56)</f>
        <v>0.1</v>
      </c>
      <c r="E63" s="49">
        <f>MAX(C63:D63)</f>
        <v>4.37</v>
      </c>
      <c r="G63" s="1" t="str">
        <f>G57</f>
        <v>per 100 youth petitioned</v>
      </c>
      <c r="L63" s="58">
        <f>IF(($E57&gt;0),L57,L56)</f>
        <v>100</v>
      </c>
      <c r="M63" s="58"/>
    </row>
    <row r="64" spans="2:18" ht="15" hidden="1" customHeight="1" x14ac:dyDescent="0.25">
      <c r="B64" s="49" t="str">
        <f>IF(($E58&gt;0),B58,B57)</f>
        <v>per 100 youth found delinquent</v>
      </c>
      <c r="C64" s="49">
        <f>IF(($E58&gt;0),C58,C57)</f>
        <v>1.37</v>
      </c>
      <c r="D64" s="49">
        <f>IF(($E58&gt;0),D58,D57)</f>
        <v>0.06</v>
      </c>
      <c r="E64" s="56">
        <f>MAX(C64:D64)</f>
        <v>1.37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52.667000000000002</v>
      </c>
      <c r="D66" s="56">
        <f>D60</f>
        <v>3.17</v>
      </c>
      <c r="E66" s="56">
        <f>MAX(C66:D66)</f>
        <v>52.667000000000002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1.3</v>
      </c>
      <c r="D67" s="49">
        <f t="shared" si="12"/>
        <v>0.03</v>
      </c>
      <c r="E67" s="49">
        <f>MAX(C67:D67)</f>
        <v>1.3</v>
      </c>
      <c r="G67" s="1" t="str">
        <f>G61</f>
        <v>per 100 arrests</v>
      </c>
      <c r="L67" s="58">
        <f>IF(($E61&gt;0),L61,L60)</f>
        <v>100</v>
      </c>
      <c r="M67" s="58">
        <f>IF((B67=G67),1,2)</f>
        <v>1</v>
      </c>
    </row>
    <row r="68" spans="2:13" ht="15" hidden="1" customHeight="1" x14ac:dyDescent="0.25">
      <c r="B68" s="49" t="str">
        <f t="shared" si="12"/>
        <v>per 100 referrals</v>
      </c>
      <c r="C68" s="49">
        <f t="shared" si="12"/>
        <v>4.37</v>
      </c>
      <c r="D68" s="49">
        <f t="shared" si="12"/>
        <v>0.1</v>
      </c>
      <c r="E68" s="49">
        <f>MAX(C68:D68)</f>
        <v>4.37</v>
      </c>
      <c r="G68" s="1" t="str">
        <f>G62</f>
        <v>per 100 referrals</v>
      </c>
      <c r="L68" s="58">
        <f>IF(($E62&gt;0),L62,L61)</f>
        <v>100</v>
      </c>
      <c r="M68" s="58">
        <f>IF((B68=G68),1,2)</f>
        <v>1</v>
      </c>
    </row>
    <row r="69" spans="2:13" ht="15" hidden="1" customHeight="1" x14ac:dyDescent="0.25">
      <c r="B69" s="49" t="str">
        <f>IF(($E63&gt;0),B63,B61)</f>
        <v>per 100 youth petitioned</v>
      </c>
      <c r="C69" s="49">
        <f>IF(($E63&gt;0),C63,C62)</f>
        <v>4.37</v>
      </c>
      <c r="D69" s="49">
        <f>IF(($E63&gt;0),D63,D62)</f>
        <v>0.1</v>
      </c>
      <c r="E69" s="49">
        <f>MAX(C69:D69)</f>
        <v>4.37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1.37</v>
      </c>
      <c r="D70" s="49">
        <f>IF(($E64&gt;0),D64,D63)</f>
        <v>0.06</v>
      </c>
      <c r="E70" s="56">
        <f>MAX(C70:D70)</f>
        <v>1.37</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Macomb</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52667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130</v>
      </c>
      <c r="D7" s="34">
        <f>IF((AND(C66&gt;0,C7&gt;0)),(C7/C66),0)</f>
        <v>2.4683388079822279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130</v>
      </c>
      <c r="Q7" s="42">
        <f>C6-C7</f>
        <v>52537</v>
      </c>
      <c r="R7" s="42">
        <f t="shared" ref="R7:R15" si="5">SUM(N7:Q7)</f>
        <v>52667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437</v>
      </c>
      <c r="D8" s="34">
        <f>IF((AND(C67&gt;0,C8&gt;0)),(C8/C67),0)</f>
        <v>336.15384615384613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437</v>
      </c>
      <c r="Q8" s="42">
        <f>(C$67*L67)-C8</f>
        <v>-307</v>
      </c>
      <c r="R8" s="42">
        <f t="shared" si="5"/>
        <v>130.05000000000001</v>
      </c>
      <c r="S8" s="30">
        <f t="shared" si="6"/>
        <v>62088.796125000015</v>
      </c>
      <c r="T8" s="30">
        <f t="shared" si="7"/>
        <v>-871891.47499999998</v>
      </c>
      <c r="U8" s="31">
        <f t="shared" si="8"/>
        <v>-7.1211610510356252E-2</v>
      </c>
    </row>
    <row r="9" spans="2:21" ht="18" customHeight="1" x14ac:dyDescent="0.25">
      <c r="B9" s="32" t="str">
        <f>'Data Entry'!A9</f>
        <v xml:space="preserve">4. Cases Diverted </v>
      </c>
      <c r="C9" s="33">
        <f>'Data Entry'!C9</f>
        <v>181</v>
      </c>
      <c r="D9" s="34">
        <f>IF((AND(C68&gt;0,C9&gt;0)),((C9/C68)),0)</f>
        <v>41.418764302059493</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181</v>
      </c>
      <c r="Q9" s="42">
        <f>(C$68*L68)-C9</f>
        <v>256</v>
      </c>
      <c r="R9" s="42">
        <f t="shared" si="5"/>
        <v>437</v>
      </c>
      <c r="S9" s="30">
        <f t="shared" si="6"/>
        <v>0</v>
      </c>
      <c r="T9" s="30">
        <f t="shared" si="7"/>
        <v>0</v>
      </c>
      <c r="U9" s="31" t="str">
        <f t="shared" si="8"/>
        <v>- -</v>
      </c>
    </row>
    <row r="10" spans="2:21" ht="18" customHeight="1" x14ac:dyDescent="0.25">
      <c r="B10" s="32" t="str">
        <f>'Data Entry'!A10</f>
        <v>5. Cases Involving Secure Detention</v>
      </c>
      <c r="C10" s="33">
        <f>'Data Entry'!C10</f>
        <v>51</v>
      </c>
      <c r="D10" s="34">
        <f>IF(((AND(C68&gt;0,C10&gt;0))),(C10/(C68)),0)</f>
        <v>11.670480549199084</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51</v>
      </c>
      <c r="Q10" s="42">
        <f>(C$68*L68)-C10</f>
        <v>386</v>
      </c>
      <c r="R10" s="42">
        <f t="shared" si="5"/>
        <v>437</v>
      </c>
      <c r="S10" s="30">
        <f t="shared" si="6"/>
        <v>0</v>
      </c>
      <c r="T10" s="30">
        <f t="shared" si="7"/>
        <v>0</v>
      </c>
      <c r="U10" s="31" t="str">
        <f t="shared" si="8"/>
        <v>- -</v>
      </c>
    </row>
    <row r="11" spans="2:21" ht="18" customHeight="1" x14ac:dyDescent="0.25">
      <c r="B11" s="32" t="str">
        <f>'Data Entry'!A11</f>
        <v>6. Cases Petitioned (Charge Filed)</v>
      </c>
      <c r="C11" s="33">
        <f>'Data Entry'!C11</f>
        <v>437</v>
      </c>
      <c r="D11" s="34">
        <f>IF(((AND(C68&gt;0,C11&gt;0))),(C11/(C68)),0)</f>
        <v>100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437</v>
      </c>
      <c r="Q11" s="42">
        <f>(C$68*L68)-C11</f>
        <v>0</v>
      </c>
      <c r="R11" s="42">
        <f t="shared" si="5"/>
        <v>437</v>
      </c>
      <c r="S11" s="30">
        <f t="shared" si="6"/>
        <v>0</v>
      </c>
      <c r="T11" s="30">
        <f t="shared" si="7"/>
        <v>0</v>
      </c>
      <c r="U11" s="31" t="str">
        <f t="shared" si="8"/>
        <v>- -</v>
      </c>
    </row>
    <row r="12" spans="2:21" ht="18" customHeight="1" x14ac:dyDescent="0.25">
      <c r="B12" s="32" t="str">
        <f>'Data Entry'!A12</f>
        <v>7. Cases Resulting in Delinquent Findings</v>
      </c>
      <c r="C12" s="33">
        <f>'Data Entry'!C12</f>
        <v>137</v>
      </c>
      <c r="D12" s="34">
        <f>IF(((AND(C69&gt;0,C12&gt;0))),(C12/(C69)),0)</f>
        <v>31.350114416475972</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137</v>
      </c>
      <c r="Q12" s="42">
        <f>(C69*L69)-C12</f>
        <v>300</v>
      </c>
      <c r="R12" s="42">
        <f t="shared" si="5"/>
        <v>437</v>
      </c>
      <c r="S12" s="30">
        <f t="shared" si="6"/>
        <v>0</v>
      </c>
      <c r="T12" s="30">
        <f t="shared" si="7"/>
        <v>0</v>
      </c>
      <c r="U12" s="31" t="str">
        <f t="shared" si="8"/>
        <v>- -</v>
      </c>
    </row>
    <row r="13" spans="2:21" ht="18" customHeight="1" x14ac:dyDescent="0.25">
      <c r="B13" s="32" t="str">
        <f>'Data Entry'!A13</f>
        <v>8. Cases Resulting in Probation Placement</v>
      </c>
      <c r="C13" s="33">
        <f>'Data Entry'!C13</f>
        <v>136</v>
      </c>
      <c r="D13" s="34">
        <f>IF(((AND(C70&gt;0,C13&gt;0))),(C13/(C70)),0)</f>
        <v>99.270072992700719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136</v>
      </c>
      <c r="Q13" s="42">
        <f>(C70*L70)-C13</f>
        <v>1</v>
      </c>
      <c r="R13" s="42">
        <f t="shared" si="5"/>
        <v>137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9.4890510948905096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124</v>
      </c>
      <c r="R14" s="42">
        <f t="shared" si="5"/>
        <v>137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5</v>
      </c>
      <c r="D15" s="34">
        <f>IF(((AND(C69&gt;0,C15&gt;0))),((C15/(C69))),0)</f>
        <v>1.1441647597254003</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5</v>
      </c>
      <c r="Q15" s="42">
        <f>(C69*L69)-C15</f>
        <v>432</v>
      </c>
      <c r="R15" s="42">
        <f t="shared" si="5"/>
        <v>437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52.667000000000002</v>
      </c>
      <c r="D42" s="56">
        <f>E6/1000</f>
        <v>0</v>
      </c>
      <c r="E42" s="56">
        <f>MAX(C42:D42)</f>
        <v>52.667000000000002</v>
      </c>
      <c r="G42" s="1" t="str">
        <f>B42</f>
        <v>per 1000 youth</v>
      </c>
      <c r="L42" s="57">
        <v>1000</v>
      </c>
      <c r="M42" s="57"/>
      <c r="R42" s="49"/>
    </row>
    <row r="43" spans="2:18" ht="15" hidden="1" customHeight="1" x14ac:dyDescent="0.25">
      <c r="B43" s="49" t="s">
        <v>87</v>
      </c>
      <c r="C43" s="56">
        <f>C7/100</f>
        <v>1.3</v>
      </c>
      <c r="D43" s="56">
        <f>E7/100</f>
        <v>0</v>
      </c>
      <c r="E43" s="56">
        <f>MAX(C43:D43,0)</f>
        <v>1.3</v>
      </c>
      <c r="G43" s="1" t="str">
        <f>B43</f>
        <v>per 100 arrests</v>
      </c>
      <c r="L43" s="57">
        <v>100</v>
      </c>
      <c r="M43" s="57"/>
      <c r="R43" s="49"/>
    </row>
    <row r="44" spans="2:18" ht="15" hidden="1" customHeight="1" x14ac:dyDescent="0.25">
      <c r="B44" s="49" t="s">
        <v>88</v>
      </c>
      <c r="C44" s="56">
        <f>C8/100</f>
        <v>4.37</v>
      </c>
      <c r="D44" s="56">
        <f>E8/100</f>
        <v>0</v>
      </c>
      <c r="E44" s="56">
        <f>MAX(C44:D44,0)</f>
        <v>4.37</v>
      </c>
      <c r="G44" s="1" t="str">
        <f>B44</f>
        <v>per 100 referrals</v>
      </c>
      <c r="L44" s="57">
        <v>100</v>
      </c>
      <c r="M44" s="57"/>
      <c r="R44" s="49"/>
    </row>
    <row r="45" spans="2:18" ht="15" hidden="1" customHeight="1" x14ac:dyDescent="0.25">
      <c r="B45" s="49" t="s">
        <v>89</v>
      </c>
      <c r="C45" s="49">
        <f>C11/100</f>
        <v>4.37</v>
      </c>
      <c r="D45" s="49">
        <f>E11/100</f>
        <v>0</v>
      </c>
      <c r="E45" s="56">
        <f>MAX(C45:D45,0)</f>
        <v>4.37</v>
      </c>
      <c r="G45" s="1" t="str">
        <f>B45</f>
        <v>per 100 youth petitioned</v>
      </c>
      <c r="L45" s="57">
        <v>100</v>
      </c>
      <c r="M45" s="57"/>
      <c r="R45" s="49"/>
    </row>
    <row r="46" spans="2:18" ht="15" hidden="1" customHeight="1" x14ac:dyDescent="0.25">
      <c r="B46" s="49" t="s">
        <v>90</v>
      </c>
      <c r="C46" s="49">
        <f>C12/100</f>
        <v>1.37</v>
      </c>
      <c r="D46" s="49">
        <f>E12/100</f>
        <v>0</v>
      </c>
      <c r="E46" s="56">
        <f>MAX(C46:D46)</f>
        <v>1.37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52.667000000000002</v>
      </c>
      <c r="D48" s="56">
        <f>D42</f>
        <v>0</v>
      </c>
      <c r="E48" s="56">
        <f>MAX(C48:D48)</f>
        <v>52.667000000000002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1.3</v>
      </c>
      <c r="D49" s="49">
        <f t="shared" si="9"/>
        <v>0</v>
      </c>
      <c r="E49" s="49">
        <f>MAX(C49:D49)</f>
        <v>1.3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4.37</v>
      </c>
      <c r="D50" s="49">
        <f t="shared" si="9"/>
        <v>0</v>
      </c>
      <c r="E50" s="49">
        <f>MAX(C50:D50)</f>
        <v>4.37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4.37</v>
      </c>
      <c r="D51" s="49">
        <f>IF(($E45&gt;0),D45,D44)</f>
        <v>0</v>
      </c>
      <c r="E51" s="49">
        <f>MAX(C51:D51)</f>
        <v>4.37</v>
      </c>
      <c r="G51" s="1" t="str">
        <f>G45</f>
        <v>per 100 youth petitioned</v>
      </c>
      <c r="L51" s="58">
        <f>IF(($E45&gt;0),L45,L44)</f>
        <v>100</v>
      </c>
      <c r="M51" s="58"/>
    </row>
    <row r="52" spans="2:18" ht="15" hidden="1" customHeight="1" x14ac:dyDescent="0.25">
      <c r="B52" s="49" t="str">
        <f>IF(($E46&gt;0),B46,B45)</f>
        <v>per 100 youth found delinquent</v>
      </c>
      <c r="C52" s="49">
        <f>IF(($E46&gt;0),C46,C45)</f>
        <v>1.37</v>
      </c>
      <c r="D52" s="49">
        <f>IF(($E46&gt;0),D46,D45)</f>
        <v>0</v>
      </c>
      <c r="E52" s="56">
        <f>MAX(C52:D52)</f>
        <v>1.37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52.667000000000002</v>
      </c>
      <c r="D54" s="56">
        <f>D48</f>
        <v>0</v>
      </c>
      <c r="E54" s="56">
        <f>MAX(C54:D54)</f>
        <v>52.667000000000002</v>
      </c>
      <c r="G54" s="1" t="str">
        <f>G48</f>
        <v>per 1000 youth</v>
      </c>
      <c r="L54" s="58">
        <f>L48</f>
        <v>1000</v>
      </c>
      <c r="M54" s="58"/>
    </row>
    <row r="55" spans="2:18" ht="15" hidden="1" customHeight="1" x14ac:dyDescent="0.25">
      <c r="B55" s="49" t="str">
        <f t="shared" ref="B55:D56" si="10">IF(($E49&gt;0),B49,B48)</f>
        <v>per 100 arrests</v>
      </c>
      <c r="C55" s="49">
        <f t="shared" si="10"/>
        <v>1.3</v>
      </c>
      <c r="D55" s="49">
        <f t="shared" si="10"/>
        <v>0</v>
      </c>
      <c r="E55" s="49">
        <f>MAX(C55:D55)</f>
        <v>1.3</v>
      </c>
      <c r="G55" s="1" t="str">
        <f>G49</f>
        <v>per 100 arrests</v>
      </c>
      <c r="L55" s="58">
        <f>IF(($E49&gt;0),L49,L48)</f>
        <v>100</v>
      </c>
      <c r="M55" s="58"/>
    </row>
    <row r="56" spans="2:18" ht="15" hidden="1" customHeight="1" x14ac:dyDescent="0.25">
      <c r="B56" s="49" t="str">
        <f t="shared" si="10"/>
        <v>per 100 referrals</v>
      </c>
      <c r="C56" s="49">
        <f t="shared" si="10"/>
        <v>4.37</v>
      </c>
      <c r="D56" s="49">
        <f t="shared" si="10"/>
        <v>0</v>
      </c>
      <c r="E56" s="49">
        <f>MAX(C56:D56)</f>
        <v>4.37</v>
      </c>
      <c r="G56" s="1" t="str">
        <f>G50</f>
        <v>per 100 referrals</v>
      </c>
      <c r="L56" s="58">
        <f>IF(($E50&gt;0),L50,L49)</f>
        <v>100</v>
      </c>
      <c r="M56" s="58"/>
    </row>
    <row r="57" spans="2:18" ht="15" hidden="1" customHeight="1" x14ac:dyDescent="0.25">
      <c r="B57" s="49" t="str">
        <f>IF(($E51&gt;0),B51,B49)</f>
        <v>per 100 youth petitioned</v>
      </c>
      <c r="C57" s="49">
        <f>IF(($E51&gt;0),C51,C50)</f>
        <v>4.37</v>
      </c>
      <c r="D57" s="49">
        <f>IF(($E51&gt;0),D51,D50)</f>
        <v>0</v>
      </c>
      <c r="E57" s="49">
        <f>MAX(C57:D57)</f>
        <v>4.37</v>
      </c>
      <c r="G57" s="1" t="str">
        <f>G51</f>
        <v>per 100 youth petitioned</v>
      </c>
      <c r="L57" s="58">
        <f>IF(($E51&gt;0),L51,L50)</f>
        <v>100</v>
      </c>
      <c r="M57" s="58"/>
    </row>
    <row r="58" spans="2:18" ht="15" hidden="1" customHeight="1" x14ac:dyDescent="0.25">
      <c r="B58" s="49" t="str">
        <f>IF(($E52&gt;0),B52,B51)</f>
        <v>per 100 youth found delinquent</v>
      </c>
      <c r="C58" s="49">
        <f>IF(($E52&gt;0),C52,C51)</f>
        <v>1.37</v>
      </c>
      <c r="D58" s="49">
        <f>IF(($E52&gt;0),D52,D51)</f>
        <v>0</v>
      </c>
      <c r="E58" s="56">
        <f>MAX(C58:D58)</f>
        <v>1.37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52.667000000000002</v>
      </c>
      <c r="D60" s="56">
        <f>D54</f>
        <v>0</v>
      </c>
      <c r="E60" s="56">
        <f>MAX(C60:D60)</f>
        <v>52.667000000000002</v>
      </c>
      <c r="G60" s="1" t="str">
        <f>G54</f>
        <v>per 1000 youth</v>
      </c>
      <c r="L60" s="58">
        <f>L54</f>
        <v>1000</v>
      </c>
      <c r="M60" s="58"/>
    </row>
    <row r="61" spans="2:18" ht="15" hidden="1" customHeight="1" x14ac:dyDescent="0.25">
      <c r="B61" s="49" t="str">
        <f t="shared" ref="B61:D62" si="11">IF(($E55&gt;0),B55,B54)</f>
        <v>per 100 arrests</v>
      </c>
      <c r="C61" s="49">
        <f t="shared" si="11"/>
        <v>1.3</v>
      </c>
      <c r="D61" s="49">
        <f t="shared" si="11"/>
        <v>0</v>
      </c>
      <c r="E61" s="49">
        <f>MAX(C61:D61)</f>
        <v>1.3</v>
      </c>
      <c r="G61" s="1" t="str">
        <f>G55</f>
        <v>per 100 arrests</v>
      </c>
      <c r="L61" s="58">
        <f>IF(($E55&gt;0),L55,L54)</f>
        <v>100</v>
      </c>
      <c r="M61" s="58"/>
    </row>
    <row r="62" spans="2:18" ht="15" hidden="1" customHeight="1" x14ac:dyDescent="0.25">
      <c r="B62" s="49" t="str">
        <f t="shared" si="11"/>
        <v>per 100 referrals</v>
      </c>
      <c r="C62" s="49">
        <f t="shared" si="11"/>
        <v>4.37</v>
      </c>
      <c r="D62" s="49">
        <f t="shared" si="11"/>
        <v>0</v>
      </c>
      <c r="E62" s="49">
        <f>MAX(C62:D62)</f>
        <v>4.37</v>
      </c>
      <c r="G62" s="1" t="str">
        <f>G56</f>
        <v>per 100 referrals</v>
      </c>
      <c r="L62" s="58">
        <f>IF(($E56&gt;0),L56,L55)</f>
        <v>100</v>
      </c>
      <c r="M62" s="58"/>
    </row>
    <row r="63" spans="2:18" ht="15" hidden="1" customHeight="1" x14ac:dyDescent="0.25">
      <c r="B63" s="49" t="str">
        <f>IF(($E57&gt;0),B57,B55)</f>
        <v>per 100 youth petitioned</v>
      </c>
      <c r="C63" s="49">
        <f>IF(($E57&gt;0),C57,C56)</f>
        <v>4.37</v>
      </c>
      <c r="D63" s="49">
        <f>IF(($E57&gt;0),D57,D56)</f>
        <v>0</v>
      </c>
      <c r="E63" s="49">
        <f>MAX(C63:D63)</f>
        <v>4.37</v>
      </c>
      <c r="G63" s="1" t="str">
        <f>G57</f>
        <v>per 100 youth petitioned</v>
      </c>
      <c r="L63" s="58">
        <f>IF(($E57&gt;0),L57,L56)</f>
        <v>100</v>
      </c>
      <c r="M63" s="58"/>
    </row>
    <row r="64" spans="2:18" ht="15" hidden="1" customHeight="1" x14ac:dyDescent="0.25">
      <c r="B64" s="49" t="str">
        <f>IF(($E58&gt;0),B58,B57)</f>
        <v>per 100 youth found delinquent</v>
      </c>
      <c r="C64" s="49">
        <f>IF(($E58&gt;0),C58,C57)</f>
        <v>1.37</v>
      </c>
      <c r="D64" s="49">
        <f>IF(($E58&gt;0),D58,D57)</f>
        <v>0</v>
      </c>
      <c r="E64" s="56">
        <f>MAX(C64:D64)</f>
        <v>1.37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52.667000000000002</v>
      </c>
      <c r="D66" s="56">
        <f>D60</f>
        <v>0</v>
      </c>
      <c r="E66" s="56">
        <f>MAX(C66:D66)</f>
        <v>52.667000000000002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1.3</v>
      </c>
      <c r="D67" s="49">
        <f t="shared" si="12"/>
        <v>0</v>
      </c>
      <c r="E67" s="49">
        <f>MAX(C67:D67)</f>
        <v>1.3</v>
      </c>
      <c r="G67" s="1" t="str">
        <f>G61</f>
        <v>per 100 arrests</v>
      </c>
      <c r="L67" s="58">
        <f>IF(($E61&gt;0),L61,L60)</f>
        <v>100</v>
      </c>
      <c r="M67" s="58">
        <f>IF((B67=G67),1,2)</f>
        <v>1</v>
      </c>
    </row>
    <row r="68" spans="2:13" ht="15" hidden="1" customHeight="1" x14ac:dyDescent="0.25">
      <c r="B68" s="49" t="str">
        <f t="shared" si="12"/>
        <v>per 100 referrals</v>
      </c>
      <c r="C68" s="49">
        <f t="shared" si="12"/>
        <v>4.37</v>
      </c>
      <c r="D68" s="49">
        <f t="shared" si="12"/>
        <v>0</v>
      </c>
      <c r="E68" s="49">
        <f>MAX(C68:D68)</f>
        <v>4.37</v>
      </c>
      <c r="G68" s="1" t="str">
        <f>G62</f>
        <v>per 100 referrals</v>
      </c>
      <c r="L68" s="58">
        <f>IF(($E62&gt;0),L62,L61)</f>
        <v>100</v>
      </c>
      <c r="M68" s="58">
        <f>IF((B68=G68),1,2)</f>
        <v>1</v>
      </c>
    </row>
    <row r="69" spans="2:13" ht="15" hidden="1" customHeight="1" x14ac:dyDescent="0.25">
      <c r="B69" s="49" t="str">
        <f>IF(($E63&gt;0),B63,B61)</f>
        <v>per 100 youth petitioned</v>
      </c>
      <c r="C69" s="49">
        <f>IF(($E63&gt;0),C63,C62)</f>
        <v>4.37</v>
      </c>
      <c r="D69" s="49">
        <f>IF(($E63&gt;0),D63,D62)</f>
        <v>0</v>
      </c>
      <c r="E69" s="49">
        <f>MAX(C69:D69)</f>
        <v>4.37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1.37</v>
      </c>
      <c r="D70" s="49">
        <f>IF(($E64&gt;0),D64,D63)</f>
        <v>0</v>
      </c>
      <c r="E70" s="56">
        <f>MAX(C70:D70)</f>
        <v>1.37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Macomb</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52667</v>
      </c>
      <c r="D6" s="34"/>
      <c r="E6" s="33">
        <f>'Data Entry'!H6</f>
        <v>275</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130</v>
      </c>
      <c r="D7" s="34">
        <f>IF((AND(C66&gt;0,C7&gt;0)),(C7/C66),0)</f>
        <v>2.4683388079822279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275</v>
      </c>
      <c r="P7" s="42">
        <f t="shared" ref="P7:P15" si="4">C7</f>
        <v>130</v>
      </c>
      <c r="Q7" s="42">
        <f>C6-C7</f>
        <v>52537</v>
      </c>
      <c r="R7" s="42">
        <f t="shared" ref="R7:R15" si="5">SUM(N7:Q7)</f>
        <v>52942</v>
      </c>
      <c r="S7" s="30">
        <f t="shared" ref="S7:S15" si="6">R7*((((N7*Q7)-(O7*P7))^2))</f>
        <v>67663184875000</v>
      </c>
      <c r="T7" s="30">
        <f t="shared" ref="T7:T15" si="7">(N7+O7)*(P7+Q7)*(N7+P7)*(O7+Q7)</f>
        <v>99436823343000</v>
      </c>
      <c r="U7" s="31">
        <f t="shared" ref="U7:U15" si="8">IF((S7&gt;0),S7/T7,"- -")</f>
        <v>0.68046406351499011</v>
      </c>
    </row>
    <row r="8" spans="2:21" ht="18" customHeight="1" x14ac:dyDescent="0.25">
      <c r="B8" s="32" t="str">
        <f>'Data Entry'!A8</f>
        <v>3. Refer to Juvenile Court</v>
      </c>
      <c r="C8" s="33">
        <f>'Data Entry'!C8</f>
        <v>437</v>
      </c>
      <c r="D8" s="34">
        <f>IF((AND(C67&gt;0,C8&gt;0)),(C8/C67),0)</f>
        <v>336.15384615384613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437</v>
      </c>
      <c r="Q8" s="42">
        <f>(C$67*L67)-C8</f>
        <v>-307</v>
      </c>
      <c r="R8" s="42">
        <f t="shared" si="5"/>
        <v>130.05000000000001</v>
      </c>
      <c r="S8" s="30">
        <f t="shared" si="6"/>
        <v>62088.796125000015</v>
      </c>
      <c r="T8" s="30">
        <f t="shared" si="7"/>
        <v>-871891.47499999998</v>
      </c>
      <c r="U8" s="31">
        <f t="shared" si="8"/>
        <v>-7.1211610510356252E-2</v>
      </c>
    </row>
    <row r="9" spans="2:21" ht="18" customHeight="1" x14ac:dyDescent="0.25">
      <c r="B9" s="32" t="str">
        <f>'Data Entry'!A9</f>
        <v xml:space="preserve">4. Cases Diverted </v>
      </c>
      <c r="C9" s="33">
        <f>'Data Entry'!C9</f>
        <v>181</v>
      </c>
      <c r="D9" s="34">
        <f>IF((AND(C68&gt;0,C9&gt;0)),((C9/C68)),0)</f>
        <v>41.418764302059493</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181</v>
      </c>
      <c r="Q9" s="42">
        <f>(C$68*L68)-C9</f>
        <v>256</v>
      </c>
      <c r="R9" s="42">
        <f t="shared" si="5"/>
        <v>437</v>
      </c>
      <c r="S9" s="30">
        <f t="shared" si="6"/>
        <v>0</v>
      </c>
      <c r="T9" s="30">
        <f t="shared" si="7"/>
        <v>0</v>
      </c>
      <c r="U9" s="31" t="str">
        <f t="shared" si="8"/>
        <v>- -</v>
      </c>
    </row>
    <row r="10" spans="2:21" ht="18" customHeight="1" x14ac:dyDescent="0.25">
      <c r="B10" s="32" t="str">
        <f>'Data Entry'!A10</f>
        <v>5. Cases Involving Secure Detention</v>
      </c>
      <c r="C10" s="33">
        <f>'Data Entry'!C10</f>
        <v>51</v>
      </c>
      <c r="D10" s="34">
        <f>IF(((AND(C68&gt;0,C10&gt;0))),(C10/(C68)),0)</f>
        <v>11.670480549199084</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51</v>
      </c>
      <c r="Q10" s="42">
        <f>(C$68*L68)-C10</f>
        <v>386</v>
      </c>
      <c r="R10" s="42">
        <f t="shared" si="5"/>
        <v>437</v>
      </c>
      <c r="S10" s="30">
        <f t="shared" si="6"/>
        <v>0</v>
      </c>
      <c r="T10" s="30">
        <f t="shared" si="7"/>
        <v>0</v>
      </c>
      <c r="U10" s="31" t="str">
        <f t="shared" si="8"/>
        <v>- -</v>
      </c>
    </row>
    <row r="11" spans="2:21" ht="18" customHeight="1" x14ac:dyDescent="0.25">
      <c r="B11" s="32" t="str">
        <f>'Data Entry'!A11</f>
        <v>6. Cases Petitioned (Charge Filed)</v>
      </c>
      <c r="C11" s="33">
        <f>'Data Entry'!C11</f>
        <v>437</v>
      </c>
      <c r="D11" s="34">
        <f>IF(((AND(C68&gt;0,C11&gt;0))),(C11/(C68)),0)</f>
        <v>100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437</v>
      </c>
      <c r="Q11" s="42">
        <f>(C$68*L68)-C11</f>
        <v>0</v>
      </c>
      <c r="R11" s="42">
        <f t="shared" si="5"/>
        <v>437</v>
      </c>
      <c r="S11" s="30">
        <f t="shared" si="6"/>
        <v>0</v>
      </c>
      <c r="T11" s="30">
        <f t="shared" si="7"/>
        <v>0</v>
      </c>
      <c r="U11" s="31" t="str">
        <f t="shared" si="8"/>
        <v>- -</v>
      </c>
    </row>
    <row r="12" spans="2:21" ht="18" customHeight="1" x14ac:dyDescent="0.25">
      <c r="B12" s="32" t="str">
        <f>'Data Entry'!A12</f>
        <v>7. Cases Resulting in Delinquent Findings</v>
      </c>
      <c r="C12" s="33">
        <f>'Data Entry'!C12</f>
        <v>137</v>
      </c>
      <c r="D12" s="34">
        <f>IF(((AND(C69&gt;0,C12&gt;0))),(C12/(C69)),0)</f>
        <v>31.350114416475972</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137</v>
      </c>
      <c r="Q12" s="42">
        <f>(C69*L69)-C12</f>
        <v>300</v>
      </c>
      <c r="R12" s="42">
        <f t="shared" si="5"/>
        <v>437</v>
      </c>
      <c r="S12" s="30">
        <f t="shared" si="6"/>
        <v>0</v>
      </c>
      <c r="T12" s="30">
        <f t="shared" si="7"/>
        <v>0</v>
      </c>
      <c r="U12" s="31" t="str">
        <f t="shared" si="8"/>
        <v>- -</v>
      </c>
    </row>
    <row r="13" spans="2:21" ht="18" customHeight="1" x14ac:dyDescent="0.25">
      <c r="B13" s="32" t="str">
        <f>'Data Entry'!A13</f>
        <v>8. Cases Resulting in Probation Placement</v>
      </c>
      <c r="C13" s="33">
        <f>'Data Entry'!C13</f>
        <v>136</v>
      </c>
      <c r="D13" s="34">
        <f>IF(((AND(C70&gt;0,C13&gt;0))),(C13/(C70)),0)</f>
        <v>99.270072992700719</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136</v>
      </c>
      <c r="Q13" s="42">
        <f>(C70*L70)-C13</f>
        <v>1</v>
      </c>
      <c r="R13" s="42">
        <f t="shared" si="5"/>
        <v>137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13</v>
      </c>
      <c r="D14" s="34">
        <f>IF(((AND(C70&gt;0,C14&gt;0))), ((C14/(C70))),0)</f>
        <v>9.4890510948905096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13</v>
      </c>
      <c r="Q14" s="42">
        <f>(C70*L70)-C14</f>
        <v>124</v>
      </c>
      <c r="R14" s="42">
        <f t="shared" si="5"/>
        <v>137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5</v>
      </c>
      <c r="D15" s="34">
        <f>IF(((AND(C69&gt;0,C15&gt;0))),((C15/(C69))),0)</f>
        <v>1.1441647597254003</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5</v>
      </c>
      <c r="Q15" s="42">
        <f>(C69*L69)-C15</f>
        <v>432</v>
      </c>
      <c r="R15" s="42">
        <f t="shared" si="5"/>
        <v>437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52.667000000000002</v>
      </c>
      <c r="D42" s="56">
        <f>E6/1000</f>
        <v>0.27500000000000002</v>
      </c>
      <c r="E42" s="56">
        <f>MAX(C42:D42)</f>
        <v>52.667000000000002</v>
      </c>
      <c r="G42" s="1" t="str">
        <f>B42</f>
        <v>per 1000 youth</v>
      </c>
      <c r="L42" s="57">
        <v>1000</v>
      </c>
      <c r="M42" s="57"/>
      <c r="R42" s="49"/>
    </row>
    <row r="43" spans="2:18" ht="15" hidden="1" customHeight="1" x14ac:dyDescent="0.25">
      <c r="B43" s="49" t="s">
        <v>87</v>
      </c>
      <c r="C43" s="56">
        <f>C7/100</f>
        <v>1.3</v>
      </c>
      <c r="D43" s="56">
        <f>E7/100</f>
        <v>0</v>
      </c>
      <c r="E43" s="56">
        <f>MAX(C43:D43,0)</f>
        <v>1.3</v>
      </c>
      <c r="G43" s="1" t="str">
        <f>B43</f>
        <v>per 100 arrests</v>
      </c>
      <c r="L43" s="57">
        <v>100</v>
      </c>
      <c r="M43" s="57"/>
      <c r="R43" s="49"/>
    </row>
    <row r="44" spans="2:18" ht="15" hidden="1" customHeight="1" x14ac:dyDescent="0.25">
      <c r="B44" s="49" t="s">
        <v>88</v>
      </c>
      <c r="C44" s="56">
        <f>C8/100</f>
        <v>4.37</v>
      </c>
      <c r="D44" s="56">
        <f>E8/100</f>
        <v>0</v>
      </c>
      <c r="E44" s="56">
        <f>MAX(C44:D44,0)</f>
        <v>4.37</v>
      </c>
      <c r="G44" s="1" t="str">
        <f>B44</f>
        <v>per 100 referrals</v>
      </c>
      <c r="L44" s="57">
        <v>100</v>
      </c>
      <c r="M44" s="57"/>
      <c r="R44" s="49"/>
    </row>
    <row r="45" spans="2:18" ht="15" hidden="1" customHeight="1" x14ac:dyDescent="0.25">
      <c r="B45" s="49" t="s">
        <v>89</v>
      </c>
      <c r="C45" s="49">
        <f>C11/100</f>
        <v>4.37</v>
      </c>
      <c r="D45" s="49">
        <f>E11/100</f>
        <v>0</v>
      </c>
      <c r="E45" s="56">
        <f>MAX(C45:D45,0)</f>
        <v>4.37</v>
      </c>
      <c r="G45" s="1" t="str">
        <f>B45</f>
        <v>per 100 youth petitioned</v>
      </c>
      <c r="L45" s="57">
        <v>100</v>
      </c>
      <c r="M45" s="57"/>
      <c r="R45" s="49"/>
    </row>
    <row r="46" spans="2:18" ht="15" hidden="1" customHeight="1" x14ac:dyDescent="0.25">
      <c r="B46" s="49" t="s">
        <v>90</v>
      </c>
      <c r="C46" s="49">
        <f>C12/100</f>
        <v>1.37</v>
      </c>
      <c r="D46" s="49">
        <f>E12/100</f>
        <v>0</v>
      </c>
      <c r="E46" s="56">
        <f>MAX(C46:D46)</f>
        <v>1.37</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52.667000000000002</v>
      </c>
      <c r="D48" s="56">
        <f>D42</f>
        <v>0.27500000000000002</v>
      </c>
      <c r="E48" s="56">
        <f>MAX(C48:D48)</f>
        <v>52.667000000000002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1.3</v>
      </c>
      <c r="D49" s="49">
        <f t="shared" si="9"/>
        <v>0</v>
      </c>
      <c r="E49" s="49">
        <f>MAX(C49:D49)</f>
        <v>1.3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4.37</v>
      </c>
      <c r="D50" s="49">
        <f t="shared" si="9"/>
        <v>0</v>
      </c>
      <c r="E50" s="49">
        <f>MAX(C50:D50)</f>
        <v>4.37</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4.37</v>
      </c>
      <c r="D51" s="49">
        <f>IF(($E45&gt;0),D45,D44)</f>
        <v>0</v>
      </c>
      <c r="E51" s="49">
        <f>MAX(C51:D51)</f>
        <v>4.37</v>
      </c>
      <c r="G51" s="1" t="str">
        <f>G45</f>
        <v>per 100 youth petitioned</v>
      </c>
      <c r="L51" s="58">
        <f>IF(($E45&gt;0),L45,L44)</f>
        <v>100</v>
      </c>
      <c r="M51" s="58"/>
    </row>
    <row r="52" spans="2:18" ht="15" hidden="1" customHeight="1" x14ac:dyDescent="0.25">
      <c r="B52" s="49" t="str">
        <f>IF(($E46&gt;0),B46,B45)</f>
        <v>per 100 youth found delinquent</v>
      </c>
      <c r="C52" s="49">
        <f>IF(($E46&gt;0),C46,C45)</f>
        <v>1.37</v>
      </c>
      <c r="D52" s="49">
        <f>IF(($E46&gt;0),D46,D45)</f>
        <v>0</v>
      </c>
      <c r="E52" s="56">
        <f>MAX(C52:D52)</f>
        <v>1.37</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52.667000000000002</v>
      </c>
      <c r="D54" s="56">
        <f>D48</f>
        <v>0.27500000000000002</v>
      </c>
      <c r="E54" s="56">
        <f>MAX(C54:D54)</f>
        <v>52.667000000000002</v>
      </c>
      <c r="G54" s="1" t="str">
        <f>G48</f>
        <v>per 1000 youth</v>
      </c>
      <c r="L54" s="58">
        <f>L48</f>
        <v>1000</v>
      </c>
      <c r="M54" s="58"/>
    </row>
    <row r="55" spans="2:18" ht="15" hidden="1" customHeight="1" x14ac:dyDescent="0.25">
      <c r="B55" s="49" t="str">
        <f t="shared" ref="B55:D56" si="10">IF(($E49&gt;0),B49,B48)</f>
        <v>per 100 arrests</v>
      </c>
      <c r="C55" s="49">
        <f t="shared" si="10"/>
        <v>1.3</v>
      </c>
      <c r="D55" s="49">
        <f t="shared" si="10"/>
        <v>0</v>
      </c>
      <c r="E55" s="49">
        <f>MAX(C55:D55)</f>
        <v>1.3</v>
      </c>
      <c r="G55" s="1" t="str">
        <f>G49</f>
        <v>per 100 arrests</v>
      </c>
      <c r="L55" s="58">
        <f>IF(($E49&gt;0),L49,L48)</f>
        <v>100</v>
      </c>
      <c r="M55" s="58"/>
    </row>
    <row r="56" spans="2:18" ht="15" hidden="1" customHeight="1" x14ac:dyDescent="0.25">
      <c r="B56" s="49" t="str">
        <f t="shared" si="10"/>
        <v>per 100 referrals</v>
      </c>
      <c r="C56" s="49">
        <f t="shared" si="10"/>
        <v>4.37</v>
      </c>
      <c r="D56" s="49">
        <f t="shared" si="10"/>
        <v>0</v>
      </c>
      <c r="E56" s="49">
        <f>MAX(C56:D56)</f>
        <v>4.37</v>
      </c>
      <c r="G56" s="1" t="str">
        <f>G50</f>
        <v>per 100 referrals</v>
      </c>
      <c r="L56" s="58">
        <f>IF(($E50&gt;0),L50,L49)</f>
        <v>100</v>
      </c>
      <c r="M56" s="58"/>
    </row>
    <row r="57" spans="2:18" ht="15" hidden="1" customHeight="1" x14ac:dyDescent="0.25">
      <c r="B57" s="49" t="str">
        <f>IF(($E51&gt;0),B51,B49)</f>
        <v>per 100 youth petitioned</v>
      </c>
      <c r="C57" s="49">
        <f>IF(($E51&gt;0),C51,C50)</f>
        <v>4.37</v>
      </c>
      <c r="D57" s="49">
        <f>IF(($E51&gt;0),D51,D50)</f>
        <v>0</v>
      </c>
      <c r="E57" s="49">
        <f>MAX(C57:D57)</f>
        <v>4.37</v>
      </c>
      <c r="G57" s="1" t="str">
        <f>G51</f>
        <v>per 100 youth petitioned</v>
      </c>
      <c r="L57" s="58">
        <f>IF(($E51&gt;0),L51,L50)</f>
        <v>100</v>
      </c>
      <c r="M57" s="58"/>
    </row>
    <row r="58" spans="2:18" ht="15" hidden="1" customHeight="1" x14ac:dyDescent="0.25">
      <c r="B58" s="49" t="str">
        <f>IF(($E52&gt;0),B52,B51)</f>
        <v>per 100 youth found delinquent</v>
      </c>
      <c r="C58" s="49">
        <f>IF(($E52&gt;0),C52,C51)</f>
        <v>1.37</v>
      </c>
      <c r="D58" s="49">
        <f>IF(($E52&gt;0),D52,D51)</f>
        <v>0</v>
      </c>
      <c r="E58" s="56">
        <f>MAX(C58:D58)</f>
        <v>1.37</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52.667000000000002</v>
      </c>
      <c r="D60" s="56">
        <f>D54</f>
        <v>0.27500000000000002</v>
      </c>
      <c r="E60" s="56">
        <f>MAX(C60:D60)</f>
        <v>52.667000000000002</v>
      </c>
      <c r="G60" s="1" t="str">
        <f>G54</f>
        <v>per 1000 youth</v>
      </c>
      <c r="L60" s="58">
        <f>L54</f>
        <v>1000</v>
      </c>
      <c r="M60" s="58"/>
    </row>
    <row r="61" spans="2:18" ht="15" hidden="1" customHeight="1" x14ac:dyDescent="0.25">
      <c r="B61" s="49" t="str">
        <f t="shared" ref="B61:D62" si="11">IF(($E55&gt;0),B55,B54)</f>
        <v>per 100 arrests</v>
      </c>
      <c r="C61" s="49">
        <f t="shared" si="11"/>
        <v>1.3</v>
      </c>
      <c r="D61" s="49">
        <f t="shared" si="11"/>
        <v>0</v>
      </c>
      <c r="E61" s="49">
        <f>MAX(C61:D61)</f>
        <v>1.3</v>
      </c>
      <c r="G61" s="1" t="str">
        <f>G55</f>
        <v>per 100 arrests</v>
      </c>
      <c r="L61" s="58">
        <f>IF(($E55&gt;0),L55,L54)</f>
        <v>100</v>
      </c>
      <c r="M61" s="58"/>
    </row>
    <row r="62" spans="2:18" ht="15" hidden="1" customHeight="1" x14ac:dyDescent="0.25">
      <c r="B62" s="49" t="str">
        <f t="shared" si="11"/>
        <v>per 100 referrals</v>
      </c>
      <c r="C62" s="49">
        <f t="shared" si="11"/>
        <v>4.37</v>
      </c>
      <c r="D62" s="49">
        <f t="shared" si="11"/>
        <v>0</v>
      </c>
      <c r="E62" s="49">
        <f>MAX(C62:D62)</f>
        <v>4.37</v>
      </c>
      <c r="G62" s="1" t="str">
        <f>G56</f>
        <v>per 100 referrals</v>
      </c>
      <c r="L62" s="58">
        <f>IF(($E56&gt;0),L56,L55)</f>
        <v>100</v>
      </c>
      <c r="M62" s="58"/>
    </row>
    <row r="63" spans="2:18" ht="15" hidden="1" customHeight="1" x14ac:dyDescent="0.25">
      <c r="B63" s="49" t="str">
        <f>IF(($E57&gt;0),B57,B55)</f>
        <v>per 100 youth petitioned</v>
      </c>
      <c r="C63" s="49">
        <f>IF(($E57&gt;0),C57,C56)</f>
        <v>4.37</v>
      </c>
      <c r="D63" s="49">
        <f>IF(($E57&gt;0),D57,D56)</f>
        <v>0</v>
      </c>
      <c r="E63" s="49">
        <f>MAX(C63:D63)</f>
        <v>4.37</v>
      </c>
      <c r="G63" s="1" t="str">
        <f>G57</f>
        <v>per 100 youth petitioned</v>
      </c>
      <c r="L63" s="58">
        <f>IF(($E57&gt;0),L57,L56)</f>
        <v>100</v>
      </c>
      <c r="M63" s="58"/>
    </row>
    <row r="64" spans="2:18" ht="15" hidden="1" customHeight="1" x14ac:dyDescent="0.25">
      <c r="B64" s="49" t="str">
        <f>IF(($E58&gt;0),B58,B57)</f>
        <v>per 100 youth found delinquent</v>
      </c>
      <c r="C64" s="49">
        <f>IF(($E58&gt;0),C58,C57)</f>
        <v>1.37</v>
      </c>
      <c r="D64" s="49">
        <f>IF(($E58&gt;0),D58,D57)</f>
        <v>0</v>
      </c>
      <c r="E64" s="56">
        <f>MAX(C64:D64)</f>
        <v>1.37</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52.667000000000002</v>
      </c>
      <c r="D66" s="56">
        <f>D60</f>
        <v>0.27500000000000002</v>
      </c>
      <c r="E66" s="56">
        <f>MAX(C66:D66)</f>
        <v>52.667000000000002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1.3</v>
      </c>
      <c r="D67" s="49">
        <f t="shared" si="12"/>
        <v>0</v>
      </c>
      <c r="E67" s="49">
        <f>MAX(C67:D67)</f>
        <v>1.3</v>
      </c>
      <c r="G67" s="1" t="str">
        <f>G61</f>
        <v>per 100 arrests</v>
      </c>
      <c r="L67" s="58">
        <f>IF(($E61&gt;0),L61,L60)</f>
        <v>100</v>
      </c>
      <c r="M67" s="58">
        <f>IF((B67=G67),1,2)</f>
        <v>1</v>
      </c>
    </row>
    <row r="68" spans="2:13" ht="15" hidden="1" customHeight="1" x14ac:dyDescent="0.25">
      <c r="B68" s="49" t="str">
        <f t="shared" si="12"/>
        <v>per 100 referrals</v>
      </c>
      <c r="C68" s="49">
        <f t="shared" si="12"/>
        <v>4.37</v>
      </c>
      <c r="D68" s="49">
        <f t="shared" si="12"/>
        <v>0</v>
      </c>
      <c r="E68" s="49">
        <f>MAX(C68:D68)</f>
        <v>4.37</v>
      </c>
      <c r="G68" s="1" t="str">
        <f>G62</f>
        <v>per 100 referrals</v>
      </c>
      <c r="L68" s="58">
        <f>IF(($E62&gt;0),L62,L61)</f>
        <v>100</v>
      </c>
      <c r="M68" s="58">
        <f>IF((B68=G68),1,2)</f>
        <v>1</v>
      </c>
    </row>
    <row r="69" spans="2:13" ht="15" hidden="1" customHeight="1" x14ac:dyDescent="0.25">
      <c r="B69" s="49" t="str">
        <f>IF(($E63&gt;0),B63,B61)</f>
        <v>per 100 youth petitioned</v>
      </c>
      <c r="C69" s="49">
        <f>IF(($E63&gt;0),C63,C62)</f>
        <v>4.37</v>
      </c>
      <c r="D69" s="49">
        <f>IF(($E63&gt;0),D63,D62)</f>
        <v>0</v>
      </c>
      <c r="E69" s="49">
        <f>MAX(C69:D69)</f>
        <v>4.37</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1.37</v>
      </c>
      <c r="D70" s="49">
        <f>IF(($E64&gt;0),D64,D63)</f>
        <v>0</v>
      </c>
      <c r="E70" s="56">
        <f>MAX(C70:D70)</f>
        <v>1.37</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U47JMPN4QEAR-1806752177-30194</_dlc_DocId>
    <_dlc_DocIdUrl xmlns="ac3811b5-0f3e-49e2-ba69-f2ffa0c782af">
      <Url>https://michiganphi.sharepoint.com/sites/CMDMC/_layouts/15/DocIdRedir.aspx?ID=U47JMPN4QEAR-1806752177-30194</Url>
      <Description>U47JMPN4QEAR-1806752177-30194</Description>
    </_dlc_DocIdUrl>
  </documentManagement>
</p:properties>
</file>

<file path=customXml/itemProps1.xml><?xml version="1.0" encoding="utf-8"?>
<ds:datastoreItem xmlns:ds="http://schemas.openxmlformats.org/officeDocument/2006/customXml" ds:itemID="{4B2E0BDC-3014-484A-AE7E-9855AF5CA739}"/>
</file>

<file path=customXml/itemProps2.xml><?xml version="1.0" encoding="utf-8"?>
<ds:datastoreItem xmlns:ds="http://schemas.openxmlformats.org/officeDocument/2006/customXml" ds:itemID="{B7117AED-D7E7-4F4E-997A-3831BB9851C5}"/>
</file>

<file path=customXml/itemProps3.xml><?xml version="1.0" encoding="utf-8"?>
<ds:datastoreItem xmlns:ds="http://schemas.openxmlformats.org/officeDocument/2006/customXml" ds:itemID="{4C2FABB6-1FBE-4D2C-99DA-3DFEE3E73691}"/>
</file>

<file path=customXml/itemProps4.xml><?xml version="1.0" encoding="utf-8"?>
<ds:datastoreItem xmlns:ds="http://schemas.openxmlformats.org/officeDocument/2006/customXml" ds:itemID="{636E44CC-3564-415B-BF02-EAD428CC1A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f89031f9-0d9e-485d-8975-ff40b9ce1c79</vt:lpwstr>
  </property>
</Properties>
</file>