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D5CAD488-2CCA-4601-AD0E-7D61C5F96631}" xr6:coauthVersionLast="47" xr6:coauthVersionMax="47" xr10:uidLastSave="{9E19D553-8AC6-41BB-946E-1443D577DD8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2"/>
  <c r="M66" i="2"/>
  <c r="F27" i="4"/>
  <c r="M66" i="4"/>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O25" i="5" s="1"/>
  <c r="D43" i="6"/>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4" i="6"/>
  <c r="C50" i="6" s="1"/>
  <c r="E43" i="7"/>
  <c r="D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E51" i="2" s="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E58" i="5" l="1"/>
  <c r="C55" i="5"/>
  <c r="B55" i="5"/>
  <c r="L58" i="8"/>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B57" i="5"/>
  <c r="C57" i="5"/>
  <c r="C66" i="6"/>
  <c r="E60" i="6"/>
  <c r="C66" i="2"/>
  <c r="E60" i="2"/>
  <c r="E56" i="6"/>
  <c r="E55" i="6"/>
  <c r="E55" i="7"/>
  <c r="E58" i="7"/>
  <c r="C64" i="5" l="1"/>
  <c r="B64" i="5"/>
  <c r="L64" i="5"/>
  <c r="E58" i="8"/>
  <c r="L64" i="8" s="1"/>
  <c r="L64" i="3"/>
  <c r="C57" i="8"/>
  <c r="B56" i="8"/>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57" i="8"/>
  <c r="C63" i="8" s="1"/>
  <c r="I7" i="9"/>
  <c r="Q8" i="13"/>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63" i="8" l="1"/>
  <c r="E64" i="8"/>
  <c r="L70" i="8" s="1"/>
  <c r="D63" i="8"/>
  <c r="E63" i="8" s="1"/>
  <c r="D69" i="8" s="1"/>
  <c r="L70" i="6"/>
  <c r="C70" i="6"/>
  <c r="D13" i="6" s="1"/>
  <c r="C70" i="3"/>
  <c r="D14" i="3" s="1"/>
  <c r="D70" i="6"/>
  <c r="F13" i="6" s="1"/>
  <c r="E63" i="3"/>
  <c r="C69" i="3" s="1"/>
  <c r="D12" i="3"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D14"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3" l="1"/>
  <c r="C70" i="8"/>
  <c r="Q13" i="8" s="1"/>
  <c r="D70" i="8"/>
  <c r="F13" i="8" s="1"/>
  <c r="Q13" i="6"/>
  <c r="Q14" i="6"/>
  <c r="L69" i="3"/>
  <c r="Q12" i="3" s="1"/>
  <c r="D15" i="3"/>
  <c r="F14" i="3"/>
  <c r="B69" i="6"/>
  <c r="M69" i="6" s="1"/>
  <c r="Q14" i="3"/>
  <c r="D13" i="3"/>
  <c r="E69" i="7"/>
  <c r="Q13" i="3"/>
  <c r="K13" i="3" s="1"/>
  <c r="E70" i="3"/>
  <c r="F34" i="3"/>
  <c r="B69" i="3"/>
  <c r="M69" i="3" s="1"/>
  <c r="D15" i="7"/>
  <c r="Q15" i="7"/>
  <c r="F14" i="6"/>
  <c r="O13" i="6"/>
  <c r="O14" i="6"/>
  <c r="E70" i="6"/>
  <c r="F33" i="3"/>
  <c r="D69" i="3"/>
  <c r="E69" i="3" s="1"/>
  <c r="Q12" i="7"/>
  <c r="C69" i="6"/>
  <c r="D12" i="6" s="1"/>
  <c r="F12" i="7"/>
  <c r="O12" i="7"/>
  <c r="O15" i="7"/>
  <c r="O14" i="3"/>
  <c r="D69" i="6"/>
  <c r="F12" i="6" s="1"/>
  <c r="T10" i="3"/>
  <c r="K10" i="4"/>
  <c r="F8" i="7"/>
  <c r="T9" i="4"/>
  <c r="T11" i="4"/>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D13" i="8"/>
  <c r="K14" i="5"/>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4" i="8" l="1"/>
  <c r="U10" i="5"/>
  <c r="J10" i="5" s="1"/>
  <c r="M10" i="5" s="1"/>
  <c r="T13" i="6"/>
  <c r="Q15" i="3"/>
  <c r="O14" i="8"/>
  <c r="R14" i="8" s="1"/>
  <c r="S14" i="8" s="1"/>
  <c r="F14" i="8"/>
  <c r="E70" i="8"/>
  <c r="O13" i="8"/>
  <c r="R13" i="8" s="1"/>
  <c r="S13" i="8" s="1"/>
  <c r="U13" i="8" s="1"/>
  <c r="J13" i="8" s="1"/>
  <c r="M13" i="8" s="1"/>
  <c r="G13" i="8" s="1"/>
  <c r="K14" i="16" s="1"/>
  <c r="U10" i="4"/>
  <c r="J10" i="4" s="1"/>
  <c r="M10" i="4" s="1"/>
  <c r="G10" i="4" s="1"/>
  <c r="G11" i="16" s="1"/>
  <c r="T13" i="3"/>
  <c r="R13" i="3"/>
  <c r="S13" i="3" s="1"/>
  <c r="U13" i="3" s="1"/>
  <c r="J13" i="3" s="1"/>
  <c r="M13" i="3" s="1"/>
  <c r="G13" i="3" s="1"/>
  <c r="O12" i="3"/>
  <c r="R12" i="3" s="1"/>
  <c r="S12" i="3" s="1"/>
  <c r="U12" i="3" s="1"/>
  <c r="J12" i="3" s="1"/>
  <c r="K15" i="7"/>
  <c r="F15" i="3"/>
  <c r="R14" i="6"/>
  <c r="S14" i="6" s="1"/>
  <c r="F35" i="6"/>
  <c r="R14" i="3"/>
  <c r="S14" i="3" s="1"/>
  <c r="U14" i="3" s="1"/>
  <c r="J14" i="3" s="1"/>
  <c r="M14" i="3" s="1"/>
  <c r="G14" i="3" s="1"/>
  <c r="I15" i="16" s="1"/>
  <c r="F32" i="6"/>
  <c r="T14" i="6"/>
  <c r="R15" i="7"/>
  <c r="S15" i="7" s="1"/>
  <c r="U15" i="7" s="1"/>
  <c r="J15" i="7" s="1"/>
  <c r="M15" i="7" s="1"/>
  <c r="R12" i="7"/>
  <c r="S12" i="7" s="1"/>
  <c r="U12" i="7" s="1"/>
  <c r="J12" i="7" s="1"/>
  <c r="K12" i="7"/>
  <c r="O15" i="3"/>
  <c r="T15" i="3" s="1"/>
  <c r="R13" i="6"/>
  <c r="S13" i="6" s="1"/>
  <c r="U13" i="6" s="1"/>
  <c r="J13" i="6" s="1"/>
  <c r="M13" i="6" s="1"/>
  <c r="G13" i="6" s="1"/>
  <c r="G13" i="9" s="1"/>
  <c r="F32" i="3"/>
  <c r="K14" i="6"/>
  <c r="T15" i="7"/>
  <c r="F35" i="3"/>
  <c r="K13" i="6"/>
  <c r="T12" i="7"/>
  <c r="Q15" i="6"/>
  <c r="Q12" i="6"/>
  <c r="F12" i="3"/>
  <c r="O15" i="6"/>
  <c r="O12" i="6"/>
  <c r="E69" i="6"/>
  <c r="D15" i="6"/>
  <c r="K14" i="3"/>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F35" i="5"/>
  <c r="F12" i="5"/>
  <c r="M69" i="5"/>
  <c r="K8" i="2"/>
  <c r="M70" i="2"/>
  <c r="F9" i="7"/>
  <c r="O11" i="7"/>
  <c r="F34" i="2"/>
  <c r="O10" i="7"/>
  <c r="F11" i="7"/>
  <c r="O9" i="7"/>
  <c r="R9" i="7" s="1"/>
  <c r="S9" i="7" s="1"/>
  <c r="L11" i="3"/>
  <c r="P12" i="16" s="1"/>
  <c r="E69" i="5"/>
  <c r="K12" i="3"/>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0" i="5" l="1"/>
  <c r="Q11" i="16" s="1"/>
  <c r="T14" i="8"/>
  <c r="K14" i="8"/>
  <c r="L10" i="4"/>
  <c r="O11" i="16" s="1"/>
  <c r="G11" i="13"/>
  <c r="T13" i="8"/>
  <c r="U14" i="6"/>
  <c r="J14" i="6" s="1"/>
  <c r="M14" i="6" s="1"/>
  <c r="G14" i="6" s="1"/>
  <c r="M15" i="13" s="1"/>
  <c r="K13" i="8"/>
  <c r="L13" i="8" s="1"/>
  <c r="L13" i="3"/>
  <c r="P14" i="16" s="1"/>
  <c r="I13" i="9"/>
  <c r="Q14" i="13"/>
  <c r="D10" i="9"/>
  <c r="E14" i="9"/>
  <c r="I15" i="13"/>
  <c r="L12" i="7"/>
  <c r="S13" i="16" s="1"/>
  <c r="M12" i="7"/>
  <c r="L14" i="3"/>
  <c r="P15" i="16" s="1"/>
  <c r="L15" i="7"/>
  <c r="S16" i="16" s="1"/>
  <c r="N30" i="3"/>
  <c r="K15" i="6"/>
  <c r="K15" i="3"/>
  <c r="R15" i="3"/>
  <c r="S15" i="3" s="1"/>
  <c r="U15" i="3" s="1"/>
  <c r="J15" i="3" s="1"/>
  <c r="M15" i="3" s="1"/>
  <c r="G15" i="3" s="1"/>
  <c r="I16" i="16" s="1"/>
  <c r="T15" i="6"/>
  <c r="M14" i="13"/>
  <c r="T12" i="6"/>
  <c r="L13" i="6"/>
  <c r="R14" i="16" s="1"/>
  <c r="R15" i="6"/>
  <c r="S15" i="6" s="1"/>
  <c r="U15" i="6" s="1"/>
  <c r="J15" i="6" s="1"/>
  <c r="M15" i="6" s="1"/>
  <c r="G15" i="6" s="1"/>
  <c r="U14" i="8"/>
  <c r="J14" i="8" s="1"/>
  <c r="N30" i="8" s="1"/>
  <c r="K12" i="6"/>
  <c r="R12" i="6"/>
  <c r="S12" i="6" s="1"/>
  <c r="M13" i="9"/>
  <c r="U14" i="13"/>
  <c r="U12" i="13"/>
  <c r="M11" i="9"/>
  <c r="R12" i="8"/>
  <c r="S12" i="8" s="1"/>
  <c r="T13" i="2"/>
  <c r="U8" i="6"/>
  <c r="J8" i="6" s="1"/>
  <c r="M8" i="6" s="1"/>
  <c r="G8" i="6" s="1"/>
  <c r="M9" i="13" s="1"/>
  <c r="R13" i="2"/>
  <c r="S13" i="2" s="1"/>
  <c r="U13" i="2" s="1"/>
  <c r="J13" i="2" s="1"/>
  <c r="M13" i="2" s="1"/>
  <c r="G13" i="2" s="1"/>
  <c r="E14" i="16" s="1"/>
  <c r="T15" i="8"/>
  <c r="V11" i="13"/>
  <c r="T12" i="8"/>
  <c r="K12" i="8"/>
  <c r="R10" i="7"/>
  <c r="S10" i="7" s="1"/>
  <c r="U10" i="7" s="1"/>
  <c r="J10" i="7" s="1"/>
  <c r="T11" i="7"/>
  <c r="T10" i="7"/>
  <c r="L8" i="2"/>
  <c r="N9" i="16" s="1"/>
  <c r="K13" i="2"/>
  <c r="R15" i="5"/>
  <c r="S15" i="5" s="1"/>
  <c r="U15" i="5" s="1"/>
  <c r="J15" i="5" s="1"/>
  <c r="M15" i="5" s="1"/>
  <c r="K11" i="7"/>
  <c r="K15" i="8"/>
  <c r="T9" i="7"/>
  <c r="N10" i="9"/>
  <c r="R11" i="7"/>
  <c r="S11" i="7" s="1"/>
  <c r="U11" i="7" s="1"/>
  <c r="J11" i="7" s="1"/>
  <c r="K12" i="5"/>
  <c r="T12" i="5"/>
  <c r="U12" i="5" s="1"/>
  <c r="J12" i="5" s="1"/>
  <c r="M12" i="5" s="1"/>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2" i="6" l="1"/>
  <c r="J12" i="6" s="1"/>
  <c r="M12" i="6" s="1"/>
  <c r="G12" i="6" s="1"/>
  <c r="L12" i="5"/>
  <c r="Q13" i="16" s="1"/>
  <c r="Q12" i="9"/>
  <c r="N30" i="6"/>
  <c r="V14" i="13"/>
  <c r="N13" i="9"/>
  <c r="L14" i="6"/>
  <c r="R15" i="16" s="1"/>
  <c r="G14" i="9"/>
  <c r="T14" i="16"/>
  <c r="Z14" i="13"/>
  <c r="R13" i="9"/>
  <c r="Q15" i="9"/>
  <c r="L15" i="3"/>
  <c r="P16" i="16" s="1"/>
  <c r="I16" i="13"/>
  <c r="E15" i="9"/>
  <c r="V15" i="13"/>
  <c r="Y13" i="13"/>
  <c r="N14" i="9"/>
  <c r="Y16" i="13"/>
  <c r="X14" i="13"/>
  <c r="L14" i="8"/>
  <c r="T15" i="16" s="1"/>
  <c r="P13" i="9"/>
  <c r="L15" i="6"/>
  <c r="R16" i="16" s="1"/>
  <c r="M14" i="8"/>
  <c r="G14" i="8" s="1"/>
  <c r="K15" i="16" s="1"/>
  <c r="U12" i="8"/>
  <c r="J12" i="8" s="1"/>
  <c r="L12" i="8" s="1"/>
  <c r="T13" i="16" s="1"/>
  <c r="L8" i="6"/>
  <c r="R9" i="16" s="1"/>
  <c r="L10" i="7"/>
  <c r="S11" i="16" s="1"/>
  <c r="L15" i="5"/>
  <c r="Q16" i="16" s="1"/>
  <c r="T9" i="13"/>
  <c r="L8" i="9"/>
  <c r="G8" i="9"/>
  <c r="Q14" i="9"/>
  <c r="Y15" i="13"/>
  <c r="Y14" i="13"/>
  <c r="E9" i="13"/>
  <c r="Q13" i="9"/>
  <c r="L10" i="2"/>
  <c r="N11" i="16" s="1"/>
  <c r="M10" i="7"/>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W13" i="13" l="1"/>
  <c r="L12" i="6"/>
  <c r="R13" i="16" s="1"/>
  <c r="V16" i="13"/>
  <c r="P14" i="9"/>
  <c r="X15" i="13"/>
  <c r="N15" i="9"/>
  <c r="P15" i="9"/>
  <c r="Z15" i="13"/>
  <c r="R14" i="9"/>
  <c r="X16" i="13"/>
  <c r="I14" i="9"/>
  <c r="Q15" i="13"/>
  <c r="M12" i="8"/>
  <c r="G12" i="8" s="1"/>
  <c r="K13" i="1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P12" i="9" l="1"/>
  <c r="X13" i="13"/>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<sst xmlns="http://schemas.openxmlformats.org/spreadsheetml/2006/main" count="654" uniqueCount="141">
  <si>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</si>
  <si>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</si>
  <si>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</si>
  <si>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</si>
  <si>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</si>
  <si>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</si>
  <si>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</si>
  <si>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</si>
  <si>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</si>
  <si>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</si>
  <si>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</si>
  <si>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</si>
  <si>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</si>
  <si>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</si>
  <si>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</si>
  <si>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</si>
  <si>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</si>
  <si>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</si>
  <si>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</si>
  <si>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</si>
  <si>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</si>
  <si>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</si>
  <si>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</si>
  <si>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</si>
  <si>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</si>
  <si>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</si>
  <si>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</si>
  <si>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</si>
  <si>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</si>
  <si>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</si>
  <si>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</si>
  <si>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</si>
  <si>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</si>
  <si>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</si>
  <si>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</si>
  <si>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</si>
  <si>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</si>
  <si>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</si>
  <si>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</si>
  <si>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</si>
  <si>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</si>
  <si>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</si>
  <si>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</si>
  <si>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</si>
  <si>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</si>
  <si>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</si>
  <si>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</si>
  <si>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</si>
  <si>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</si>
  <si>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</si>
  <si>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</si>
  <si>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</si>
  <si>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</si>
  <si>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</si>
  <si>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</si>
  <si>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</si>
  <si>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</si>
  <si>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</si>
  <si>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</si>
  <si>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</si>
  <si>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</si>
  <si>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</si>
  <si>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</si>
  <si>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</si>
  <si>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</si>
  <si>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</si>
  <si>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</si>
  <si>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</si>
  <si>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</si>
  <si>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</si>
  <si>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</si>
  <si>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</si>
  <si>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</si>
  <si>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</si>
  <si>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</si>
  <si>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</si>
  <si>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</si>
  <si>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</si>
  <si>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</si>
  <si>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</si>
  <si>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</si>
  <si>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</si>
  <si>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</si>
  <si>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</si>
  <si>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</si>
  <si>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</si>
  <si>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</si>
  <si>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</si>
  <si>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</si>
  <si>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</si>
  <si>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</si>
  <si>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</si>
  <si>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</si>
  <si>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</si>
  <si>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</si>
  <si>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</si>
  <si>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</si>
  <si>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</si>
  <si>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</si>
  <si>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</si>
  <si>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</si>
  <si>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</si>
  <si>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</si>
  <si>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</si>
  <si>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</si>
  <si>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</si>
  <si>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</si>
  <si>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</si>
  <si>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</si>
  <si>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</si>
  <si>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</si>
  <si>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</si>
  <si>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</si>
  <si>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</si>
  <si>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</si>
  <si>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</si>
  <si>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</si>
  <si>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</si>
  <si>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</si>
  <si>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</si>
  <si>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</si>
  <si>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</si>
  <si>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</si>
  <si>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</si>
  <si>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</si>
  <si>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</si>
  <si>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</si>
  <si>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</si>
  <si>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</si>
  <si>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</si>
  <si>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</si>
  <si>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</si>
  <si>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</si>
  <si>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</si>
  <si>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</si>
  <si>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</si>
  <si>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Mackinac</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</si>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</sst>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Mackinac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N=4</c:v>
                </c:pt>
                <c:pt idx="4">
                  <c:v>Detentions, total N=0</c:v>
                </c:pt>
                <c:pt idx="5">
                  <c:v>Referrals, total N=16</c:v>
                </c:pt>
                <c:pt idx="6">
                  <c:v>Arrests, total N=7</c:v>
                </c:pt>
                <c:pt idx="7">
                  <c:v>Population, total N=774</c:v>
                </c:pt>
              </c:strCache>
            </c:strRef>
          </c:cat>
          <c:val>
            <c:numRef>
              <c:f>'Stacked 100%'!$B$7:$B$14</c:f>
              <c:numCache>
                <c:formatCode>0%</c:formatCode>
                <c:ptCount val="8"/>
                <c:pt idx="0">
                  <c:v>0</c:v>
                </c:pt>
                <c:pt idx="1">
                  <c:v>0</c:v>
                </c:pt>
                <c:pt idx="2">
                  <c:v>0</c:v>
                </c:pt>
                <c:pt idx="3">
                  <c:v>0</c:v>
                </c:pt>
                <c:pt idx="4">
                  <c:v>0</c:v>
                </c:pt>
                <c:pt idx="5">
                  <c:v>0</c:v>
                </c:pt>
                <c:pt idx="6">
                  <c:v>0</c:v>
                </c:pt>
                <c:pt idx="7">
                  <c:v>3.875968992248062E-2</c:v>
                </c:pt>
              </c:numCache>
            </c:numRef>
          </c:val>
          <c:extLst>
            <c:ext xmlns:c16="http://schemas.microsoft.com/office/drawing/2014/chart" uri="{C3380CC4-5D6E-409C-BE32-E72D297353CC}">
              <c16:uniqueId val="{00000000-4391-4035-8BA2-17B92533B7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N=4</c:v>
                </c:pt>
                <c:pt idx="4">
                  <c:v>Detentions, total N=0</c:v>
                </c:pt>
                <c:pt idx="5">
                  <c:v>Referrals, total N=16</c:v>
                </c:pt>
                <c:pt idx="6">
                  <c:v>Arrests, total N=7</c:v>
                </c:pt>
                <c:pt idx="7">
                  <c:v>Population, total N=774</c:v>
                </c:pt>
              </c:strCache>
            </c:strRef>
          </c:cat>
          <c:val>
            <c:numRef>
              <c:f>'Stacked 100%'!$C$7:$C$14</c:f>
              <c:numCache>
                <c:formatCode>0%</c:formatCode>
                <c:ptCount val="8"/>
                <c:pt idx="0">
                  <c:v>0</c:v>
                </c:pt>
                <c:pt idx="1">
                  <c:v>0</c:v>
                </c:pt>
                <c:pt idx="2">
                  <c:v>0.5</c:v>
                </c:pt>
                <c:pt idx="3">
                  <c:v>0.25</c:v>
                </c:pt>
                <c:pt idx="4">
                  <c:v>0</c:v>
                </c:pt>
                <c:pt idx="5">
                  <c:v>6.25E-2</c:v>
                </c:pt>
                <c:pt idx="6">
                  <c:v>0</c:v>
                </c:pt>
                <c:pt idx="7">
                  <c:v>6.589147286821706E-2</c:v>
                </c:pt>
              </c:numCache>
            </c:numRef>
          </c:val>
          <c:extLst>
            <c:ext xmlns:c16="http://schemas.microsoft.com/office/drawing/2014/chart" uri="{C3380CC4-5D6E-409C-BE32-E72D297353CC}">
              <c16:uniqueId val="{00000001-4391-4035-8BA2-17B92533B7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c:v>
                </c:pt>
                <c:pt idx="3">
                  <c:v>Petitions, total N=4</c:v>
                </c:pt>
                <c:pt idx="4">
                  <c:v>Detentions, total N=0</c:v>
                </c:pt>
                <c:pt idx="5">
                  <c:v>Referrals, total N=16</c:v>
                </c:pt>
                <c:pt idx="6">
                  <c:v>Arrests, total N=7</c:v>
                </c:pt>
                <c:pt idx="7">
                  <c:v>Population, total N=774</c:v>
                </c:pt>
              </c:strCache>
            </c:strRef>
          </c:cat>
          <c:val>
            <c:numRef>
              <c:f>'Stacked 100%'!$H$7:$H$14</c:f>
              <c:numCache>
                <c:formatCode>0%</c:formatCode>
                <c:ptCount val="8"/>
                <c:pt idx="0">
                  <c:v>0</c:v>
                </c:pt>
                <c:pt idx="1">
                  <c:v>0</c:v>
                </c:pt>
                <c:pt idx="2">
                  <c:v>0</c:v>
                </c:pt>
                <c:pt idx="3">
                  <c:v>0</c:v>
                </c:pt>
                <c:pt idx="4">
                  <c:v>0</c:v>
                </c:pt>
                <c:pt idx="5">
                  <c:v>7.8125E-3</c:v>
                </c:pt>
                <c:pt idx="6">
                  <c:v>2.0408163265306121E-2</c:v>
                </c:pt>
                <c:pt idx="7">
                  <c:v>3.4386288217187804E-4</c:v>
                </c:pt>
              </c:numCache>
            </c:numRef>
          </c:val>
          <c:extLst>
            <c:ext xmlns:c16="http://schemas.microsoft.com/office/drawing/2014/chart" uri="{C3380CC4-5D6E-409C-BE32-E72D297353CC}">
              <c16:uniqueId val="{00000002-4391-4035-8BA2-17B92533B7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N=4</c:v>
                </c:pt>
                <c:pt idx="4">
                  <c:v>Detentions, total N=0</c:v>
                </c:pt>
                <c:pt idx="5">
                  <c:v>Referrals, total N=16</c:v>
                </c:pt>
                <c:pt idx="6">
                  <c:v>Arrests, total N=7</c:v>
                </c:pt>
                <c:pt idx="7">
                  <c:v>Population, total N=774</c:v>
                </c:pt>
              </c:strCache>
            </c:strRef>
          </c:cat>
          <c:val>
            <c:numRef>
              <c:f>'Stacked 100%'!$I$7:$I$14</c:f>
              <c:numCache>
                <c:formatCode>0%</c:formatCode>
                <c:ptCount val="8"/>
                <c:pt idx="0">
                  <c:v>0</c:v>
                </c:pt>
                <c:pt idx="1">
                  <c:v>0</c:v>
                </c:pt>
                <c:pt idx="2">
                  <c:v>0</c:v>
                </c:pt>
                <c:pt idx="3">
                  <c:v>0.5</c:v>
                </c:pt>
                <c:pt idx="4">
                  <c:v>0</c:v>
                </c:pt>
                <c:pt idx="5">
                  <c:v>0.6875</c:v>
                </c:pt>
                <c:pt idx="6">
                  <c:v>0.8571428571428571</c:v>
                </c:pt>
                <c:pt idx="7">
                  <c:v>0.62919896640826878</c:v>
                </c:pt>
              </c:numCache>
            </c:numRef>
          </c:val>
          <c:extLst>
            <c:ext xmlns:c16="http://schemas.microsoft.com/office/drawing/2014/chart" uri="{C3380CC4-5D6E-409C-BE32-E72D297353CC}">
              <c16:uniqueId val="{00000003-4391-4035-8BA2-17B92533B7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c:v>
                </c:pt>
                <c:pt idx="3">
                  <c:v>Petitions, total N=4</c:v>
                </c:pt>
                <c:pt idx="4">
                  <c:v>Detentions, total N=0</c:v>
                </c:pt>
                <c:pt idx="5">
                  <c:v>Referrals, total N=16</c:v>
                </c:pt>
                <c:pt idx="6">
                  <c:v>Arrests, total N=7</c:v>
                </c:pt>
                <c:pt idx="7">
                  <c:v>Population, total N=774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391-4035-8BA2-17B92533B7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774</v>
      </c>
      <c r="C6" s="11">
        <v>487</v>
      </c>
      <c r="D6" s="11">
        <v>30</v>
      </c>
      <c r="E6" s="11">
        <v>51</v>
      </c>
      <c r="F6" s="11">
        <v>4</v>
      </c>
      <c r="G6" s="11"/>
      <c r="H6" s="11">
        <v>202</v>
      </c>
      <c r="I6" s="11"/>
      <c r="J6" s="91">
        <f>SUM(D6:I6)</f>
        <v>287</v>
      </c>
      <c r="K6" s="92"/>
    </row>
    <row r="7" spans="1:11" ht="15.75" customHeight="1" thickBot="1">
      <c r="A7" s="10" t="s">
        <v>8</v>
      </c>
      <c r="B7" s="11">
        <f t="shared" ref="B7:B15" si="0">SUM(C7:I7)+K7</f>
        <v>7</v>
      </c>
      <c r="C7" s="11">
        <v>6</v>
      </c>
      <c r="D7" s="11">
        <v>0</v>
      </c>
      <c r="E7" s="11">
        <v>0</v>
      </c>
      <c r="F7" s="11">
        <v>0</v>
      </c>
      <c r="G7" s="11">
        <v>0</v>
      </c>
      <c r="H7" s="11">
        <v>1</v>
      </c>
      <c r="I7" s="11"/>
      <c r="J7" s="91">
        <f t="shared" ref="J7:J15" si="1">SUM(D7:I7)</f>
        <v>1</v>
      </c>
      <c r="K7" s="92">
        <v>0</v>
      </c>
    </row>
    <row r="8" spans="1:11" ht="15.75" customHeight="1" thickBot="1">
      <c r="A8" s="10" t="s">
        <v>9</v>
      </c>
      <c r="B8" s="11">
        <f t="shared" si="0"/>
        <v>16</v>
      </c>
      <c r="C8" s="11">
        <v>11</v>
      </c>
      <c r="D8" s="11"/>
      <c r="E8" s="11">
        <v>1</v>
      </c>
      <c r="F8" s="11"/>
      <c r="G8" s="11"/>
      <c r="H8" s="11">
        <v>2</v>
      </c>
      <c r="I8" s="11"/>
      <c r="J8" s="91">
        <f t="shared" si="1"/>
        <v>3</v>
      </c>
      <c r="K8" s="92">
        <v>2</v>
      </c>
    </row>
    <row r="9" spans="1:11" ht="15.75" customHeight="1" thickBot="1">
      <c r="A9" s="10" t="s">
        <v>10</v>
      </c>
      <c r="B9" s="11">
        <f t="shared" si="0"/>
        <v>3</v>
      </c>
      <c r="C9" s="11">
        <v>2</v>
      </c>
      <c r="D9" s="11"/>
      <c r="E9" s="11"/>
      <c r="F9" s="11"/>
      <c r="G9" s="11"/>
      <c r="H9" s="11">
        <v>1</v>
      </c>
      <c r="I9" s="11"/>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v>
      </c>
      <c r="C11" s="11">
        <v>2</v>
      </c>
      <c r="D11" s="11"/>
      <c r="E11" s="11">
        <v>1</v>
      </c>
      <c r="F11" s="11"/>
      <c r="G11" s="11"/>
      <c r="H11" s="11"/>
      <c r="I11" s="11"/>
      <c r="J11" s="91">
        <f t="shared" si="1"/>
        <v>1</v>
      </c>
      <c r="K11" s="92">
        <v>1</v>
      </c>
    </row>
    <row r="12" spans="1:11" ht="15.75" customHeight="1" thickBot="1">
      <c r="A12" s="10" t="s">
        <v>13</v>
      </c>
      <c r="B12" s="11">
        <f t="shared" si="0"/>
        <v>2</v>
      </c>
      <c r="C12" s="11"/>
      <c r="D12" s="11"/>
      <c r="E12" s="11">
        <v>1</v>
      </c>
      <c r="F12" s="11"/>
      <c r="G12" s="11"/>
      <c r="H12" s="11"/>
      <c r="I12" s="11"/>
      <c r="J12" s="91">
        <f t="shared" si="1"/>
        <v>1</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481</v>
      </c>
      <c r="R7" s="42">
        <f t="shared" ref="R7:R15" si="5">SUM(N7:Q7)</f>
        <v>487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v>
      </c>
      <c r="D8" s="34">
        <f>IF((AND(C67&gt;0,C8&gt;0)),(C8/C67),0)</f>
        <v>183.33333333333334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v>
      </c>
      <c r="Q8" s="42">
        <f>(C$67*L67)-C8</f>
        <v>-5</v>
      </c>
      <c r="R8" s="42">
        <f t="shared" si="5"/>
        <v>6.0500000000000007</v>
      </c>
      <c r="S8" s="30">
        <f t="shared" si="6"/>
        <v>1.8301250000000004</v>
      </c>
      <c r="T8" s="30">
        <f t="shared" si="7"/>
        <v>-16.335000000000004</v>
      </c>
      <c r="U8" s="31">
        <f t="shared" si="8"/>
        <v>-0.11203703703703703</v>
      </c>
    </row>
    <row r="9" spans="2:21" ht="18" customHeight="1">
      <c r="B9" s="32" t="str">
        <f>'Data Entry'!A9</f>
        <v xml:space="preserve">4. Cases Diverted </v>
      </c>
      <c r="C9" s="33">
        <f>'Data Entry'!C9</f>
        <v>2</v>
      </c>
      <c r="D9" s="34">
        <f>IF((AND(C68&gt;0,C9&gt;0)),((C9/C68)),0)</f>
        <v>18.181818181818183</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9</v>
      </c>
      <c r="R9" s="42">
        <f t="shared" si="5"/>
        <v>11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9</v>
      </c>
      <c r="R11" s="42">
        <f t="shared" si="5"/>
        <v>11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0</v>
      </c>
      <c r="E42" s="56">
        <f>MAX(C42:D42)</f>
        <v>0.48699999999999999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0.11</v>
      </c>
      <c r="D44" s="56">
        <f>E8/100</f>
        <v>0</v>
      </c>
      <c r="E44" s="56">
        <f>MAX(C44:D44,0)</f>
        <v>0.11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0</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0</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petitioned</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0</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petitioned</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0</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petitioned</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Entry'!J6</f>
        <v>287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Entry'!J7</f>
        <v>1</v>
      </c>
      <c r="F7" s="34">
        <f>IF((AND($E$7&gt;0,$D$66&gt;0)),($E$7/$D$66),0)</f>
        <v>3.4843205574912894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286</v>
      </c>
      <c r="P7" s="42">
        <f t="shared" ref="P7:P15" si="4">C7</f>
        <v>6</v>
      </c>
      <c r="Q7" s="42">
        <f>C6-C7</f>
        <v>481</v>
      </c>
      <c r="R7" s="42">
        <f t="shared" ref="R7:R15" si="5">SUM(N7:Q7)</f>
        <v>774</v>
      </c>
      <c r="S7" s="30">
        <f t="shared" ref="S7:S15" si="6">R7*((((N7*Q7)-(O7*P7))^2))</f>
        <v>1180524150</v>
      </c>
      <c r="T7" s="30">
        <f t="shared" ref="T7:T15" si="7">(N7+O7)*(P7+Q7)*(N7+P7)*(O7+Q7)</f>
        <v>750419761</v>
      </c>
      <c r="U7" s="31">
        <f t="shared" ref="U7:U15" si="8">IF((S7&gt;0),S7/T7,"- -")</f>
        <v>1.5731517363386702</v>
      </c>
    </row>
    <row r="8" spans="2:21" ht="18" customHeight="1">
      <c r="B8" s="32" t="str">
        <f>'Data Entry'!A8</f>
        <v>3. Refer to Juvenile Court</v>
      </c>
      <c r="C8" s="33">
        <f>'Data Entry'!C8</f>
        <v>11</v>
      </c>
      <c r="D8" s="34">
        <f>IF((AND(C67&gt;0,C8&gt;0)),(C8/C67),0)</f>
        <v>183.33333333333334</v>
      </c>
      <c r="E8" s="33">
        <f>'Data Entry'!J8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11</v>
      </c>
      <c r="Q8" s="42">
        <f>(C$67*L67)-C8</f>
        <v>-5</v>
      </c>
      <c r="R8" s="42">
        <f t="shared" si="5"/>
        <v>7.0500000000000007</v>
      </c>
      <c r="S8" s="30">
        <f t="shared" si="6"/>
        <v>293.29762499999998</v>
      </c>
      <c r="T8" s="30">
        <f t="shared" si="7"/>
        <v>-612.99000000000012</v>
      </c>
      <c r="U8" s="31">
        <f t="shared" si="8"/>
        <v>-0.47847048891499033</v>
      </c>
    </row>
    <row r="9" spans="2:21" ht="18" customHeight="1">
      <c r="B9" s="32" t="str">
        <f>'Data Entry'!A9</f>
        <v xml:space="preserve">4. Cases Diverted </v>
      </c>
      <c r="C9" s="33">
        <f>'Data Entry'!C9</f>
        <v>2</v>
      </c>
      <c r="D9" s="34">
        <f>IF((AND(C68&gt;0,C9&gt;0)),((C9/C68)),0)</f>
        <v>18.181818181818183</v>
      </c>
      <c r="E9" s="33">
        <f>'Data Entry'!J9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2</v>
      </c>
      <c r="Q9" s="42">
        <f>(C$68*L68)-C9</f>
        <v>9</v>
      </c>
      <c r="R9" s="42">
        <f t="shared" si="5"/>
        <v>14</v>
      </c>
      <c r="S9" s="30">
        <f t="shared" si="6"/>
        <v>350</v>
      </c>
      <c r="T9" s="30">
        <f t="shared" si="7"/>
        <v>1089</v>
      </c>
      <c r="U9" s="31">
        <f t="shared" si="8"/>
        <v>0.32139577594123048</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11</v>
      </c>
      <c r="R10" s="42">
        <f t="shared" si="5"/>
        <v>14</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Entry'!J11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2</v>
      </c>
      <c r="P11" s="42">
        <f t="shared" si="4"/>
        <v>2</v>
      </c>
      <c r="Q11" s="42">
        <f>(C$68*L68)-C11</f>
        <v>9</v>
      </c>
      <c r="R11" s="42">
        <f t="shared" si="5"/>
        <v>14</v>
      </c>
      <c r="S11" s="30">
        <f t="shared" si="6"/>
        <v>350</v>
      </c>
      <c r="T11" s="30">
        <f t="shared" si="7"/>
        <v>1089</v>
      </c>
      <c r="U11" s="31">
        <f t="shared" si="8"/>
        <v>0.32139577594123048</v>
      </c>
    </row>
    <row r="12" spans="2:21" ht="18" customHeight="1">
      <c r="B12" s="32" t="str">
        <f>'Data Entry'!A12</f>
        <v>7. Cases Resulting in Delinquent Findings</v>
      </c>
      <c r="C12" s="33">
        <f>'Data Entry'!C12</f>
        <v>0</v>
      </c>
      <c r="D12" s="34">
        <f>IF(((AND(C69&gt;0,C12&gt;0))),(C12/(C69)),0)</f>
        <v>0</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0</v>
      </c>
      <c r="Q12" s="42">
        <f>(C69*L69)-C12</f>
        <v>2</v>
      </c>
      <c r="R12" s="42">
        <f t="shared" si="5"/>
        <v>3</v>
      </c>
      <c r="S12" s="30">
        <f t="shared" si="6"/>
        <v>12</v>
      </c>
      <c r="T12" s="30">
        <f t="shared" si="7"/>
        <v>4</v>
      </c>
      <c r="U12" s="31">
        <f t="shared" si="8"/>
        <v>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0.28699999999999998</v>
      </c>
      <c r="E42" s="56">
        <f>MAX(C42:D42)</f>
        <v>0.48699999999999999</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0.11</v>
      </c>
      <c r="D44" s="56">
        <f>E8/100</f>
        <v>0.03</v>
      </c>
      <c r="E44" s="56">
        <f>MAX(C44:D44,0)</f>
        <v>0.11</v>
      </c>
      <c r="G44" s="1" t="str">
        <f>B44</f>
        <v>per 100 referrals</v>
      </c>
      <c r="L44" s="57">
        <v>100</v>
      </c>
      <c r="M44" s="57"/>
      <c r="R44" s="49"/>
    </row>
    <row r="45" spans="2:18" ht="15" hidden="1" customHeight="1">
      <c r="B45" s="49" t="s">
        <v>89</v>
      </c>
      <c r="C45" s="49">
        <f>C11/100</f>
        <v>0.02</v>
      </c>
      <c r="D45" s="49">
        <f>E11/100</f>
        <v>0.01</v>
      </c>
      <c r="E45" s="56">
        <f>MAX(C45:D45,0)</f>
        <v>0.02</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0.28699999999999998</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0.03</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0.28699999999999998</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0.03</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0.28699999999999998</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0.03</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0.28699999999999998</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0.03</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0.01</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Mackinac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f>Hispanic!L9</f>
        <v>40</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40</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774</v>
      </c>
      <c r="D3" s="57">
        <f>'Data Entry'!C6</f>
        <v>487</v>
      </c>
      <c r="E3" s="57">
        <f>'Data Entry'!D6</f>
        <v>30</v>
      </c>
      <c r="F3" s="57">
        <f>'Data Entry'!E6</f>
        <v>51</v>
      </c>
      <c r="G3" s="57">
        <f>'Data Entry'!F6</f>
        <v>4</v>
      </c>
      <c r="H3" s="57">
        <f>'Data Entry'!G6</f>
        <v>0</v>
      </c>
      <c r="I3" s="57">
        <f>'Data Entry'!H6</f>
        <v>202</v>
      </c>
      <c r="J3" s="57">
        <f>'Data Entry'!I6</f>
        <v>0</v>
      </c>
      <c r="K3" s="57">
        <f>'Data Entry'!J6</f>
        <v>287</v>
      </c>
    </row>
    <row r="4" spans="2:11" ht="15" customHeight="1">
      <c r="B4" s="16" t="s">
        <v>8</v>
      </c>
      <c r="C4" s="1">
        <f>IF((C$3&gt;0),(1000*('Data Entry'!B7/'Data Entry'!B$6)), 0)</f>
        <v>9.0439276485788103</v>
      </c>
      <c r="D4" s="1">
        <f>IF((D$3&gt;0),(1000*('Data Entry'!C7/'Data Entry'!C$6)), 0)</f>
        <v>12.320328542094456</v>
      </c>
      <c r="E4" s="1">
        <f>IF((E$3&gt;0),(1000*('Data Entry'!D7/'Data Entry'!D$6)), 0)</f>
        <v>0</v>
      </c>
      <c r="F4" s="1">
        <f>IF((F$3&gt;0),(1000*('Data Entry'!E7/'Data Entry'!E$6)), 0)</f>
        <v>0</v>
      </c>
      <c r="G4" s="1">
        <f>IF((G$3&gt;0),(1000*('Data Entry'!F7/'Data Entry'!F$6)), 0)</f>
        <v>0</v>
      </c>
      <c r="H4" s="1">
        <f>IF((H$3&gt;0),(1000*('Data Entry'!G7/'Data Entry'!G$6)), 0)</f>
        <v>0</v>
      </c>
      <c r="I4" s="1">
        <f>IF((I$3&gt;0),(1000*('Data Entry'!H7/'Data Entry'!H$6)), 0)</f>
        <v>4.9504950495049505</v>
      </c>
      <c r="J4" s="1">
        <f>IF((J$3&gt;0),(1000*('Data Entry'!I7/'Data Entry'!I$6)), 0)</f>
        <v>0</v>
      </c>
      <c r="K4" s="1">
        <f>IF((K$3&gt;0),(1000*('Data Entry'!J7/'Data Entry'!J$6)), 0)</f>
        <v>3.484320557491289</v>
      </c>
    </row>
    <row r="5" spans="2:11" ht="15" customHeight="1">
      <c r="B5" s="16" t="s">
        <v>9</v>
      </c>
      <c r="C5" s="1">
        <f>IF((C$3&gt;0),(1000*('Data Entry'!B8/'Data Entry'!B$6)), 0)</f>
        <v>20.671834625322997</v>
      </c>
      <c r="D5" s="1">
        <f>IF((D$3&gt;0),(1000*('Data Entry'!C8/'Data Entry'!C$6)), 0)</f>
        <v>22.587268993839839</v>
      </c>
      <c r="E5" s="1">
        <f>IF((E$3&gt;0),(1000*('Data Entry'!D8/'Data Entry'!D$6)), 0)</f>
        <v>0</v>
      </c>
      <c r="F5" s="1">
        <f>IF((F$3&gt;0),(1000*('Data Entry'!E8/'Data Entry'!E$6)), 0)</f>
        <v>19.607843137254903</v>
      </c>
      <c r="G5" s="1">
        <f>IF((G$3&gt;0),(1000*('Data Entry'!F8/'Data Entry'!F$6)), 0)</f>
        <v>0</v>
      </c>
      <c r="H5" s="1">
        <f>IF((H$3&gt;0),(1000*('Data Entry'!G8/'Data Entry'!G$6)), 0)</f>
        <v>0</v>
      </c>
      <c r="I5" s="1">
        <f>IF((I$3&gt;0),(1000*('Data Entry'!H8/'Data Entry'!H$6)), 0)</f>
        <v>9.9009900990099009</v>
      </c>
      <c r="J5" s="1">
        <f>IF((J$3&gt;0),(1000*('Data Entry'!I8/'Data Entry'!I$6)), 0)</f>
        <v>0</v>
      </c>
      <c r="K5" s="1">
        <f>IF((K$3&gt;0),(1000*('Data Entry'!J8/'Data Entry'!J$6)), 0)</f>
        <v>10.452961672473869</v>
      </c>
    </row>
    <row r="6" spans="2:11" ht="15" customHeight="1">
      <c r="B6" s="16" t="s">
        <v>10</v>
      </c>
      <c r="C6" s="1">
        <f>IF((C$3&gt;0),(1000*('Data Entry'!B9/'Data Entry'!B$6)), 0)</f>
        <v>3.8759689922480618</v>
      </c>
      <c r="D6" s="1">
        <f>IF((D$3&gt;0),(1000*('Data Entry'!C9/'Data Entry'!C$6)), 0)</f>
        <v>4.1067761806981524</v>
      </c>
      <c r="E6" s="1">
        <f>IF((E$3&gt;0),(1000*('Data Entry'!D9/'Data Entry'!D$6)), 0)</f>
        <v>0</v>
      </c>
      <c r="F6" s="1">
        <f>IF((F$3&gt;0),(1000*('Data Entry'!E9/'Data Entry'!E$6)), 0)</f>
        <v>0</v>
      </c>
      <c r="G6" s="1">
        <f>IF((G$3&gt;0),(1000*('Data Entry'!F9/'Data Entry'!F$6)), 0)</f>
        <v>0</v>
      </c>
      <c r="H6" s="1">
        <f>IF((H$3&gt;0),(1000*('Data Entry'!G9/'Data Entry'!G$6)), 0)</f>
        <v>0</v>
      </c>
      <c r="I6" s="1">
        <f>IF((I$3&gt;0),(1000*('Data Entry'!H9/'Data Entry'!H$6)), 0)</f>
        <v>4.9504950495049505</v>
      </c>
      <c r="J6" s="1">
        <f>IF((J$3&gt;0),(1000*('Data Entry'!I9/'Data Entry'!I$6)), 0)</f>
        <v>0</v>
      </c>
      <c r="K6" s="1">
        <f>IF((K$3&gt;0),(1000*('Data Entry'!J9/'Data Entry'!J$6)), 0)</f>
        <v>3.484320557491289</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5.1679586563307494</v>
      </c>
      <c r="D8" s="1">
        <f>IF((D$3&gt;0),(1000*('Data Entry'!C11/'Data Entry'!C$6)), 0)</f>
        <v>4.1067761806981524</v>
      </c>
      <c r="E8" s="1">
        <f>IF((E$3&gt;0),(1000*('Data Entry'!D11/'Data Entry'!D$6)), 0)</f>
        <v>0</v>
      </c>
      <c r="F8" s="1">
        <f>IF((F$3&gt;0),(1000*('Data Entry'!E11/'Data Entry'!E$6)), 0)</f>
        <v>19.607843137254903</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3.484320557491289</v>
      </c>
    </row>
    <row r="9" spans="2:11" ht="15" customHeight="1">
      <c r="B9" s="16" t="s">
        <v>13</v>
      </c>
      <c r="C9" s="1">
        <f>IF((C$3&gt;0),(1000*('Data Entry'!B12/'Data Entry'!B$6)), 0)</f>
        <v>2.5839793281653747</v>
      </c>
      <c r="D9" s="1">
        <f>IF((D$3&gt;0),(1000*('Data Entry'!C12/'Data Entry'!C$6)), 0)</f>
        <v>0</v>
      </c>
      <c r="E9" s="1">
        <f>IF((E$3&gt;0),(1000*('Data Entry'!D12/'Data Entry'!D$6)), 0)</f>
        <v>0</v>
      </c>
      <c r="F9" s="1">
        <f>IF((F$3&gt;0),(1000*('Data Entry'!E12/'Data Entry'!E$6)), 0)</f>
        <v>19.607843137254903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3.484320557491289</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Mackinac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0.40181518151815182</v>
      </c>
      <c r="I19" s="72" t="str">
        <f t="shared" si="1"/>
        <v>--</v>
      </c>
      <c r="J19" s="73">
        <f t="shared" si="1"/>
        <v>0.28281068524970959</v>
      </c>
    </row>
    <row r="20" spans="2:10" ht="15" customHeight="1">
      <c r="B20" s="71" t="s">
        <v>9</v>
      </c>
      <c r="C20" s="72">
        <f t="shared" ref="C20:J27" si="2">IF(AND(($D5&gt;0),(D5&gt;0)), (D5/$D5),"--")</f>
        <v>1</v>
      </c>
      <c r="D20" s="72" t="str">
        <f t="shared" si="2"/>
        <v>--</v>
      </c>
      <c r="E20" s="72">
        <f t="shared" si="2"/>
        <v>0.86809269162210334</v>
      </c>
      <c r="F20" s="72" t="str">
        <f t="shared" si="2"/>
        <v>--</v>
      </c>
      <c r="G20" s="72" t="str">
        <f t="shared" si="2"/>
        <v>--</v>
      </c>
      <c r="H20" s="72">
        <f t="shared" si="2"/>
        <v>0.43834383438343827</v>
      </c>
      <c r="I20" s="72" t="str">
        <f t="shared" si="2"/>
        <v>--</v>
      </c>
      <c r="J20" s="73">
        <f t="shared" si="2"/>
        <v>0.46278112131770666</v>
      </c>
    </row>
    <row r="21" spans="2:10" ht="15" customHeight="1">
      <c r="B21" s="71" t="s">
        <v>10</v>
      </c>
      <c r="C21" s="72">
        <f t="shared" si="2"/>
        <v>1</v>
      </c>
      <c r="D21" s="72" t="str">
        <f t="shared" si="2"/>
        <v>--</v>
      </c>
      <c r="E21" s="72" t="str">
        <f t="shared" si="2"/>
        <v>--</v>
      </c>
      <c r="F21" s="72" t="str">
        <f t="shared" si="2"/>
        <v>--</v>
      </c>
      <c r="G21" s="72" t="str">
        <f t="shared" si="2"/>
        <v>--</v>
      </c>
      <c r="H21" s="72">
        <f t="shared" si="2"/>
        <v>1.2054455445544554</v>
      </c>
      <c r="I21" s="72" t="str">
        <f t="shared" si="2"/>
        <v>--</v>
      </c>
      <c r="J21" s="73">
        <f t="shared" si="2"/>
        <v>0.84843205574912872</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f t="shared" si="2"/>
        <v>4.7745098039215685</v>
      </c>
      <c r="F23" s="72" t="str">
        <f t="shared" si="2"/>
        <v>--</v>
      </c>
      <c r="G23" s="72" t="str">
        <f t="shared" si="2"/>
        <v>--</v>
      </c>
      <c r="H23" s="72" t="str">
        <f t="shared" si="2"/>
        <v>--</v>
      </c>
      <c r="I23" s="72" t="str">
        <f t="shared" si="2"/>
        <v>--</v>
      </c>
      <c r="J23" s="73">
        <f t="shared" si="2"/>
        <v>0.84843205574912872</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Mackinac</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487</v>
      </c>
      <c r="D7" s="104">
        <f>'Data Entry'!D6</f>
        <v>30</v>
      </c>
      <c r="E7" s="105"/>
      <c r="F7" s="106">
        <f>'Data Entry'!E6</f>
        <v>51</v>
      </c>
      <c r="G7" s="105"/>
      <c r="H7" s="106">
        <f>'Data Entry'!F6</f>
        <v>4</v>
      </c>
      <c r="I7" s="105"/>
      <c r="J7" s="106">
        <f>'Data Entry'!G6</f>
        <v>0</v>
      </c>
      <c r="K7" s="105"/>
      <c r="L7" s="106">
        <f>'Data Entry'!H6</f>
        <v>202</v>
      </c>
      <c r="M7" s="105"/>
      <c r="N7" s="106">
        <f>'Data Entry'!I6</f>
        <v>0</v>
      </c>
      <c r="O7" s="105"/>
      <c r="P7" s="106">
        <f>'Data Entry'!J6</f>
        <v>287</v>
      </c>
      <c r="Q7" s="107"/>
    </row>
    <row r="8" spans="2:26" s="1" customFormat="1" ht="15" customHeight="1">
      <c r="B8" s="142" t="s">
        <v>8</v>
      </c>
      <c r="C8" s="103">
        <f>'Data Entry'!C7</f>
        <v>6</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11</v>
      </c>
      <c r="D9" s="108">
        <f>'Data Entry'!D8</f>
        <v>0</v>
      </c>
      <c r="E9" s="109" t="str">
        <f>'Black or African-American'!$G8</f>
        <v>**</v>
      </c>
      <c r="F9" s="110">
        <f>'Data Entry'!E8</f>
        <v>1</v>
      </c>
      <c r="G9" s="109" t="str">
        <f>Hispanic!G8</f>
        <v>**</v>
      </c>
      <c r="H9" s="110">
        <f>'Data Entry'!F8</f>
        <v>0</v>
      </c>
      <c r="I9" s="109" t="str">
        <f>Asian!G8</f>
        <v>*</v>
      </c>
      <c r="J9" s="110">
        <f>'Data Entry'!G8</f>
        <v>0</v>
      </c>
      <c r="K9" s="109" t="str">
        <f>Hawaiian!G8</f>
        <v>*</v>
      </c>
      <c r="L9" s="110">
        <f>'Data Entry'!H8</f>
        <v>2</v>
      </c>
      <c r="M9" s="109" t="str">
        <f>'Am Indian'!G8</f>
        <v>**</v>
      </c>
      <c r="N9" s="110">
        <f>'Data Entry'!I8</f>
        <v>0</v>
      </c>
      <c r="O9" s="109" t="str">
        <f>'Other - Mixed'!G8</f>
        <v>*</v>
      </c>
      <c r="P9" s="110">
        <f>'Data Entry'!J8</f>
        <v>3</v>
      </c>
      <c r="Q9" s="111" t="str">
        <f>'All Minorities'!G8</f>
        <v>**</v>
      </c>
      <c r="R9"/>
      <c r="T9" s="1">
        <f>'Black or African-American'!L8</f>
        <v>40</v>
      </c>
      <c r="U9" s="1">
        <f>Hispanic!L8</f>
        <v>20</v>
      </c>
      <c r="V9" s="1">
        <f>Asian!L8</f>
        <v>139</v>
      </c>
      <c r="W9" s="1">
        <f>Hawaiian!L8</f>
        <v>139</v>
      </c>
      <c r="X9" s="1">
        <f>'Am Indian'!L8</f>
        <v>40</v>
      </c>
      <c r="Y9" s="1">
        <f>'Other - Mixed'!L8</f>
        <v>139</v>
      </c>
      <c r="Z9" s="1">
        <f>'All Minorities'!L8</f>
        <v>40</v>
      </c>
    </row>
    <row r="10" spans="2:26" s="1" customFormat="1" ht="15" customHeight="1">
      <c r="B10" s="142"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1</v>
      </c>
      <c r="M10" s="113" t="str">
        <f>'Am Indian'!G9</f>
        <v>**</v>
      </c>
      <c r="N10" s="114">
        <f>'Data Entry'!I9</f>
        <v>0</v>
      </c>
      <c r="O10" s="113" t="str">
        <f>'Other - Mixed'!G9</f>
        <v>*</v>
      </c>
      <c r="P10" s="114">
        <f>'Data Entry'!J9</f>
        <v>1</v>
      </c>
      <c r="Q10" s="115" t="str">
        <f>'All Minorities'!G9</f>
        <v>**</v>
      </c>
      <c r="R10"/>
      <c r="T10" s="1" t="e">
        <f>'Black or African-American'!L9</f>
        <v>#VALUE!</v>
      </c>
      <c r="U10" s="1">
        <f>Hispanic!L9</f>
        <v>40</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v>
      </c>
      <c r="D12" s="112">
        <f>'Data Entry'!D11</f>
        <v>0</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t="e">
        <f>'Black or African-American'!L11</f>
        <v>#VALUE!</v>
      </c>
      <c r="U12" s="1">
        <f>Hispanic!L11</f>
        <v>40</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0</v>
      </c>
      <c r="D13" s="108">
        <f>'Data Entry'!D12</f>
        <v>0</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t="e">
        <f>'Black or African-American'!L12</f>
        <v>#VALUE!</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Mackinac</v>
      </c>
    </row>
    <row r="6" spans="1:12">
      <c r="A6" s="135" t="str">
        <f>CONCATENATE("Percentage of Minorities at Stages of the Juvenile Justice System, ", A5, " 2024")</f>
        <v>Percentage of Minorities at Stages of the Juvenile Justice System, County: Mackinac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1.6968641114982579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1.6968641114982579</v>
      </c>
    </row>
    <row r="9" spans="1:12">
      <c r="A9" s="128" t="str">
        <f>CONCATENATE("Delinquent Findings, total N=", 'Data Entry'!B12)</f>
        <v>Delinquent Findings, total N=2</v>
      </c>
      <c r="B9" s="150">
        <f>'Data Entry'!D12/'Data Entry'!B12</f>
        <v>0</v>
      </c>
      <c r="C9" s="150">
        <f>'Data Entry'!E12/'Data Entry'!B12</f>
        <v>0.5</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N=2</v>
      </c>
      <c r="L9">
        <f>I14/(SUM(B14:G14))</f>
        <v>1.6968641114982579</v>
      </c>
    </row>
    <row r="10" spans="1:12">
      <c r="A10" s="128" t="str">
        <f>CONCATENATE("Petitions, total N=", 'Data Entry'!B11)</f>
        <v>Petitions, total N=4</v>
      </c>
      <c r="B10" s="150">
        <f>'Data Entry'!D11/'Data Entry'!B11</f>
        <v>0</v>
      </c>
      <c r="C10" s="150">
        <f>'Data Entry'!E11/'Data Entry'!B11</f>
        <v>0.25</v>
      </c>
      <c r="D10" s="150">
        <f>'Data Entry'!F11/'Data Entry'!B11</f>
        <v>0</v>
      </c>
      <c r="E10" s="150">
        <f>'Data Entry'!G11/'Data Entry'!B11</f>
        <v>0</v>
      </c>
      <c r="F10" s="150">
        <f>'Data Entry'!H11/'Data Entry'!B11</f>
        <v>0</v>
      </c>
      <c r="G10" s="150">
        <f>'Data Entry'!I11/'Data Entry'!B11</f>
        <v>0</v>
      </c>
      <c r="H10" s="150">
        <f>SUM(D10:G10)/'Data Entry'!B11</f>
        <v>0</v>
      </c>
      <c r="I10" s="150">
        <f>'Data Entry'!C11/'Data Entry'!B11</f>
        <v>0.5</v>
      </c>
      <c r="K10" s="96" t="str">
        <f t="shared" si="0"/>
        <v>Petitions, total N=4</v>
      </c>
      <c r="L10">
        <f>I14/(SUM(B14:G14))</f>
        <v>1.6968641114982579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1.6968641114982579</v>
      </c>
    </row>
    <row r="12" spans="1:12">
      <c r="A12" s="128" t="str">
        <f>CONCATENATE("Referrals, total N=", 'Data Entry'!B8)</f>
        <v>Referrals, total N=16</v>
      </c>
      <c r="B12" s="150">
        <f>'Data Entry'!D8/'Data Entry'!B8</f>
        <v>0</v>
      </c>
      <c r="C12" s="150">
        <f>'Data Entry'!E8/'Data Entry'!B8</f>
        <v>6.25E-2</v>
      </c>
      <c r="D12" s="150">
        <f>'Data Entry'!F8/'Data Entry'!B8</f>
        <v>0</v>
      </c>
      <c r="E12" s="150">
        <f>'Data Entry'!G8/'Data Entry'!B8</f>
        <v>0</v>
      </c>
      <c r="F12" s="150">
        <f>'Data Entry'!H8/'Data Entry'!B8</f>
        <v>0.125</v>
      </c>
      <c r="G12" s="150">
        <f>'Data Entry'!I8/'Data Entry'!B8</f>
        <v>0</v>
      </c>
      <c r="H12" s="150">
        <f>SUM(D12:G12)/'Data Entry'!B8</f>
        <v>7.8125E-3</v>
      </c>
      <c r="I12" s="150">
        <f>'Data Entry'!C8/'Data Entry'!B8</f>
        <v>0.6875</v>
      </c>
      <c r="K12" s="96" t="str">
        <f t="shared" si="0"/>
        <v>Referrals, total N=16</v>
      </c>
      <c r="L12">
        <f>I14/(SUM(B14:G14))</f>
        <v>1.6968641114982579</v>
      </c>
    </row>
    <row r="13" spans="1:12">
      <c r="A13" s="128" t="str">
        <f>CONCATENATE("Arrests, total N=", 'Data Entry'!B7)</f>
        <v>Arrests, total N=7</v>
      </c>
      <c r="B13" s="150">
        <f>'Data Entry'!D7/'Data Entry'!B7</f>
        <v>0</v>
      </c>
      <c r="C13" s="150">
        <f>'Data Entry'!E7/'Data Entry'!B7</f>
        <v>0</v>
      </c>
      <c r="D13" s="150">
        <f>'Data Entry'!F7/'Data Entry'!B7</f>
        <v>0</v>
      </c>
      <c r="E13" s="150">
        <f>'Data Entry'!G7/'Data Entry'!B7</f>
        <v>0</v>
      </c>
      <c r="F13" s="150">
        <f>'Data Entry'!H7/'Data Entry'!B7</f>
        <v>0.14285714285714285</v>
      </c>
      <c r="G13" s="150">
        <f>'Data Entry'!I7/'Data Entry'!B7</f>
        <v>0</v>
      </c>
      <c r="H13" s="150">
        <f>SUM(D13:G13)/'Data Entry'!B7</f>
        <v>2.0408163265306121E-2</v>
      </c>
      <c r="I13" s="150">
        <f>'Data Entry'!C7/'Data Entry'!B7</f>
        <v>0.8571428571428571</v>
      </c>
      <c r="K13" s="96" t="str">
        <f t="shared" si="0"/>
        <v>Arrests, total N=7</v>
      </c>
      <c r="L13">
        <f>I14/(SUM(B14:G14))</f>
        <v>1.6968641114982579</v>
      </c>
    </row>
    <row r="14" spans="1:12">
      <c r="A14" s="128" t="str">
        <f>CONCATENATE("Population, total N=", 'Data Entry'!B6)</f>
        <v>Population, total N=774</v>
      </c>
      <c r="B14" s="150">
        <f>'Data Entry'!D6/'Data Entry'!B6</f>
        <v>3.875968992248062E-2</v>
      </c>
      <c r="C14" s="150">
        <f>'Data Entry'!E6/'Data Entry'!B6</f>
        <v>6.589147286821706E-2</v>
      </c>
      <c r="D14" s="150">
        <f>'Data Entry'!F6/'Data Entry'!B6</f>
        <v>5.1679586563307496E-3</v>
      </c>
      <c r="E14" s="150">
        <f>'Data Entry'!G6/'Data Entry'!B6</f>
        <v>0</v>
      </c>
      <c r="F14" s="150">
        <f>'Data Entry'!H6/'Data Entry'!B6</f>
        <v>0.26098191214470284</v>
      </c>
      <c r="G14" s="150">
        <f>'Data Entry'!I6/'Data Entry'!B6</f>
        <v>0</v>
      </c>
      <c r="H14" s="150">
        <f>SUM(D14:G14)/'Data Entry'!B6</f>
        <v>3.4386288217187804E-4</v>
      </c>
      <c r="I14" s="150">
        <f>'Data Entry'!C6/'Data Entry'!B6</f>
        <v>0.62919896640826878</v>
      </c>
      <c r="K14" s="96" t="str">
        <f t="shared" si="0"/>
        <v>Population, total N=774</v>
      </c>
      <c r="L14">
        <f>I14/(SUM(B14:G14))</f>
        <v>1.6968641114982579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Mackinac</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487</v>
      </c>
      <c r="D7" s="104">
        <f>'Data Entry'!D6</f>
        <v>30</v>
      </c>
      <c r="E7" s="105"/>
      <c r="F7" s="106">
        <f>'Data Entry'!E6</f>
        <v>51</v>
      </c>
      <c r="G7" s="105"/>
      <c r="H7" s="106">
        <f>'Data Entry'!F6</f>
        <v>4</v>
      </c>
      <c r="I7" s="105"/>
      <c r="J7" s="106">
        <f>'Data Entry'!J6</f>
        <v>287</v>
      </c>
      <c r="K7" s="107"/>
    </row>
    <row r="8" spans="2:30" s="1" customFormat="1" ht="15" customHeight="1">
      <c r="B8" s="121" t="s">
        <v>8</v>
      </c>
      <c r="C8" s="103">
        <f>'Data Entry'!C7</f>
        <v>6</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11</v>
      </c>
      <c r="D9" s="108">
        <f>'Data Entry'!D8</f>
        <v>0</v>
      </c>
      <c r="E9" s="109" t="str">
        <f>'Black or African-American'!$G8</f>
        <v>**</v>
      </c>
      <c r="F9" s="110">
        <f>'Data Entry'!E8</f>
        <v>1</v>
      </c>
      <c r="G9" s="109" t="str">
        <f>Hispanic!G8</f>
        <v>**</v>
      </c>
      <c r="H9" s="110">
        <f>'Data Entry'!F8</f>
        <v>0</v>
      </c>
      <c r="I9" s="109" t="str">
        <f>Asian!G8</f>
        <v>*</v>
      </c>
      <c r="J9" s="110">
        <f>'Data Entry'!J8</f>
        <v>3</v>
      </c>
      <c r="K9" s="111" t="str">
        <f>'All Minorities'!G8</f>
        <v>**</v>
      </c>
      <c r="L9"/>
      <c r="N9" s="1">
        <f>'Black or African-American'!L8</f>
        <v>40</v>
      </c>
      <c r="O9" s="1">
        <f>Hispanic!L8</f>
        <v>20</v>
      </c>
      <c r="P9" s="1">
        <f>Asian!L8</f>
        <v>139</v>
      </c>
      <c r="Q9" s="1">
        <f>Hawaiian!L8</f>
        <v>139</v>
      </c>
      <c r="R9" s="1">
        <f>'Am Indian'!L8</f>
        <v>40</v>
      </c>
      <c r="S9" s="1">
        <f>'Other - Mixed'!L8</f>
        <v>139</v>
      </c>
      <c r="T9" s="1">
        <f>'All Minorities'!L8</f>
        <v>40</v>
      </c>
    </row>
    <row r="10" spans="2:30" s="1" customFormat="1" ht="15" customHeight="1">
      <c r="B10" s="121" t="s">
        <v>10</v>
      </c>
      <c r="C10" s="103">
        <f>'Data Entry'!C9</f>
        <v>2</v>
      </c>
      <c r="D10" s="112">
        <f>'Data Entry'!D9</f>
        <v>0</v>
      </c>
      <c r="E10" s="113" t="str">
        <f>'Black or African-American'!$G9</f>
        <v>--</v>
      </c>
      <c r="F10" s="114">
        <f>'Data Entry'!E9</f>
        <v>0</v>
      </c>
      <c r="G10" s="113" t="str">
        <f>Hispanic!G9</f>
        <v>**</v>
      </c>
      <c r="H10" s="114">
        <f>'Data Entry'!F9</f>
        <v>0</v>
      </c>
      <c r="I10" s="113" t="str">
        <f>Asian!G9</f>
        <v>*</v>
      </c>
      <c r="J10" s="114">
        <f>'Data Entry'!J9</f>
        <v>1</v>
      </c>
      <c r="K10" s="115" t="str">
        <f>'All Minorities'!G9</f>
        <v>**</v>
      </c>
      <c r="L10"/>
      <c r="N10" s="1" t="e">
        <f>'Black or African-American'!L9</f>
        <v>#VALUE!</v>
      </c>
      <c r="O10" s="1">
        <f>Hispanic!L9</f>
        <v>40</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v>
      </c>
      <c r="D12" s="112">
        <f>'Data Entry'!D11</f>
        <v>0</v>
      </c>
      <c r="E12" s="113" t="str">
        <f>'Black or African-American'!$G11</f>
        <v>--</v>
      </c>
      <c r="F12" s="114">
        <f>'Data Entry'!E11</f>
        <v>1</v>
      </c>
      <c r="G12" s="113" t="str">
        <f>Hispanic!G11</f>
        <v>**</v>
      </c>
      <c r="H12" s="114">
        <f>'Data Entry'!F11</f>
        <v>0</v>
      </c>
      <c r="I12" s="113" t="str">
        <f>Asian!G11</f>
        <v>*</v>
      </c>
      <c r="J12" s="114">
        <f>'Data Entry'!J11</f>
        <v>1</v>
      </c>
      <c r="K12" s="115" t="str">
        <f>'All Minorities'!G11</f>
        <v>**</v>
      </c>
      <c r="L12"/>
      <c r="N12" s="1" t="e">
        <f>'Black or African-American'!L11</f>
        <v>#VALUE!</v>
      </c>
      <c r="O12" s="1">
        <f>Hispanic!L11</f>
        <v>40</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0</v>
      </c>
      <c r="D13" s="108">
        <f>'Data Entry'!D12</f>
        <v>0</v>
      </c>
      <c r="E13" s="109" t="str">
        <f>'Black or African-American'!$G12</f>
        <v>--</v>
      </c>
      <c r="F13" s="110">
        <f>'Data Entry'!E12</f>
        <v>1</v>
      </c>
      <c r="G13" s="109" t="str">
        <f>Hispanic!G12</f>
        <v>**</v>
      </c>
      <c r="H13" s="110">
        <f>'Data Entry'!F12</f>
        <v>0</v>
      </c>
      <c r="I13" s="109" t="str">
        <f>Asian!G12</f>
        <v>*</v>
      </c>
      <c r="J13" s="110">
        <f>'Data Entry'!J12</f>
        <v>1</v>
      </c>
      <c r="K13" s="111" t="str">
        <f>'All Minorities'!G12</f>
        <v>**</v>
      </c>
      <c r="L13"/>
      <c r="N13" s="1" t="e">
        <f>'Black or African-American'!L12</f>
        <v>#VALUE!</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v>
      </c>
      <c r="P7" s="42">
        <f t="shared" ref="P7:P15" si="2">C7</f>
        <v>6</v>
      </c>
      <c r="Q7" s="42">
        <f>C6-C7</f>
        <v>481</v>
      </c>
      <c r="R7" s="42">
        <f t="shared" ref="R7:R15" si="3">SUM(N7:Q7)</f>
        <v>517</v>
      </c>
      <c r="S7" s="30">
        <f t="shared" ref="S7:S15" si="4">R7*((((N7*Q7)-(O7*P7))^2))</f>
        <v>16750800</v>
      </c>
      <c r="T7" s="30">
        <f t="shared" ref="T7:T15" si="5">(N7+O7)*(P7+Q7)*(N7+P7)*(O7+Q7)</f>
        <v>44794260</v>
      </c>
      <c r="U7" s="31">
        <f t="shared" ref="U7:U15" si="6">IF((S7&gt;0),S7/T7,"- -")</f>
        <v>0.37394969801934447</v>
      </c>
    </row>
    <row r="8" spans="2:21" ht="18" customHeight="1">
      <c r="B8" s="32" t="str">
        <f>'Data Entry'!A8</f>
        <v>3. Refer to Juvenile Court</v>
      </c>
      <c r="C8" s="33">
        <f>'Data Entry'!C8</f>
        <v>11</v>
      </c>
      <c r="D8" s="34">
        <f>IF((AND(C67&gt;0,C8&gt;0)),(C8/C67),0)</f>
        <v>183.33333333333334</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11</v>
      </c>
      <c r="Q8" s="42">
        <f>(C$67*L67)-C8</f>
        <v>-5</v>
      </c>
      <c r="R8" s="42">
        <f t="shared" si="3"/>
        <v>6.0500000000000007</v>
      </c>
      <c r="S8" s="30">
        <f t="shared" si="4"/>
        <v>1.8301250000000004</v>
      </c>
      <c r="T8" s="30">
        <f t="shared" si="5"/>
        <v>-16.335000000000004</v>
      </c>
      <c r="U8" s="31">
        <f t="shared" si="6"/>
        <v>-0.11203703703703703</v>
      </c>
    </row>
    <row r="9" spans="2:21" ht="18" customHeight="1">
      <c r="B9" s="32" t="str">
        <f>'Data Entry'!A9</f>
        <v xml:space="preserve">4. Cases Diverted </v>
      </c>
      <c r="C9" s="33">
        <f>'Data Entry'!C9</f>
        <v>2</v>
      </c>
      <c r="D9" s="34">
        <f>IF((AND(C68&gt;0,C9&gt;0)),((C9/C68)),0)</f>
        <v>18.181818181818183</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2</v>
      </c>
      <c r="Q9" s="42">
        <f>(C$68*L68)-C9</f>
        <v>9</v>
      </c>
      <c r="R9" s="42">
        <f t="shared" si="3"/>
        <v>11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11</v>
      </c>
      <c r="R10" s="42">
        <f t="shared" si="3"/>
        <v>11</v>
      </c>
      <c r="S10" s="30">
        <f t="shared" si="4"/>
        <v>0</v>
      </c>
      <c r="T10" s="30">
        <f t="shared" si="5"/>
        <v>0</v>
      </c>
      <c r="U10" s="31" t="str">
        <f t="shared" si="6"/>
        <v>- -</v>
      </c>
    </row>
    <row r="11" spans="2:21" ht="18" customHeight="1">
      <c r="B11" s="32" t="str">
        <f>'Data Entry'!A11</f>
        <v>6. Cases Petitioned (Charge Filed)</v>
      </c>
      <c r="C11" s="33">
        <f>'Data Entry'!C11</f>
        <v>2</v>
      </c>
      <c r="D11" s="34">
        <f>IF(((AND(C68&gt;0,C11&gt;0))),(C11/(C68)),0)</f>
        <v>18.181818181818183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v>
      </c>
      <c r="Q11" s="42">
        <f>(C$68*L68)-C11</f>
        <v>9</v>
      </c>
      <c r="R11" s="42">
        <f t="shared" si="3"/>
        <v>11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2</v>
      </c>
      <c r="R12" s="42">
        <f t="shared" si="3"/>
        <v>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v>
      </c>
      <c r="R15" s="42">
        <f t="shared" si="3"/>
        <v>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0.03</v>
      </c>
      <c r="E42" s="56">
        <f>MAX(C42:D42)</f>
        <v>0.48699999999999999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0.11</v>
      </c>
      <c r="D44" s="56">
        <f>E8/100</f>
        <v>0</v>
      </c>
      <c r="E44" s="56">
        <f>MAX(C44:D44,0)</f>
        <v>0.11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0.03</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0.03</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petitioned</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0.03</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petitioned</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0.03</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petitioned</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Entry'!F6</f>
        <v>4</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v>
      </c>
      <c r="P7" s="42">
        <f t="shared" ref="P7:P15" si="4">C7</f>
        <v>6</v>
      </c>
      <c r="Q7" s="42">
        <f>C6-C7</f>
        <v>481</v>
      </c>
      <c r="R7" s="42">
        <f t="shared" ref="R7:R15" si="5">SUM(N7:Q7)</f>
        <v>491</v>
      </c>
      <c r="S7" s="30">
        <f t="shared" ref="S7:S15" si="6">R7*((((N7*Q7)-(O7*P7))^2))</f>
        <v>282816</v>
      </c>
      <c r="T7" s="30">
        <f t="shared" ref="T7:T15" si="7">(N7+O7)*(P7+Q7)*(N7+P7)*(O7+Q7)</f>
        <v>5668680</v>
      </c>
      <c r="U7" s="31">
        <f t="shared" ref="U7:U15" si="8">IF((S7&gt;0),S7/T7,"- -")</f>
        <v>4.9890979910667037E-2</v>
      </c>
    </row>
    <row r="8" spans="2:21" ht="18" customHeight="1">
      <c r="B8" s="32" t="str">
        <f>'Data Entry'!A8</f>
        <v>3. Refer to Juvenile Court</v>
      </c>
      <c r="C8" s="33">
        <f>'Data Entry'!C8</f>
        <v>11</v>
      </c>
      <c r="D8" s="34">
        <f>IF((AND(C67&gt;0,C8&gt;0)),(C8/C67),0)</f>
        <v>183.33333333333334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v>
      </c>
      <c r="Q8" s="42">
        <f>(C$67*L67)-C8</f>
        <v>-5</v>
      </c>
      <c r="R8" s="42">
        <f t="shared" si="5"/>
        <v>6.0500000000000007</v>
      </c>
      <c r="S8" s="30">
        <f t="shared" si="6"/>
        <v>1.8301250000000004</v>
      </c>
      <c r="T8" s="30">
        <f t="shared" si="7"/>
        <v>-16.335000000000004</v>
      </c>
      <c r="U8" s="31">
        <f t="shared" si="8"/>
        <v>-0.11203703703703703</v>
      </c>
    </row>
    <row r="9" spans="2:21" ht="18" customHeight="1">
      <c r="B9" s="32" t="str">
        <f>'Data Entry'!A9</f>
        <v xml:space="preserve">4. Cases Diverted </v>
      </c>
      <c r="C9" s="33">
        <f>'Data Entry'!C9</f>
        <v>2</v>
      </c>
      <c r="D9" s="34">
        <f>IF((AND(C68&gt;0,C9&gt;0)),((C9/C68)),0)</f>
        <v>18.181818181818183</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9</v>
      </c>
      <c r="R9" s="42">
        <f t="shared" si="5"/>
        <v>11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9</v>
      </c>
      <c r="R11" s="42">
        <f t="shared" si="5"/>
        <v>11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4.0000000000000001E-3</v>
      </c>
      <c r="E42" s="56">
        <f>MAX(C42:D42)</f>
        <v>0.48699999999999999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0.11</v>
      </c>
      <c r="D44" s="56">
        <f>E8/100</f>
        <v>0</v>
      </c>
      <c r="E44" s="56">
        <f>MAX(C44:D44,0)</f>
        <v>0.11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4.0000000000000001E-3</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4.0000000000000001E-3</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petitioned</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4.0000000000000001E-3</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petitioned</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4.0000000000000001E-3</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petitioned</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Entry'!E6</f>
        <v>51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51</v>
      </c>
      <c r="P7" s="42">
        <f t="shared" ref="P7:P15" si="4">C7</f>
        <v>6</v>
      </c>
      <c r="Q7" s="42">
        <f>C6-C7</f>
        <v>481</v>
      </c>
      <c r="R7" s="42">
        <f t="shared" ref="R7:R15" si="5">SUM(N7:Q7)</f>
        <v>538</v>
      </c>
      <c r="S7" s="30">
        <f t="shared" ref="S7:S15" si="6">R7*((((N7*Q7)-(O7*P7))^2))</f>
        <v>50376168</v>
      </c>
      <c r="T7" s="30">
        <f t="shared" ref="T7:T15" si="7">(N7+O7)*(P7+Q7)*(N7+P7)*(O7+Q7)</f>
        <v>79279704</v>
      </c>
      <c r="U7" s="31">
        <f t="shared" ref="U7:U15" si="8">IF((S7&gt;0),S7/T7,"- -")</f>
        <v>0.63542326040975128</v>
      </c>
    </row>
    <row r="8" spans="2:21" ht="18" customHeight="1">
      <c r="B8" s="32" t="str">
        <f>'Data Entry'!A8</f>
        <v>3. Refer to Juvenile Court</v>
      </c>
      <c r="C8" s="33">
        <f>'Data Entry'!C8</f>
        <v>11</v>
      </c>
      <c r="D8" s="34">
        <f>IF((AND(C67&gt;0,C8&gt;0)),(C8/C67),0)</f>
        <v>183.33333333333334</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11</v>
      </c>
      <c r="Q8" s="42">
        <f>(C$67*L67)-C8</f>
        <v>-5</v>
      </c>
      <c r="R8" s="42">
        <f t="shared" si="5"/>
        <v>6.0500000000000007</v>
      </c>
      <c r="S8" s="30">
        <f t="shared" si="6"/>
        <v>179.70012499999999</v>
      </c>
      <c r="T8" s="30">
        <f t="shared" si="7"/>
        <v>-21.420000000000019</v>
      </c>
      <c r="U8" s="31">
        <f t="shared" si="8"/>
        <v>-8.389361577964511</v>
      </c>
    </row>
    <row r="9" spans="2:21" ht="18" customHeight="1">
      <c r="B9" s="32" t="str">
        <f>'Data Entry'!A9</f>
        <v xml:space="preserve">4. Cases Diverted </v>
      </c>
      <c r="C9" s="33">
        <f>'Data Entry'!C9</f>
        <v>2</v>
      </c>
      <c r="D9" s="34">
        <f>IF((AND(C68&gt;0,C9&gt;0)),((C9/C68)),0)</f>
        <v>18.181818181818183</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2</v>
      </c>
      <c r="Q9" s="42">
        <f>(C$68*L68)-C9</f>
        <v>9</v>
      </c>
      <c r="R9" s="42">
        <f t="shared" si="5"/>
        <v>12</v>
      </c>
      <c r="S9" s="30">
        <f t="shared" si="6"/>
        <v>48</v>
      </c>
      <c r="T9" s="30">
        <f t="shared" si="7"/>
        <v>220</v>
      </c>
      <c r="U9" s="31">
        <f t="shared" si="8"/>
        <v>0.21818181818181817</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11</v>
      </c>
      <c r="R10" s="42">
        <f t="shared" si="5"/>
        <v>12</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2</v>
      </c>
      <c r="Q11" s="42">
        <f>(C$68*L68)-C11</f>
        <v>9</v>
      </c>
      <c r="R11" s="42">
        <f t="shared" si="5"/>
        <v>12</v>
      </c>
      <c r="S11" s="30">
        <f t="shared" si="6"/>
        <v>972</v>
      </c>
      <c r="T11" s="30">
        <f t="shared" si="7"/>
        <v>297</v>
      </c>
      <c r="U11" s="31">
        <f t="shared" si="8"/>
        <v>3.2727272727272729</v>
      </c>
    </row>
    <row r="12" spans="2:21" ht="18" customHeight="1">
      <c r="B12" s="32" t="str">
        <f>'Data Entry'!A12</f>
        <v>7. Cases Resulting in Delinquent Findings</v>
      </c>
      <c r="C12" s="33">
        <f>'Data Entry'!C12</f>
        <v>0</v>
      </c>
      <c r="D12" s="34">
        <f>IF(((AND(C69&gt;0,C12&gt;0))),(C12/(C69)),0)</f>
        <v>0</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0</v>
      </c>
      <c r="Q12" s="42">
        <f>(C69*L69)-C12</f>
        <v>2</v>
      </c>
      <c r="R12" s="42">
        <f t="shared" si="5"/>
        <v>3</v>
      </c>
      <c r="S12" s="30">
        <f t="shared" si="6"/>
        <v>12</v>
      </c>
      <c r="T12" s="30">
        <f t="shared" si="7"/>
        <v>4</v>
      </c>
      <c r="U12" s="31">
        <f t="shared" si="8"/>
        <v>3</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5.0999999999999997E-2</v>
      </c>
      <c r="E42" s="56">
        <f>MAX(C42:D42)</f>
        <v>0.48699999999999999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0.11</v>
      </c>
      <c r="D44" s="56">
        <f>E8/100</f>
        <v>0.01</v>
      </c>
      <c r="E44" s="56">
        <f>MAX(C44:D44,0)</f>
        <v>0.11</v>
      </c>
      <c r="G44" s="1" t="str">
        <f>B44</f>
        <v>per 100 referrals</v>
      </c>
      <c r="L44" s="57">
        <v>100</v>
      </c>
      <c r="M44" s="57"/>
      <c r="R44" s="49"/>
    </row>
    <row r="45" spans="2:18" ht="15" hidden="1" customHeight="1">
      <c r="B45" s="49" t="s">
        <v>89</v>
      </c>
      <c r="C45" s="49">
        <f>C11/100</f>
        <v>0.02</v>
      </c>
      <c r="D45" s="49">
        <f>E11/100</f>
        <v>0.01</v>
      </c>
      <c r="E45" s="56">
        <f>MAX(C45:D45,0)</f>
        <v>0.02</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5.0999999999999997E-2</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0.01</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5.0999999999999997E-2</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0.01</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5.0999999999999997E-2</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0.01</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5.0999999999999997E-2</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0.01</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0.01</v>
      </c>
      <c r="E69" s="49">
        <f>MAX(C69:D69)</f>
        <v>0.02</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481</v>
      </c>
      <c r="R7" s="42">
        <f t="shared" ref="R7:R15" si="5">SUM(N7:Q7)</f>
        <v>487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11</v>
      </c>
      <c r="D8" s="34">
        <f>IF((AND(C67&gt;0,C8&gt;0)),(C8/C67),0)</f>
        <v>183.33333333333334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11</v>
      </c>
      <c r="Q8" s="42">
        <f>(C$67*L67)-C8</f>
        <v>-5</v>
      </c>
      <c r="R8" s="42">
        <f t="shared" si="5"/>
        <v>6.0500000000000007</v>
      </c>
      <c r="S8" s="30">
        <f t="shared" si="6"/>
        <v>1.8301250000000004</v>
      </c>
      <c r="T8" s="30">
        <f t="shared" si="7"/>
        <v>-16.335000000000004</v>
      </c>
      <c r="U8" s="31">
        <f t="shared" si="8"/>
        <v>-0.11203703703703703</v>
      </c>
    </row>
    <row r="9" spans="2:21" ht="18" customHeight="1">
      <c r="B9" s="32" t="str">
        <f>'Data Entry'!A9</f>
        <v xml:space="preserve">4. Cases Diverted </v>
      </c>
      <c r="C9" s="33">
        <f>'Data Entry'!C9</f>
        <v>2</v>
      </c>
      <c r="D9" s="34">
        <f>IF((AND(C68&gt;0,C9&gt;0)),((C9/C68)),0)</f>
        <v>18.181818181818183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9</v>
      </c>
      <c r="R9" s="42">
        <f t="shared" si="5"/>
        <v>11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11</v>
      </c>
      <c r="R10" s="42">
        <f t="shared" si="5"/>
        <v>11</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9</v>
      </c>
      <c r="R11" s="42">
        <f t="shared" si="5"/>
        <v>11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0</v>
      </c>
      <c r="E42" s="56">
        <f>MAX(C42:D42)</f>
        <v>0.48699999999999999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0.11</v>
      </c>
      <c r="D44" s="56">
        <f>E8/100</f>
        <v>0</v>
      </c>
      <c r="E44" s="56">
        <f>MAX(C44:D44,0)</f>
        <v>0.11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0</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0</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petitioned</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0</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petitioned</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0</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petitioned</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Mackinac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487</v>
      </c>
      <c r="D6" s="34"/>
      <c r="E6" s="33">
        <f>'Data Entry'!H6</f>
        <v>202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12.320328542094456</v>
      </c>
      <c r="E7" s="33">
        <f>'Data Entry'!H7</f>
        <v>1</v>
      </c>
      <c r="F7" s="34">
        <f>IF((AND($E$7&gt;0,$D$66&gt;0)),($E$7/$D$66),0)</f>
        <v>4.9504950495049505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201</v>
      </c>
      <c r="P7" s="42">
        <f t="shared" ref="P7:P15" si="4">C7</f>
        <v>6</v>
      </c>
      <c r="Q7" s="42">
        <f>C6-C7</f>
        <v>481</v>
      </c>
      <c r="R7" s="42">
        <f t="shared" ref="R7:R15" si="5">SUM(N7:Q7)</f>
        <v>689</v>
      </c>
      <c r="S7" s="30">
        <f t="shared" ref="S7:S15" si="6">R7*((((N7*Q7)-(O7*P7))^2))</f>
        <v>362155625</v>
      </c>
      <c r="T7" s="30">
        <f t="shared" ref="T7:T15" si="7">(N7+O7)*(P7+Q7)*(N7+P7)*(O7+Q7)</f>
        <v>469637476</v>
      </c>
      <c r="U7" s="31">
        <f t="shared" ref="U7:U15" si="8">IF((S7&gt;0),S7/T7,"- -")</f>
        <v>0.77113868357473248</v>
      </c>
    </row>
    <row r="8" spans="2:21" ht="18" customHeight="1">
      <c r="B8" s="32" t="str">
        <f>'Data Entry'!A8</f>
        <v>3. Refer to Juvenile Court</v>
      </c>
      <c r="C8" s="33">
        <f>'Data Entry'!C8</f>
        <v>11</v>
      </c>
      <c r="D8" s="34">
        <f>IF((AND(C67&gt;0,C8&gt;0)),(C8/C67),0)</f>
        <v>183.33333333333334</v>
      </c>
      <c r="E8" s="33">
        <f>'Data Entry'!H8</f>
        <v>2</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-0.95</v>
      </c>
      <c r="P8" s="42">
        <f t="shared" si="4"/>
        <v>11</v>
      </c>
      <c r="Q8" s="42">
        <f>(C$67*L67)-C8</f>
        <v>-5</v>
      </c>
      <c r="R8" s="42">
        <f t="shared" si="5"/>
        <v>7.0500000000000007</v>
      </c>
      <c r="S8" s="30">
        <f t="shared" si="6"/>
        <v>1.4276249999999955</v>
      </c>
      <c r="T8" s="30">
        <f t="shared" si="7"/>
        <v>-487.30500000000006</v>
      </c>
      <c r="U8" s="31">
        <f t="shared" si="8"/>
        <v>-2.9296333918182563E-3</v>
      </c>
    </row>
    <row r="9" spans="2:21" ht="18" customHeight="1">
      <c r="B9" s="32" t="str">
        <f>'Data Entry'!A9</f>
        <v xml:space="preserve">4. Cases Diverted </v>
      </c>
      <c r="C9" s="33">
        <f>'Data Entry'!C9</f>
        <v>2</v>
      </c>
      <c r="D9" s="34">
        <f>IF((AND(C68&gt;0,C9&gt;0)),((C9/C68)),0)</f>
        <v>18.181818181818183</v>
      </c>
      <c r="E9" s="33">
        <f>'Data Entry'!H9</f>
        <v>1</v>
      </c>
      <c r="F9" s="34">
        <f>IF((AND($E$9&gt;0,$D$68&gt;0)),(($E$9/$D$68)),0)</f>
        <v>50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v>
      </c>
      <c r="P9" s="42">
        <f t="shared" si="4"/>
        <v>2</v>
      </c>
      <c r="Q9" s="42">
        <f>(C$68*L68)-C9</f>
        <v>9</v>
      </c>
      <c r="R9" s="42">
        <f t="shared" si="5"/>
        <v>13</v>
      </c>
      <c r="S9" s="30">
        <f t="shared" si="6"/>
        <v>637</v>
      </c>
      <c r="T9" s="30">
        <f t="shared" si="7"/>
        <v>660</v>
      </c>
      <c r="U9" s="31">
        <f t="shared" si="8"/>
        <v>0.9651515151515152</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11</v>
      </c>
      <c r="R10" s="42">
        <f t="shared" si="5"/>
        <v>13</v>
      </c>
      <c r="S10" s="30">
        <f t="shared" si="6"/>
        <v>0</v>
      </c>
      <c r="T10" s="30">
        <f t="shared" si="7"/>
        <v>0</v>
      </c>
      <c r="U10" s="31" t="str">
        <f t="shared" si="8"/>
        <v>- -</v>
      </c>
    </row>
    <row r="11" spans="2:21" ht="18" customHeight="1">
      <c r="B11" s="32" t="str">
        <f>'Data Entry'!A11</f>
        <v>6. Cases Petitioned (Charge Filed)</v>
      </c>
      <c r="C11" s="33">
        <f>'Data Entry'!C11</f>
        <v>2</v>
      </c>
      <c r="D11" s="34">
        <f>IF(((AND(C68&gt;0,C11&gt;0))),(C11/(C68)),0)</f>
        <v>18.181818181818183</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2</v>
      </c>
      <c r="P11" s="42">
        <f t="shared" si="4"/>
        <v>2</v>
      </c>
      <c r="Q11" s="42">
        <f>(C$68*L68)-C11</f>
        <v>9</v>
      </c>
      <c r="R11" s="42">
        <f t="shared" si="5"/>
        <v>13</v>
      </c>
      <c r="S11" s="30">
        <f t="shared" si="6"/>
        <v>208</v>
      </c>
      <c r="T11" s="30">
        <f t="shared" si="7"/>
        <v>484</v>
      </c>
      <c r="U11" s="31">
        <f t="shared" si="8"/>
        <v>0.42975206611570249</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petitioned</v>
      </c>
      <c r="G33" s="52"/>
      <c r="H33" s="52"/>
      <c r="I33" s="52"/>
      <c r="J33" s="52"/>
      <c r="K33" s="52"/>
      <c r="L33" s="53"/>
      <c r="R33" s="49"/>
    </row>
    <row r="34" spans="2:18" ht="15" customHeight="1">
      <c r="B34" s="52" t="s">
        <v>77</v>
      </c>
      <c r="C34" s="52"/>
      <c r="D34" s="52"/>
      <c r="E34" s="52"/>
      <c r="F34" s="52" t="str">
        <f>B70</f>
        <v>per 100 youth petitioned</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0.48699999999999999</v>
      </c>
      <c r="D42" s="56">
        <f>E6/1000</f>
        <v>0.20200000000000001</v>
      </c>
      <c r="E42" s="56">
        <f>MAX(C42:D42)</f>
        <v>0.48699999999999999</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0.11</v>
      </c>
      <c r="D44" s="56">
        <f>E8/100</f>
        <v>0.02</v>
      </c>
      <c r="E44" s="56">
        <f>MAX(C44:D44,0)</f>
        <v>0.11</v>
      </c>
      <c r="G44" s="1" t="str">
        <f>B44</f>
        <v>per 100 referrals</v>
      </c>
      <c r="L44" s="57">
        <v>100</v>
      </c>
      <c r="M44" s="57"/>
      <c r="R44" s="49"/>
    </row>
    <row r="45" spans="2:18" ht="15" hidden="1" customHeight="1">
      <c r="B45" s="49" t="s">
        <v>89</v>
      </c>
      <c r="C45" s="49">
        <f>C11/100</f>
        <v>0.02</v>
      </c>
      <c r="D45" s="49">
        <f>E11/100</f>
        <v>0</v>
      </c>
      <c r="E45" s="56">
        <f>MAX(C45:D45,0)</f>
        <v>0.02</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0.48699999999999999</v>
      </c>
      <c r="D48" s="56">
        <f>D42</f>
        <v>0.20200000000000001</v>
      </c>
      <c r="E48" s="56">
        <f>MAX(C48:D48)</f>
        <v>0.48699999999999999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0.11</v>
      </c>
      <c r="D50" s="49">
        <f t="shared" si="9"/>
        <v>0.02</v>
      </c>
      <c r="E50" s="49">
        <f>MAX(C50:D50)</f>
        <v>0.11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0.48699999999999999</v>
      </c>
      <c r="D54" s="56">
        <f>D48</f>
        <v>0.20200000000000001</v>
      </c>
      <c r="E54" s="56">
        <f>MAX(C54:D54)</f>
        <v>0.48699999999999999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0.11</v>
      </c>
      <c r="D56" s="49">
        <f t="shared" si="10"/>
        <v>0.02</v>
      </c>
      <c r="E56" s="49">
        <f>MAX(C56:D56)</f>
        <v>0.11</v>
      </c>
      <c r="G56" s="1" t="str">
        <f>G50</f>
        <v>per 100 referrals</v>
      </c>
      <c r="L56" s="58">
        <f>IF(($E50&gt;0),L50,L49)</f>
        <v>100</v>
      </c>
      <c r="M56" s="58"/>
    </row>
    <row r="57" spans="2:18" ht="15" hidden="1" customHeight="1">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youth petitioned</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0.48699999999999999</v>
      </c>
      <c r="D60" s="56">
        <f>D54</f>
        <v>0.20200000000000001</v>
      </c>
      <c r="E60" s="56">
        <f>MAX(C60:D60)</f>
        <v>0.48699999999999999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0.11</v>
      </c>
      <c r="D62" s="49">
        <f t="shared" si="11"/>
        <v>0.02</v>
      </c>
      <c r="E62" s="49">
        <f>MAX(C62:D62)</f>
        <v>0.11</v>
      </c>
      <c r="G62" s="1" t="str">
        <f>G56</f>
        <v>per 100 referrals</v>
      </c>
      <c r="L62" s="58">
        <f>IF(($E56&gt;0),L56,L55)</f>
        <v>100</v>
      </c>
      <c r="M62" s="58"/>
    </row>
    <row r="63" spans="2:18" ht="15" hidden="1" customHeight="1">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youth petitioned</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0.48699999999999999</v>
      </c>
      <c r="D66" s="56">
        <f>D60</f>
        <v>0.20200000000000001</v>
      </c>
      <c r="E66" s="56">
        <f>MAX(C66:D66)</f>
        <v>0.48699999999999999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0.11</v>
      </c>
      <c r="D68" s="49">
        <f t="shared" si="12"/>
        <v>0.02</v>
      </c>
      <c r="E68" s="49">
        <f>MAX(C68:D68)</f>
        <v>0.11</v>
      </c>
      <c r="G68" s="1" t="str">
        <f>G62</f>
        <v>per 100 referrals</v>
      </c>
      <c r="L68" s="58">
        <f>IF(($E62&gt;0),L62,L61)</f>
        <v>100</v>
      </c>
      <c r="M68" s="58">
        <f>IF((B68=G68),1,2)</f>
        <v>1</v>
      </c>
    </row>
    <row r="69" spans="2:13" ht="15" hidden="1" customHeight="1">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c r="B70" s="49" t="str">
        <f>IF(($E64&gt;0),B64,B63)</f>
        <v>per 100 youth petitioned</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U47JMPN4QEAR-1806752177-35367</_dlc_DocId>
    <_dlc_DocIdUrl xmlns="ac3811b5-0f3e-49e2-ba69-f2ffa0c782af">
      <Url>https://michiganphi.sharepoint.com/sites/CMDMC/_layouts/15/DocIdRedir.aspx?ID=U47JMPN4QEAR-1806752177-35367</Url>
      <Description>U47JMPN4QEAR-1806752177-35367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A23E1E-0535-4F9E-826C-1C1EB725E3DB}"/>
</file>

<file path=customXml/itemProps2.xml><?xml version="1.0" encoding="utf-8"?>
<ds:datastoreItem xmlns:ds="http://schemas.openxmlformats.org/officeDocument/2006/customXml" ds:itemID="{F9C6E933-99EE-4140-BDC6-77382F593FE6}">
  <ds:schemaRefs>
    <ds:schemaRef ds:uri="http://schemas.microsoft.com/sharepoint/v3/contenttype/forms"/>
  </ds:schemaRefs>
</ds:datastoreItem>
</file>

<file path=customXml/itemProps3.xml><?xml version="1.0" encoding="utf-8"?>
<ds:datastoreItem xmlns:ds="http://schemas.openxmlformats.org/officeDocument/2006/customXml" ds:itemID="{2A5EF6A4-41E8-438B-B2CB-EA32C76D2A9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AA8365F9-C6C7-479D-834E-13C154D456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b4d12061-411a-43b8-a6eb-c1483e336b78</vt:lpwstr>
  </property>
</Properties>
</file>