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9B24F7AC-1C74-4B8C-946A-B5B3FB1CF5D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2"/>
  <c r="M66" i="2"/>
  <c r="F27" i="4"/>
  <c r="M66" i="4"/>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2" i="2"/>
  <c r="L58" i="8" l="1"/>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8" s="1"/>
  <c r="L64" i="3"/>
  <c r="C57" i="8"/>
  <c r="B56" i="8"/>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E64" i="8" s="1"/>
  <c r="L70" i="8" s="1"/>
  <c r="E57" i="8"/>
  <c r="C63" i="8" s="1"/>
  <c r="I7" i="9"/>
  <c r="Q8" i="13"/>
  <c r="B63" i="8"/>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6"/>
  <c r="C70" i="3"/>
  <c r="D14" i="3" s="1"/>
  <c r="D70" i="6"/>
  <c r="F13" i="6" s="1"/>
  <c r="E63" i="3"/>
  <c r="C69" i="3" s="1"/>
  <c r="D12" i="3" s="1"/>
  <c r="L69" i="7"/>
  <c r="C69" i="7"/>
  <c r="D12" i="7" s="1"/>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O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D14" i="6"/>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6" l="1"/>
  <c r="Q14" i="6"/>
  <c r="L69" i="3"/>
  <c r="Q12" i="3" s="1"/>
  <c r="D15" i="3"/>
  <c r="F14" i="3"/>
  <c r="B69" i="6"/>
  <c r="M69" i="6" s="1"/>
  <c r="Q14" i="3"/>
  <c r="D13" i="3"/>
  <c r="E69" i="7"/>
  <c r="Q13" i="3"/>
  <c r="K13" i="3" s="1"/>
  <c r="E70" i="3"/>
  <c r="F34" i="3"/>
  <c r="B69" i="3"/>
  <c r="M69" i="3" s="1"/>
  <c r="D15" i="7"/>
  <c r="Q15" i="7"/>
  <c r="F14" i="6"/>
  <c r="O13" i="6"/>
  <c r="T13" i="6" s="1"/>
  <c r="O14" i="6"/>
  <c r="E70" i="6"/>
  <c r="F33" i="3"/>
  <c r="D69" i="3"/>
  <c r="E69" i="3" s="1"/>
  <c r="Q12" i="7"/>
  <c r="C69" i="6"/>
  <c r="D12" i="6" s="1"/>
  <c r="F12" i="7"/>
  <c r="O12" i="7"/>
  <c r="O15" i="7"/>
  <c r="K15" i="7"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R13" i="3"/>
  <c r="S13" i="3" s="1"/>
  <c r="U13" i="3" s="1"/>
  <c r="J13" i="3"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T13" i="3"/>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R14" i="6"/>
  <c r="S14" i="6" s="1"/>
  <c r="F35" i="6"/>
  <c r="R14" i="3"/>
  <c r="S14" i="3" s="1"/>
  <c r="U14" i="3" s="1"/>
  <c r="J14" i="3" s="1"/>
  <c r="M14" i="3" s="1"/>
  <c r="G14" i="3" s="1"/>
  <c r="I15" i="16" s="1"/>
  <c r="F32" i="6"/>
  <c r="T14" i="6"/>
  <c r="R15" i="7"/>
  <c r="S15" i="7" s="1"/>
  <c r="U15" i="7" s="1"/>
  <c r="J15" i="7" s="1"/>
  <c r="M15" i="7" s="1"/>
  <c r="R12" i="7"/>
  <c r="S12" i="7" s="1"/>
  <c r="U12" i="7" s="1"/>
  <c r="J12" i="7" s="1"/>
  <c r="K12" i="7"/>
  <c r="O15" i="3"/>
  <c r="T15" i="3" s="1"/>
  <c r="R13" i="6"/>
  <c r="S13" i="6" s="1"/>
  <c r="U13" i="6" s="1"/>
  <c r="J13" i="6" s="1"/>
  <c r="M13" i="6" s="1"/>
  <c r="G13" i="6" s="1"/>
  <c r="G13" i="9" s="1"/>
  <c r="F32" i="3"/>
  <c r="K14" i="6"/>
  <c r="T15" i="7"/>
  <c r="F35" i="3"/>
  <c r="K13" i="6"/>
  <c r="T12" i="7"/>
  <c r="Q15" i="6"/>
  <c r="Q12" i="6"/>
  <c r="F12" i="3"/>
  <c r="O15" i="6"/>
  <c r="R14" i="8"/>
  <c r="S14" i="8" s="1"/>
  <c r="T13" i="8"/>
  <c r="O12" i="6"/>
  <c r="E69" i="6"/>
  <c r="D15" i="6"/>
  <c r="K14" i="3"/>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L13" i="3"/>
  <c r="P14" i="16" s="1"/>
  <c r="U9" i="3"/>
  <c r="J9" i="3" s="1"/>
  <c r="L9" i="3" s="1"/>
  <c r="Q14" i="13"/>
  <c r="N30" i="5"/>
  <c r="L14" i="5"/>
  <c r="Q15" i="16" s="1"/>
  <c r="I13" i="9"/>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E14" i="9" l="1"/>
  <c r="I15" i="13"/>
  <c r="L12" i="7"/>
  <c r="S13" i="16" s="1"/>
  <c r="M12" i="7"/>
  <c r="L14" i="3"/>
  <c r="P15" i="16" s="1"/>
  <c r="L15" i="7"/>
  <c r="S16" i="16" s="1"/>
  <c r="N30" i="3"/>
  <c r="K15" i="6"/>
  <c r="K15" i="3"/>
  <c r="R15" i="3"/>
  <c r="S15" i="3" s="1"/>
  <c r="U15" i="3" s="1"/>
  <c r="J15" i="3" s="1"/>
  <c r="M15" i="3" s="1"/>
  <c r="G15" i="3" s="1"/>
  <c r="I16" i="16" s="1"/>
  <c r="T15" i="6"/>
  <c r="M14" i="13"/>
  <c r="T12" i="6"/>
  <c r="L13" i="6"/>
  <c r="R14" i="16" s="1"/>
  <c r="R15" i="6"/>
  <c r="S15" i="6" s="1"/>
  <c r="U15" i="6" s="1"/>
  <c r="J15" i="6" s="1"/>
  <c r="M15" i="6" s="1"/>
  <c r="G15" i="6" s="1"/>
  <c r="U14" i="8"/>
  <c r="J14" i="8" s="1"/>
  <c r="N30" i="8" s="1"/>
  <c r="K12" i="6"/>
  <c r="R12" i="6"/>
  <c r="S12" i="6" s="1"/>
  <c r="U12" i="6" s="1"/>
  <c r="J12" i="6" s="1"/>
  <c r="M12" i="6" s="1"/>
  <c r="G12"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V14" i="13"/>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Q15" i="9" l="1"/>
  <c r="L15" i="3"/>
  <c r="P16" i="16" s="1"/>
  <c r="I16" i="13"/>
  <c r="E15" i="9"/>
  <c r="V15" i="13"/>
  <c r="Y13" i="13"/>
  <c r="N14" i="9"/>
  <c r="Y16" i="13"/>
  <c r="X14" i="13"/>
  <c r="L14" i="8"/>
  <c r="T15" i="16" s="1"/>
  <c r="P13" i="9"/>
  <c r="L15" i="6"/>
  <c r="R16" i="16" s="1"/>
  <c r="L12" i="6"/>
  <c r="R13" i="16" s="1"/>
  <c r="M14" i="8"/>
  <c r="G14" i="8" s="1"/>
  <c r="K15" i="16" s="1"/>
  <c r="U12" i="8"/>
  <c r="J12" i="8" s="1"/>
  <c r="L12" i="8" s="1"/>
  <c r="T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Z15" i="13"/>
  <c r="R14" i="9"/>
  <c r="X16" i="13"/>
  <c r="X13" i="13"/>
  <c r="P12" i="9"/>
  <c r="I14" i="9"/>
  <c r="Q15" i="13"/>
  <c r="M12" i="8"/>
  <c r="G12" i="8" s="1"/>
  <c r="K13" i="1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<sst xmlns="http://schemas.openxmlformats.org/spreadsheetml/2006/main" count="654" uniqueCount="141">
  <si>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</si>
  <si>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</si>
  <si>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</si>
  <si>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</si>
  <si>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</si>
  <si>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</si>
  <si>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</si>
  <si>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</si>
  <si>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</si>
  <si>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</si>
  <si>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</si>
  <si>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</si>
  <si>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</si>
  <si>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</si>
  <si>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</si>
  <si>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</si>
  <si>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</si>
  <si>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</si>
  <si>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</si>
  <si>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</si>
  <si>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</si>
  <si>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</si>
  <si>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</si>
  <si>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</si>
  <si>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</si>
  <si>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</si>
  <si>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</si>
  <si>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</si>
  <si>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</si>
  <si>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</si>
  <si>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</si>
  <si>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</si>
  <si>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</si>
  <si>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</si>
  <si>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</si>
  <si>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</si>
  <si>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</si>
  <si>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</si>
  <si>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</si>
  <si>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</si>
  <si>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</si>
  <si>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</si>
  <si>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</si>
  <si>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</si>
  <si>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</si>
  <si>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</si>
  <si>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</si>
  <si>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</si>
  <si>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</si>
  <si>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</si>
  <si>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</si>
  <si>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</si>
  <si>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</si>
  <si>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</si>
  <si>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</si>
  <si>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</si>
  <si>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</si>
  <si>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</si>
  <si>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</si>
  <si>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</si>
  <si>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</si>
  <si>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</si>
  <si>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</si>
  <si>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</si>
  <si>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</si>
  <si>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</si>
  <si>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</si>
  <si>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</si>
  <si>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</si>
  <si>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</si>
  <si>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</si>
  <si>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</si>
  <si>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</si>
  <si>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</si>
  <si>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</si>
  <si>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</si>
  <si>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</si>
  <si>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</si>
  <si>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</si>
  <si>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</si>
  <si>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</si>
  <si>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</si>
  <si>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</si>
  <si>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</si>
  <si>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</si>
  <si>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</si>
  <si>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</si>
  <si>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</si>
  <si>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</si>
  <si>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</si>
  <si>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</si>
  <si>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</si>
  <si>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</si>
  <si>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</si>
  <si>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</si>
  <si>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</si>
  <si>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</si>
  <si>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</si>
  <si>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</si>
  <si>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</si>
  <si>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</si>
  <si>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</si>
  <si>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</si>
  <si>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</si>
  <si>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</si>
  <si>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</si>
  <si>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</si>
  <si>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</si>
  <si>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</si>
  <si>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</si>
  <si>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</si>
  <si>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</si>
  <si>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</si>
  <si>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</si>
  <si>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</si>
  <si>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</si>
  <si>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</si>
  <si>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</si>
  <si>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</si>
  <si>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</si>
  <si>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</si>
  <si>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</si>
  <si>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</si>
  <si>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</si>
  <si>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</si>
  <si>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</si>
  <si>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</si>
  <si>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</si>
  <si>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</si>
  <si>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</si>
  <si>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</si>
  <si>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</si>
  <si>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</si>
  <si>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</si>
  <si>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</si>
  <si>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</si>
  <si>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</si>
  <si>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Mackinac</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</si>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</sst>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Mackinac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c:v>
                </c:pt>
                <c:pt idx="3">
                  <c:v>Petitions, total N=1</c:v>
                </c:pt>
                <c:pt idx="4">
                  <c:v>Detentions, total N=4</c:v>
                </c:pt>
                <c:pt idx="5">
                  <c:v>Referrals, total N=14</c:v>
                </c:pt>
                <c:pt idx="6">
                  <c:v>Arrests, total N=11</c:v>
                </c:pt>
                <c:pt idx="7">
                  <c:v>Population, total N=705</c:v>
                </c:pt>
              </c:strCache>
            </c:strRef>
          </c:cat>
          <c:val>
            <c:numRef>
              <c:f>'Stacked 100%'!$B$7:$B$14</c:f>
              <c:numCache>
                <c:formatCode>0%</c:formatCode>
                <c:ptCount val="8"/>
                <c:pt idx="0">
                  <c:v>0</c:v>
                </c:pt>
                <c:pt idx="1">
                  <c:v>0</c:v>
                </c:pt>
                <c:pt idx="2">
                  <c:v>0</c:v>
                </c:pt>
                <c:pt idx="3">
                  <c:v>0</c:v>
                </c:pt>
                <c:pt idx="4">
                  <c:v>0</c:v>
                </c:pt>
                <c:pt idx="5">
                  <c:v>7.1428571428571425E-2</c:v>
                </c:pt>
                <c:pt idx="6">
                  <c:v>9.0909090909090912E-2</c:v>
                </c:pt>
                <c:pt idx="7">
                  <c:v>2.6950354609929079E-2</c:v>
                </c:pt>
              </c:numCache>
            </c:numRef>
          </c:val>
          <c:extLst>
            <c:ext xmlns:c16="http://schemas.microsoft.com/office/drawing/2014/chart" uri="{C3380CC4-5D6E-409C-BE32-E72D297353CC}">
              <c16:uniqueId val="{00000000-4391-4035-8BA2-17B92533B72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c:v>
                </c:pt>
                <c:pt idx="3">
                  <c:v>Petitions, total N=1</c:v>
                </c:pt>
                <c:pt idx="4">
                  <c:v>Detentions, total N=4</c:v>
                </c:pt>
                <c:pt idx="5">
                  <c:v>Referrals, total N=14</c:v>
                </c:pt>
                <c:pt idx="6">
                  <c:v>Arrests, total N=11</c:v>
                </c:pt>
                <c:pt idx="7">
                  <c:v>Population, total N=705</c:v>
                </c:pt>
              </c:strCache>
            </c:strRef>
          </c:cat>
          <c:val>
            <c:numRef>
              <c:f>'Stacked 100%'!$C$7:$C$14</c:f>
              <c:numCache>
                <c:formatCode>0%</c:formatCode>
                <c:ptCount val="8"/>
                <c:pt idx="0">
                  <c:v>0</c:v>
                </c:pt>
                <c:pt idx="1">
                  <c:v>0</c:v>
                </c:pt>
                <c:pt idx="2">
                  <c:v>0</c:v>
                </c:pt>
                <c:pt idx="3">
                  <c:v>0</c:v>
                </c:pt>
                <c:pt idx="4">
                  <c:v>0</c:v>
                </c:pt>
                <c:pt idx="5">
                  <c:v>0</c:v>
                </c:pt>
                <c:pt idx="6">
                  <c:v>0</c:v>
                </c:pt>
                <c:pt idx="7">
                  <c:v>5.2482269503546099E-2</c:v>
                </c:pt>
              </c:numCache>
            </c:numRef>
          </c:val>
          <c:extLst>
            <c:ext xmlns:c16="http://schemas.microsoft.com/office/drawing/2014/chart" uri="{C3380CC4-5D6E-409C-BE32-E72D297353CC}">
              <c16:uniqueId val="{00000001-4391-4035-8BA2-17B92533B72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N=1</c:v>
                </c:pt>
                <c:pt idx="3">
                  <c:v>Petitions, total N=1</c:v>
                </c:pt>
                <c:pt idx="4">
                  <c:v>Detentions, total N=4</c:v>
                </c:pt>
                <c:pt idx="5">
                  <c:v>Referrals, total N=14</c:v>
                </c:pt>
                <c:pt idx="6">
                  <c:v>Arrests, total N=11</c:v>
                </c:pt>
                <c:pt idx="7">
                  <c:v>Population, total N=705</c:v>
                </c:pt>
              </c:strCache>
            </c:strRef>
          </c:cat>
          <c:val>
            <c:numRef>
              <c:f>'Stacked 100%'!$H$7:$H$14</c:f>
              <c:numCache>
                <c:formatCode>0%</c:formatCode>
                <c:ptCount val="8"/>
                <c:pt idx="0">
                  <c:v>0</c:v>
                </c:pt>
                <c:pt idx="1">
                  <c:v>0</c:v>
                </c:pt>
                <c:pt idx="2">
                  <c:v>0</c:v>
                </c:pt>
                <c:pt idx="3">
                  <c:v>0</c:v>
                </c:pt>
                <c:pt idx="4">
                  <c:v>0</c:v>
                </c:pt>
                <c:pt idx="5">
                  <c:v>1.5306122448979591E-2</c:v>
                </c:pt>
                <c:pt idx="6">
                  <c:v>0</c:v>
                </c:pt>
                <c:pt idx="7">
                  <c:v>4.003822745334742E-4</c:v>
                </c:pt>
              </c:numCache>
            </c:numRef>
          </c:val>
          <c:extLst>
            <c:ext xmlns:c16="http://schemas.microsoft.com/office/drawing/2014/chart" uri="{C3380CC4-5D6E-409C-BE32-E72D297353CC}">
              <c16:uniqueId val="{00000002-4391-4035-8BA2-17B92533B72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N=1</c:v>
                </c:pt>
                <c:pt idx="3">
                  <c:v>Petitions, total N=1</c:v>
                </c:pt>
                <c:pt idx="4">
                  <c:v>Detentions, total N=4</c:v>
                </c:pt>
                <c:pt idx="5">
                  <c:v>Referrals, total N=14</c:v>
                </c:pt>
                <c:pt idx="6">
                  <c:v>Arrests, total N=11</c:v>
                </c:pt>
                <c:pt idx="7">
                  <c:v>Population, total N=705</c:v>
                </c:pt>
              </c:strCache>
            </c:strRef>
          </c:cat>
          <c:val>
            <c:numRef>
              <c:f>'Stacked 100%'!$I$7:$I$14</c:f>
              <c:numCache>
                <c:formatCode>0%</c:formatCode>
                <c:ptCount val="8"/>
                <c:pt idx="0">
                  <c:v>0</c:v>
                </c:pt>
                <c:pt idx="1">
                  <c:v>1</c:v>
                </c:pt>
                <c:pt idx="2">
                  <c:v>1</c:v>
                </c:pt>
                <c:pt idx="3">
                  <c:v>1</c:v>
                </c:pt>
                <c:pt idx="4">
                  <c:v>1</c:v>
                </c:pt>
                <c:pt idx="5">
                  <c:v>0.5</c:v>
                </c:pt>
                <c:pt idx="6">
                  <c:v>0.81818181818181823</c:v>
                </c:pt>
                <c:pt idx="7">
                  <c:v>0.63829787234042556</c:v>
                </c:pt>
              </c:numCache>
            </c:numRef>
          </c:val>
          <c:extLst>
            <c:ext xmlns:c16="http://schemas.microsoft.com/office/drawing/2014/chart" uri="{C3380CC4-5D6E-409C-BE32-E72D297353CC}">
              <c16:uniqueId val="{00000003-4391-4035-8BA2-17B92533B72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N=1</c:v>
                </c:pt>
                <c:pt idx="3">
                  <c:v>Petitions, total N=1</c:v>
                </c:pt>
                <c:pt idx="4">
                  <c:v>Detentions, total N=4</c:v>
                </c:pt>
                <c:pt idx="5">
                  <c:v>Referrals, total N=14</c:v>
                </c:pt>
                <c:pt idx="6">
                  <c:v>Arrests, total N=11</c:v>
                </c:pt>
                <c:pt idx="7">
                  <c:v>Population, total N=705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391-4035-8BA2-17B92533B72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705</v>
      </c>
      <c r="C6" s="11">
        <v>450</v>
      </c>
      <c r="D6" s="11">
        <v>19</v>
      </c>
      <c r="E6" s="11">
        <v>37</v>
      </c>
      <c r="F6" s="11">
        <v>3</v>
      </c>
      <c r="G6" s="11"/>
      <c r="H6" s="11">
        <v>196</v>
      </c>
      <c r="I6" s="11"/>
      <c r="J6" s="91">
        <f>SUM(D6:I6)</f>
        <v>255</v>
      </c>
      <c r="K6" s="92"/>
    </row>
    <row r="7" spans="1:11" ht="15.75" customHeight="1" thickBot="1" x14ac:dyDescent="0.25">
      <c r="A7" s="10" t="s">
        <v>8</v>
      </c>
      <c r="B7" s="11">
        <f t="shared" ref="B7:B15" si="0">SUM(C7:I7)+K7</f>
        <v>11</v>
      </c>
      <c r="C7" s="11">
        <v>9</v>
      </c>
      <c r="D7" s="11">
        <v>1</v>
      </c>
      <c r="E7" s="11"/>
      <c r="F7" s="11"/>
      <c r="G7" s="11"/>
      <c r="H7" s="11"/>
      <c r="I7" s="11"/>
      <c r="J7" s="91">
        <f t="shared" ref="J7:J15" si="1">SUM(D7:I7)</f>
        <v>1</v>
      </c>
      <c r="K7" s="92">
        <v>1</v>
      </c>
    </row>
    <row r="8" spans="1:11" ht="15.75" customHeight="1" thickBot="1" x14ac:dyDescent="0.25">
      <c r="A8" s="10" t="s">
        <v>9</v>
      </c>
      <c r="B8" s="11">
        <f t="shared" si="0"/>
        <v>14</v>
      </c>
      <c r="C8" s="11">
        <v>7</v>
      </c>
      <c r="D8" s="11">
        <v>1</v>
      </c>
      <c r="E8" s="11"/>
      <c r="F8" s="11"/>
      <c r="G8" s="11"/>
      <c r="H8" s="11">
        <v>3</v>
      </c>
      <c r="I8" s="11"/>
      <c r="J8" s="91">
        <f t="shared" si="1"/>
        <v>4</v>
      </c>
      <c r="K8" s="92">
        <v>3</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4</v>
      </c>
      <c r="C10" s="11">
        <v>4</v>
      </c>
      <c r="D10" s="11"/>
      <c r="E10" s="11"/>
      <c r="F10" s="11"/>
      <c r="G10" s="11"/>
      <c r="H10" s="11"/>
      <c r="I10" s="11"/>
      <c r="J10" s="91">
        <f t="shared" si="1"/>
        <v>0</v>
      </c>
      <c r="K10" s="92"/>
    </row>
    <row r="11" spans="1:11" ht="15.75" customHeight="1" thickBot="1" x14ac:dyDescent="0.25">
      <c r="A11" s="10" t="s">
        <v>12</v>
      </c>
      <c r="B11" s="11">
        <f t="shared" si="0"/>
        <v>1</v>
      </c>
      <c r="C11" s="11">
        <v>1</v>
      </c>
      <c r="D11" s="11"/>
      <c r="E11" s="11"/>
      <c r="F11" s="11"/>
      <c r="G11" s="11"/>
      <c r="H11" s="11"/>
      <c r="I11" s="11"/>
      <c r="J11" s="91">
        <f t="shared" si="1"/>
        <v>0</v>
      </c>
      <c r="K11" s="92"/>
    </row>
    <row r="12" spans="1:11" ht="15.75" customHeight="1" thickBot="1" x14ac:dyDescent="0.25">
      <c r="A12" s="10" t="s">
        <v>13</v>
      </c>
      <c r="B12" s="11">
        <f t="shared" si="0"/>
        <v>1</v>
      </c>
      <c r="C12" s="11">
        <v>1</v>
      </c>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3</v>
      </c>
      <c r="C14" s="11">
        <v>3</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441</v>
      </c>
      <c r="R7" s="42">
        <f t="shared" ref="R7:R15" si="5">SUM(N7:Q7)</f>
        <v>450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77.777777777777786</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2</v>
      </c>
      <c r="R8" s="42">
        <f t="shared" si="5"/>
        <v>9.0500000000000007</v>
      </c>
      <c r="S8" s="30">
        <f t="shared" si="6"/>
        <v>1.1086250000000004</v>
      </c>
      <c r="T8" s="30">
        <f t="shared" si="7"/>
        <v>6.4574999999999996</v>
      </c>
      <c r="U8" s="31">
        <f t="shared" si="8"/>
        <v>0.17168021680216811</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14.285714285714285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6.0000000000000009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0</v>
      </c>
      <c r="E42" s="56">
        <f>MAX(C42:D42)</f>
        <v>0.45</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0</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0</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0</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0</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Entry'!J6</f>
        <v>255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Entry'!J7</f>
        <v>1</v>
      </c>
      <c r="F7" s="34">
        <f>IF((AND($E$7&gt;0,$D$66&gt;0)),($E$7/$D$66),0)</f>
        <v>3.9215686274509802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254</v>
      </c>
      <c r="P7" s="42">
        <f t="shared" ref="P7:P15" si="4">C7</f>
        <v>9</v>
      </c>
      <c r="Q7" s="42">
        <f>C6-C7</f>
        <v>441</v>
      </c>
      <c r="R7" s="42">
        <f t="shared" ref="R7:R15" si="5">SUM(N7:Q7)</f>
        <v>705</v>
      </c>
      <c r="S7" s="30">
        <f t="shared" ref="S7:S15" si="6">R7*((((N7*Q7)-(O7*P7))^2))</f>
        <v>2399837625</v>
      </c>
      <c r="T7" s="30">
        <f t="shared" ref="T7:T15" si="7">(N7+O7)*(P7+Q7)*(N7+P7)*(O7+Q7)</f>
        <v>797512500</v>
      </c>
      <c r="U7" s="31">
        <f t="shared" ref="U7:U15" si="8">IF((S7&gt;0),S7/T7,"- -")</f>
        <v>3.0091536182818452</v>
      </c>
    </row>
    <row r="8" spans="2:21" ht="18" customHeight="1" x14ac:dyDescent="0.25">
      <c r="B8" s="32" t="str">
        <f>'Data Entry'!A8</f>
        <v>3. Refer to Juvenile Court</v>
      </c>
      <c r="C8" s="33">
        <f>'Data Entry'!C8</f>
        <v>7</v>
      </c>
      <c r="D8" s="34">
        <f>IF((AND(C67&gt;0,C8&gt;0)),(C8/C67),0)</f>
        <v>77.777777777777786</v>
      </c>
      <c r="E8" s="33">
        <f>'Data Entry'!J8</f>
        <v>4</v>
      </c>
      <c r="F8" s="34">
        <f>IF((AND($E$8&gt;0,$D$67&gt;0)),($E8/$D67),0)</f>
        <v>400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-2.95</v>
      </c>
      <c r="P8" s="42">
        <f t="shared" si="4"/>
        <v>7</v>
      </c>
      <c r="Q8" s="42">
        <f>(C$67*L67)-C8</f>
        <v>2</v>
      </c>
      <c r="R8" s="42">
        <f t="shared" si="5"/>
        <v>10.050000000000001</v>
      </c>
      <c r="S8" s="30">
        <f t="shared" si="6"/>
        <v>8249.2661250000019</v>
      </c>
      <c r="T8" s="30">
        <f t="shared" si="7"/>
        <v>-98.752500000000012</v>
      </c>
      <c r="U8" s="31">
        <f t="shared" si="8"/>
        <v>-83.534757347915246</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7.0000000000000009</v>
      </c>
      <c r="R9" s="42">
        <f t="shared" si="5"/>
        <v>11</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4</v>
      </c>
      <c r="Q10" s="42">
        <f>(C$68*L68)-C10</f>
        <v>3.0000000000000009</v>
      </c>
      <c r="R10" s="42">
        <f t="shared" si="5"/>
        <v>11</v>
      </c>
      <c r="S10" s="30">
        <f t="shared" si="6"/>
        <v>2816</v>
      </c>
      <c r="T10" s="30">
        <f t="shared" si="7"/>
        <v>784.00000000000023</v>
      </c>
      <c r="U10" s="31">
        <f t="shared" si="8"/>
        <v>3.5918367346938767</v>
      </c>
    </row>
    <row r="11" spans="2:21" ht="18" customHeight="1" x14ac:dyDescent="0.25">
      <c r="B11" s="32" t="str">
        <f>'Data Entry'!A11</f>
        <v>6. Cases Petitioned (Charge Filed)</v>
      </c>
      <c r="C11" s="33">
        <f>'Data Entry'!C11</f>
        <v>1</v>
      </c>
      <c r="D11" s="34">
        <f>IF(((AND(C68&gt;0,C11&gt;0))),(C11/(C68)),0)</f>
        <v>14.285714285714285</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4</v>
      </c>
      <c r="P11" s="42">
        <f t="shared" si="4"/>
        <v>1</v>
      </c>
      <c r="Q11" s="42">
        <f>(C$68*L68)-C11</f>
        <v>6.0000000000000009</v>
      </c>
      <c r="R11" s="42">
        <f t="shared" si="5"/>
        <v>11</v>
      </c>
      <c r="S11" s="30">
        <f t="shared" si="6"/>
        <v>176</v>
      </c>
      <c r="T11" s="30">
        <f t="shared" si="7"/>
        <v>280.00000000000006</v>
      </c>
      <c r="U11" s="31">
        <f t="shared" si="8"/>
        <v>0.62857142857142845</v>
      </c>
    </row>
    <row r="12" spans="2:21" ht="18" customHeight="1" x14ac:dyDescent="0.25">
      <c r="B12" s="32" t="str">
        <f>'Data Entry'!A12</f>
        <v>7. Cases Resulting in Delinquent Findings</v>
      </c>
      <c r="C12" s="33">
        <f>'Data Entry'!C12</f>
        <v>1</v>
      </c>
      <c r="D12" s="34">
        <f>IF(((AND(C69&gt;0,C12&gt;0))),(C12/(C69)),0)</f>
        <v>100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0.255</v>
      </c>
      <c r="E42" s="56">
        <f>MAX(C42:D42)</f>
        <v>0.45</v>
      </c>
      <c r="G42" s="1" t="str">
        <f>B42</f>
        <v>per 1000 youth</v>
      </c>
      <c r="L42" s="57">
        <v>1000</v>
      </c>
      <c r="M42" s="57"/>
      <c r="R42" s="49"/>
    </row>
    <row r="43" spans="2:18" ht="15" hidden="1" customHeight="1" x14ac:dyDescent="0.25">
      <c r="B43" s="49" t="s">
        <v>87</v>
      </c>
      <c r="C43" s="56">
        <f>C7/100</f>
        <v>0.09</v>
      </c>
      <c r="D43" s="56">
        <f>E7/100</f>
        <v>0.01</v>
      </c>
      <c r="E43" s="56">
        <f>MAX(C43:D43,0)</f>
        <v>0.09</v>
      </c>
      <c r="G43" s="1" t="str">
        <f>B43</f>
        <v>per 100 arrests</v>
      </c>
      <c r="L43" s="57">
        <v>100</v>
      </c>
      <c r="M43" s="57"/>
      <c r="R43" s="49"/>
    </row>
    <row r="44" spans="2:18" ht="15" hidden="1" customHeight="1" x14ac:dyDescent="0.25">
      <c r="B44" s="49" t="s">
        <v>88</v>
      </c>
      <c r="C44" s="56">
        <f>C8/100</f>
        <v>7.0000000000000007E-2</v>
      </c>
      <c r="D44" s="56">
        <f>E8/100</f>
        <v>0.04</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0.255</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0.01</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0.04</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0.255</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0.01</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0.04</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0.255</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0.01</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0.04</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0.255</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0.01</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0.04</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Mackinac</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20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f>'Am Indian'!L10</f>
        <v>40</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f>'Am Indian'!L11</f>
        <v>40</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705</v>
      </c>
      <c r="D3" s="57">
        <f>'Data Entry'!C6</f>
        <v>450</v>
      </c>
      <c r="E3" s="57">
        <f>'Data Entry'!D6</f>
        <v>19</v>
      </c>
      <c r="F3" s="57">
        <f>'Data Entry'!E6</f>
        <v>37</v>
      </c>
      <c r="G3" s="57">
        <f>'Data Entry'!F6</f>
        <v>3</v>
      </c>
      <c r="H3" s="57">
        <f>'Data Entry'!G6</f>
        <v>0</v>
      </c>
      <c r="I3" s="57">
        <f>'Data Entry'!H6</f>
        <v>196</v>
      </c>
      <c r="J3" s="57">
        <f>'Data Entry'!I6</f>
        <v>0</v>
      </c>
      <c r="K3" s="57">
        <f>'Data Entry'!J6</f>
        <v>255</v>
      </c>
    </row>
    <row r="4" spans="2:11" ht="15" customHeight="1" x14ac:dyDescent="0.25">
      <c r="B4" s="16" t="s">
        <v>8</v>
      </c>
      <c r="C4" s="1">
        <f>IF((C$3&gt;0),(1000*('Data Entry'!B7/'Data Entry'!B$6)), 0)</f>
        <v>15.602836879432624</v>
      </c>
      <c r="D4" s="1">
        <f>IF((D$3&gt;0),(1000*('Data Entry'!C7/'Data Entry'!C$6)), 0)</f>
        <v>20</v>
      </c>
      <c r="E4" s="1">
        <f>IF((E$3&gt;0),(1000*('Data Entry'!D7/'Data Entry'!D$6)), 0)</f>
        <v>52.631578947368418</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3.9215686274509802</v>
      </c>
    </row>
    <row r="5" spans="2:11" ht="15" customHeight="1" x14ac:dyDescent="0.25">
      <c r="B5" s="16" t="s">
        <v>9</v>
      </c>
      <c r="C5" s="1">
        <f>IF((C$3&gt;0),(1000*('Data Entry'!B8/'Data Entry'!B$6)), 0)</f>
        <v>19.858156028368796</v>
      </c>
      <c r="D5" s="1">
        <f>IF((D$3&gt;0),(1000*('Data Entry'!C8/'Data Entry'!C$6)), 0)</f>
        <v>15.555555555555555</v>
      </c>
      <c r="E5" s="1">
        <f>IF((E$3&gt;0),(1000*('Data Entry'!D8/'Data Entry'!D$6)), 0)</f>
        <v>52.631578947368418</v>
      </c>
      <c r="F5" s="1">
        <f>IF((F$3&gt;0),(1000*('Data Entry'!E8/'Data Entry'!E$6)), 0)</f>
        <v>0</v>
      </c>
      <c r="G5" s="1">
        <f>IF((G$3&gt;0),(1000*('Data Entry'!F8/'Data Entry'!F$6)), 0)</f>
        <v>0</v>
      </c>
      <c r="H5" s="1">
        <f>IF((H$3&gt;0),(1000*('Data Entry'!G8/'Data Entry'!G$6)), 0)</f>
        <v>0</v>
      </c>
      <c r="I5" s="1">
        <f>IF((I$3&gt;0),(1000*('Data Entry'!H8/'Data Entry'!H$6)), 0)</f>
        <v>15.306122448979592</v>
      </c>
      <c r="J5" s="1">
        <f>IF((J$3&gt;0),(1000*('Data Entry'!I8/'Data Entry'!I$6)), 0)</f>
        <v>0</v>
      </c>
      <c r="K5" s="1">
        <f>IF((K$3&gt;0),(1000*('Data Entry'!J8/'Data Entry'!J$6)), 0)</f>
        <v>15.686274509803921</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5.6737588652482271</v>
      </c>
      <c r="D7" s="1">
        <f>IF((D$3&gt;0),(1000*('Data Entry'!C10/'Data Entry'!C$6)), 0)</f>
        <v>8.8888888888888893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1.4184397163120568</v>
      </c>
      <c r="D8" s="1">
        <f>IF((D$3&gt;0),(1000*('Data Entry'!C11/'Data Entry'!C$6)), 0)</f>
        <v>2.2222222222222223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1.4184397163120568</v>
      </c>
      <c r="D9" s="1">
        <f>IF((D$3&gt;0),(1000*('Data Entry'!C12/'Data Entry'!C$6)), 0)</f>
        <v>2.2222222222222223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4.2553191489361701</v>
      </c>
      <c r="D11" s="1">
        <f>IF((D$3&gt;0),(1000*('Data Entry'!C14/'Data Entry'!C$6)), 0)</f>
        <v>6.666666666666667</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Mackinac</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2.6315789473684208</v>
      </c>
      <c r="E19" s="72" t="str">
        <f t="shared" si="1"/>
        <v>--</v>
      </c>
      <c r="F19" s="72" t="str">
        <f t="shared" si="1"/>
        <v>--</v>
      </c>
      <c r="G19" s="72" t="str">
        <f t="shared" si="1"/>
        <v>--</v>
      </c>
      <c r="H19" s="72" t="str">
        <f t="shared" si="1"/>
        <v>--</v>
      </c>
      <c r="I19" s="72" t="str">
        <f t="shared" si="1"/>
        <v>--</v>
      </c>
      <c r="J19" s="73">
        <f t="shared" si="1"/>
        <v>0.19607843137254902</v>
      </c>
    </row>
    <row r="20" spans="2:10" ht="15" customHeight="1" x14ac:dyDescent="0.25">
      <c r="B20" s="71" t="s">
        <v>9</v>
      </c>
      <c r="C20" s="72">
        <f t="shared" ref="C20:J27" si="2">IF(AND(($D5&gt;0),(D5&gt;0)), (D5/$D5),"--")</f>
        <v>1</v>
      </c>
      <c r="D20" s="72">
        <f t="shared" si="2"/>
        <v>3.3834586466165413</v>
      </c>
      <c r="E20" s="72" t="str">
        <f t="shared" si="2"/>
        <v>--</v>
      </c>
      <c r="F20" s="72" t="str">
        <f t="shared" si="2"/>
        <v>--</v>
      </c>
      <c r="G20" s="72" t="str">
        <f t="shared" si="2"/>
        <v>--</v>
      </c>
      <c r="H20" s="72">
        <f t="shared" si="2"/>
        <v>0.98396501457725949</v>
      </c>
      <c r="I20" s="72" t="str">
        <f t="shared" si="2"/>
        <v>--</v>
      </c>
      <c r="J20" s="73">
        <f t="shared" si="2"/>
        <v>1.0084033613445378</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Mackinac</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450</v>
      </c>
      <c r="D7" s="105">
        <f>'Data Entry'!D6</f>
        <v>19</v>
      </c>
      <c r="E7" s="106"/>
      <c r="F7" s="107">
        <f>'Data Entry'!E6</f>
        <v>37</v>
      </c>
      <c r="G7" s="106"/>
      <c r="H7" s="107">
        <f>'Data Entry'!F6</f>
        <v>3</v>
      </c>
      <c r="I7" s="106"/>
      <c r="J7" s="107">
        <f>'Data Entry'!G6</f>
        <v>0</v>
      </c>
      <c r="K7" s="106"/>
      <c r="L7" s="107">
        <f>'Data Entry'!H6</f>
        <v>196</v>
      </c>
      <c r="M7" s="106"/>
      <c r="N7" s="107">
        <f>'Data Entry'!I6</f>
        <v>0</v>
      </c>
      <c r="O7" s="106"/>
      <c r="P7" s="107">
        <f>'Data Entry'!J6</f>
        <v>255</v>
      </c>
      <c r="Q7" s="108"/>
    </row>
    <row r="8" spans="2:26" s="1" customFormat="1" ht="15" customHeight="1" x14ac:dyDescent="0.3">
      <c r="B8" s="149" t="s">
        <v>8</v>
      </c>
      <c r="C8" s="104">
        <f>'Data Entry'!C7</f>
        <v>9</v>
      </c>
      <c r="D8" s="105">
        <f>'Data Entry'!D7</f>
        <v>1</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v>
      </c>
      <c r="Q8" s="108" t="str">
        <f>'All Minorities'!G7</f>
        <v>**</v>
      </c>
      <c r="R8"/>
      <c r="T8" s="1">
        <f>'Black or African-American'!L7</f>
        <v>40</v>
      </c>
      <c r="U8" s="1">
        <f>Hispanic!L7</f>
        <v>40</v>
      </c>
      <c r="V8" s="1">
        <f>Asian!L7</f>
        <v>139</v>
      </c>
      <c r="W8" s="1" t="e">
        <f>Hawaiian!L7</f>
        <v>#VALUE!</v>
      </c>
      <c r="X8" s="1">
        <f>'Am Indian'!L7</f>
        <v>20</v>
      </c>
      <c r="Y8" s="1" t="e">
        <f>'Other - Mixed'!L7</f>
        <v>#VALUE!</v>
      </c>
      <c r="Z8" s="1">
        <f>'All Minorities'!L7</f>
        <v>40</v>
      </c>
    </row>
    <row r="9" spans="2:26" s="1" customFormat="1" ht="15" customHeight="1" x14ac:dyDescent="0.3">
      <c r="B9" s="149" t="s">
        <v>134</v>
      </c>
      <c r="C9" s="104">
        <f>'Data Entry'!C8</f>
        <v>7</v>
      </c>
      <c r="D9" s="109">
        <f>'Data Entry'!D8</f>
        <v>1</v>
      </c>
      <c r="E9" s="110" t="str">
        <f>'Black or African-American'!$G8</f>
        <v>**</v>
      </c>
      <c r="F9" s="111">
        <f>'Data Entry'!E8</f>
        <v>0</v>
      </c>
      <c r="G9" s="110" t="str">
        <f>Hispanic!G8</f>
        <v>**</v>
      </c>
      <c r="H9" s="111">
        <f>'Data Entry'!F8</f>
        <v>0</v>
      </c>
      <c r="I9" s="110" t="str">
        <f>Asian!G8</f>
        <v>*</v>
      </c>
      <c r="J9" s="111">
        <f>'Data Entry'!G8</f>
        <v>0</v>
      </c>
      <c r="K9" s="110" t="str">
        <f>Hawaiian!G8</f>
        <v>*</v>
      </c>
      <c r="L9" s="111">
        <f>'Data Entry'!H8</f>
        <v>3</v>
      </c>
      <c r="M9" s="110" t="str">
        <f>'Am Indian'!G8</f>
        <v>**</v>
      </c>
      <c r="N9" s="111">
        <f>'Data Entry'!I8</f>
        <v>0</v>
      </c>
      <c r="O9" s="110" t="str">
        <f>'Other - Mixed'!G8</f>
        <v>*</v>
      </c>
      <c r="P9" s="111">
        <f>'Data Entry'!J8</f>
        <v>4</v>
      </c>
      <c r="Q9" s="112" t="str">
        <f>'All Minorities'!G8</f>
        <v>**</v>
      </c>
      <c r="R9"/>
      <c r="T9" s="1">
        <f>'Black or African-American'!L8</f>
        <v>40</v>
      </c>
      <c r="U9" s="1">
        <f>Hispanic!L8</f>
        <v>40</v>
      </c>
      <c r="V9" s="1">
        <f>Asian!L8</f>
        <v>139</v>
      </c>
      <c r="W9" s="1">
        <f>Hawaiian!L8</f>
        <v>139</v>
      </c>
      <c r="X9" s="1">
        <f>'Am Indian'!L8</f>
        <v>20</v>
      </c>
      <c r="Y9" s="1">
        <f>'Other - Mixed'!L8</f>
        <v>139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t="e">
        <f>Hispanic!L10</f>
        <v>#VALUE!</v>
      </c>
      <c r="V11" s="1" t="e">
        <f>Asian!L10</f>
        <v>#VALUE!</v>
      </c>
      <c r="W11" s="1" t="e">
        <f>Hawaiian!L10</f>
        <v>#VALUE!</v>
      </c>
      <c r="X11" s="1">
        <f>'Am Indian'!L10</f>
        <v>40</v>
      </c>
      <c r="Y11" s="1" t="e">
        <f>'Other - Mixed'!L10</f>
        <v>#VALUE!</v>
      </c>
      <c r="Z11" s="1">
        <f>'All Minorities'!L10</f>
        <v>40</v>
      </c>
    </row>
    <row r="12" spans="2:26" s="1" customFormat="1" ht="15" customHeight="1" x14ac:dyDescent="0.3">
      <c r="B12" s="149" t="s">
        <v>95</v>
      </c>
      <c r="C12" s="104">
        <f>'Data Entry'!C11</f>
        <v>1</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f>'Black or African-American'!L11</f>
        <v>40</v>
      </c>
      <c r="U12" s="1" t="e">
        <f>Hispanic!L11</f>
        <v>#VALUE!</v>
      </c>
      <c r="V12" s="1" t="e">
        <f>Asian!L11</f>
        <v>#VALUE!</v>
      </c>
      <c r="W12" s="1" t="e">
        <f>Hawaiian!L11</f>
        <v>#VALUE!</v>
      </c>
      <c r="X12" s="1">
        <f>'Am Indian'!L11</f>
        <v>40</v>
      </c>
      <c r="Y12" s="1" t="e">
        <f>'Other - Mixed'!L11</f>
        <v>#VALUE!</v>
      </c>
      <c r="Z12" s="1">
        <f>'All Minorities'!L11</f>
        <v>40</v>
      </c>
    </row>
    <row r="13" spans="2:26" s="1" customFormat="1" ht="15" customHeight="1" x14ac:dyDescent="0.3">
      <c r="B13" s="149" t="s">
        <v>13</v>
      </c>
      <c r="C13" s="104">
        <f>'Data Entry'!C12</f>
        <v>1</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Mackinac</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Mackinac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1.7647058823529411</v>
      </c>
    </row>
    <row r="8" spans="1:12" ht="25.5" customHeight="1" x14ac:dyDescent="0.2">
      <c r="A8" s="158" t="str">
        <f>CONCATENATE("Confinement, total N=", 'Data Entry'!B14)</f>
        <v>Confinement, total N=3</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N=3</v>
      </c>
      <c r="L8">
        <f>I14/(SUM(B14:G14))</f>
        <v>1.7647058823529411</v>
      </c>
    </row>
    <row r="9" spans="1:12" x14ac:dyDescent="0.2">
      <c r="A9" s="132" t="str">
        <f>CONCATENATE("Delinquent Findings, total N=", 'Data Entry'!B12)</f>
        <v>Delinquent Findings, total N=1</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N=1</v>
      </c>
      <c r="L9">
        <f>I14/(SUM(B14:G14))</f>
        <v>1.7647058823529411</v>
      </c>
    </row>
    <row r="10" spans="1:12" x14ac:dyDescent="0.2">
      <c r="A10" s="132" t="str">
        <f>CONCATENATE("Petitions, total N=", 'Data Entry'!B11)</f>
        <v>Petitions, total N=1</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v>
      </c>
      <c r="L10">
        <f>I14/(SUM(B14:G14))</f>
        <v>1.7647058823529411</v>
      </c>
    </row>
    <row r="11" spans="1:12" x14ac:dyDescent="0.2">
      <c r="A11" s="132" t="str">
        <f>CONCATENATE("Detentions, total N=", 'Data Entry'!B10)</f>
        <v>Detentions, total N=4</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N=4</v>
      </c>
      <c r="L11">
        <f>I14/(SUM(B14:G14))</f>
        <v>1.7647058823529411</v>
      </c>
    </row>
    <row r="12" spans="1:12" x14ac:dyDescent="0.2">
      <c r="A12" s="132" t="str">
        <f>CONCATENATE("Referrals, total N=", 'Data Entry'!B8)</f>
        <v>Referrals, total N=14</v>
      </c>
      <c r="B12" s="157">
        <f>'Data Entry'!D8/'Data Entry'!B8</f>
        <v>7.1428571428571425E-2</v>
      </c>
      <c r="C12" s="157">
        <f>'Data Entry'!E8/'Data Entry'!B8</f>
        <v>0</v>
      </c>
      <c r="D12" s="157">
        <f>'Data Entry'!F8/'Data Entry'!B8</f>
        <v>0</v>
      </c>
      <c r="E12" s="157">
        <f>'Data Entry'!G8/'Data Entry'!B8</f>
        <v>0</v>
      </c>
      <c r="F12" s="157">
        <f>'Data Entry'!H8/'Data Entry'!B8</f>
        <v>0.21428571428571427</v>
      </c>
      <c r="G12" s="157">
        <f>'Data Entry'!I8/'Data Entry'!B8</f>
        <v>0</v>
      </c>
      <c r="H12" s="157">
        <f>SUM(D12:G12)/'Data Entry'!B8</f>
        <v>1.5306122448979591E-2</v>
      </c>
      <c r="I12" s="157">
        <f>'Data Entry'!C8/'Data Entry'!B8</f>
        <v>0.5</v>
      </c>
      <c r="K12" s="97" t="str">
        <f t="shared" si="0"/>
        <v>Referrals, total N=14</v>
      </c>
      <c r="L12">
        <f>I14/(SUM(B14:G14))</f>
        <v>1.7647058823529411</v>
      </c>
    </row>
    <row r="13" spans="1:12" x14ac:dyDescent="0.2">
      <c r="A13" s="132" t="str">
        <f>CONCATENATE("Arrests, total N=", 'Data Entry'!B7)</f>
        <v>Arrests, total N=11</v>
      </c>
      <c r="B13" s="157">
        <f>'Data Entry'!D7/'Data Entry'!B7</f>
        <v>9.0909090909090912E-2</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0.81818181818181823</v>
      </c>
      <c r="K13" s="97" t="str">
        <f t="shared" si="0"/>
        <v>Arrests, total N=11</v>
      </c>
      <c r="L13">
        <f>I14/(SUM(B14:G14))</f>
        <v>1.7647058823529411</v>
      </c>
    </row>
    <row r="14" spans="1:12" x14ac:dyDescent="0.2">
      <c r="A14" s="132" t="str">
        <f>CONCATENATE("Population, total N=", 'Data Entry'!B6)</f>
        <v>Population, total N=705</v>
      </c>
      <c r="B14" s="157">
        <f>'Data Entry'!D6/'Data Entry'!B6</f>
        <v>2.6950354609929079E-2</v>
      </c>
      <c r="C14" s="157">
        <f>'Data Entry'!E6/'Data Entry'!B6</f>
        <v>5.2482269503546099E-2</v>
      </c>
      <c r="D14" s="157">
        <f>'Data Entry'!F6/'Data Entry'!B6</f>
        <v>4.2553191489361703E-3</v>
      </c>
      <c r="E14" s="157">
        <f>'Data Entry'!G6/'Data Entry'!B6</f>
        <v>0</v>
      </c>
      <c r="F14" s="157">
        <f>'Data Entry'!H6/'Data Entry'!B6</f>
        <v>0.27801418439716313</v>
      </c>
      <c r="G14" s="157">
        <f>'Data Entry'!I6/'Data Entry'!B6</f>
        <v>0</v>
      </c>
      <c r="H14" s="157">
        <f>SUM(D14:G14)/'Data Entry'!B6</f>
        <v>4.003822745334742E-4</v>
      </c>
      <c r="I14" s="157">
        <f>'Data Entry'!C6/'Data Entry'!B6</f>
        <v>0.63829787234042556</v>
      </c>
      <c r="K14" s="97" t="str">
        <f t="shared" si="0"/>
        <v>Population, total N=705</v>
      </c>
      <c r="L14">
        <f>I14/(SUM(B14:G14))</f>
        <v>1.7647058823529411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Mackinac</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450</v>
      </c>
      <c r="D7" s="105">
        <f>'Data Entry'!D6</f>
        <v>19</v>
      </c>
      <c r="E7" s="106"/>
      <c r="F7" s="107">
        <f>'Data Entry'!E6</f>
        <v>37</v>
      </c>
      <c r="G7" s="106"/>
      <c r="H7" s="107">
        <f>'Data Entry'!F6</f>
        <v>3</v>
      </c>
      <c r="I7" s="106"/>
      <c r="J7" s="107">
        <f>'Data Entry'!J6</f>
        <v>255</v>
      </c>
      <c r="K7" s="108"/>
    </row>
    <row r="8" spans="2:30" s="1" customFormat="1" ht="15" customHeight="1" x14ac:dyDescent="0.3">
      <c r="B8" s="125" t="s">
        <v>8</v>
      </c>
      <c r="C8" s="104">
        <f>'Data Entry'!C7</f>
        <v>9</v>
      </c>
      <c r="D8" s="105">
        <f>'Data Entry'!D7</f>
        <v>1</v>
      </c>
      <c r="E8" s="106" t="str">
        <f>'Black or African-American'!$G7</f>
        <v>**</v>
      </c>
      <c r="F8" s="107">
        <f>'Data Entry'!E7</f>
        <v>0</v>
      </c>
      <c r="G8" s="106" t="str">
        <f>Hispanic!G7</f>
        <v>**</v>
      </c>
      <c r="H8" s="107">
        <f>'Data Entry'!F7</f>
        <v>0</v>
      </c>
      <c r="I8" s="106" t="str">
        <f>Asian!G7</f>
        <v>*</v>
      </c>
      <c r="J8" s="107">
        <f>'Data Entry'!J7</f>
        <v>1</v>
      </c>
      <c r="K8" s="108" t="str">
        <f>'All Minorities'!G7</f>
        <v>**</v>
      </c>
      <c r="L8"/>
      <c r="N8" s="1">
        <f>'Black or African-American'!L7</f>
        <v>40</v>
      </c>
      <c r="O8" s="1">
        <f>Hispanic!L7</f>
        <v>40</v>
      </c>
      <c r="P8" s="1">
        <f>Asian!L7</f>
        <v>139</v>
      </c>
      <c r="Q8" s="1" t="e">
        <f>Hawaiian!L7</f>
        <v>#VALUE!</v>
      </c>
      <c r="R8" s="1">
        <f>'Am Indian'!L7</f>
        <v>20</v>
      </c>
      <c r="S8" s="1" t="e">
        <f>'Other - Mixed'!L7</f>
        <v>#VALUE!</v>
      </c>
      <c r="T8" s="1">
        <f>'All Minorities'!L7</f>
        <v>40</v>
      </c>
    </row>
    <row r="9" spans="2:30" s="1" customFormat="1" ht="15" customHeight="1" x14ac:dyDescent="0.3">
      <c r="B9" s="125" t="s">
        <v>134</v>
      </c>
      <c r="C9" s="104">
        <f>'Data Entry'!C8</f>
        <v>7</v>
      </c>
      <c r="D9" s="109">
        <f>'Data Entry'!D8</f>
        <v>1</v>
      </c>
      <c r="E9" s="110" t="str">
        <f>'Black or African-American'!$G8</f>
        <v>**</v>
      </c>
      <c r="F9" s="111">
        <f>'Data Entry'!E8</f>
        <v>0</v>
      </c>
      <c r="G9" s="110" t="str">
        <f>Hispanic!G8</f>
        <v>**</v>
      </c>
      <c r="H9" s="111">
        <f>'Data Entry'!F8</f>
        <v>0</v>
      </c>
      <c r="I9" s="110" t="str">
        <f>Asian!G8</f>
        <v>*</v>
      </c>
      <c r="J9" s="111">
        <f>'Data Entry'!J8</f>
        <v>4</v>
      </c>
      <c r="K9" s="112" t="str">
        <f>'All Minorities'!G8</f>
        <v>**</v>
      </c>
      <c r="L9"/>
      <c r="N9" s="1">
        <f>'Black or African-American'!L8</f>
        <v>40</v>
      </c>
      <c r="O9" s="1">
        <f>Hispanic!L8</f>
        <v>40</v>
      </c>
      <c r="P9" s="1">
        <f>Asian!L8</f>
        <v>139</v>
      </c>
      <c r="Q9" s="1">
        <f>Hawaiian!L8</f>
        <v>139</v>
      </c>
      <c r="R9" s="1">
        <f>'Am Indian'!L8</f>
        <v>20</v>
      </c>
      <c r="S9" s="1">
        <f>'Other - Mixed'!L8</f>
        <v>139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t="e">
        <f>Hispanic!L10</f>
        <v>#VALUE!</v>
      </c>
      <c r="P11" s="1" t="e">
        <f>Asian!L10</f>
        <v>#VALUE!</v>
      </c>
      <c r="Q11" s="1" t="e">
        <f>Hawaiian!L10</f>
        <v>#VALUE!</v>
      </c>
      <c r="R11" s="1">
        <f>'Am Indian'!L10</f>
        <v>40</v>
      </c>
      <c r="S11" s="1" t="e">
        <f>'Other - Mixed'!L10</f>
        <v>#VALUE!</v>
      </c>
      <c r="T11" s="1">
        <f>'All Minorities'!L10</f>
        <v>40</v>
      </c>
    </row>
    <row r="12" spans="2:30" s="1" customFormat="1" ht="15" customHeight="1" x14ac:dyDescent="0.3">
      <c r="B12" s="125" t="s">
        <v>95</v>
      </c>
      <c r="C12" s="104">
        <f>'Data Entry'!C11</f>
        <v>1</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f>'Black or African-American'!L11</f>
        <v>40</v>
      </c>
      <c r="O12" s="1" t="e">
        <f>Hispanic!L11</f>
        <v>#VALUE!</v>
      </c>
      <c r="P12" s="1" t="e">
        <f>Asian!L11</f>
        <v>#VALUE!</v>
      </c>
      <c r="Q12" s="1" t="e">
        <f>Hawaiian!L11</f>
        <v>#VALUE!</v>
      </c>
      <c r="R12" s="1">
        <f>'Am Indian'!L11</f>
        <v>40</v>
      </c>
      <c r="S12" s="1" t="e">
        <f>'Other - Mixed'!L11</f>
        <v>#VALUE!</v>
      </c>
      <c r="T12" s="1">
        <f>'All Minorities'!L11</f>
        <v>40</v>
      </c>
    </row>
    <row r="13" spans="2:30" s="1" customFormat="1" ht="15" customHeight="1" x14ac:dyDescent="0.3">
      <c r="B13" s="125" t="s">
        <v>13</v>
      </c>
      <c r="C13" s="104">
        <f>'Data Entry'!C12</f>
        <v>1</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3</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Entry'!D6</f>
        <v>19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Entry'!D7</f>
        <v>1</v>
      </c>
      <c r="F7" s="34">
        <f>IF((AND($E$7&gt;0,$D$66&gt;0)),($E$7/$D$66),0)</f>
        <v>52.631578947368425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18</v>
      </c>
      <c r="P7" s="42">
        <f t="shared" ref="P7:P15" si="2">C7</f>
        <v>9</v>
      </c>
      <c r="Q7" s="42">
        <f>C6-C7</f>
        <v>441</v>
      </c>
      <c r="R7" s="42">
        <f t="shared" ref="R7:R15" si="3">SUM(N7:Q7)</f>
        <v>469</v>
      </c>
      <c r="S7" s="30">
        <f t="shared" ref="S7:S15" si="4">R7*((((N7*Q7)-(O7*P7))^2))</f>
        <v>36507429</v>
      </c>
      <c r="T7" s="30">
        <f t="shared" ref="T7:T15" si="5">(N7+O7)*(P7+Q7)*(N7+P7)*(O7+Q7)</f>
        <v>39244500</v>
      </c>
      <c r="U7" s="31">
        <f t="shared" ref="U7:U15" si="6">IF((S7&gt;0),S7/T7,"- -")</f>
        <v>0.93025593395252837</v>
      </c>
    </row>
    <row r="8" spans="2:21" ht="18" customHeight="1" x14ac:dyDescent="0.25">
      <c r="B8" s="32" t="str">
        <f>'Data Entry'!A8</f>
        <v>3. Refer to Juvenile Court</v>
      </c>
      <c r="C8" s="33">
        <f>'Data Entry'!C8</f>
        <v>7</v>
      </c>
      <c r="D8" s="34">
        <f>IF((AND(C67&gt;0,C8&gt;0)),(C8/C67),0)</f>
        <v>77.777777777777786</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7</v>
      </c>
      <c r="Q8" s="42">
        <f>(C$67*L67)-C8</f>
        <v>2</v>
      </c>
      <c r="R8" s="42">
        <f t="shared" si="3"/>
        <v>10.050000000000001</v>
      </c>
      <c r="S8" s="30">
        <f t="shared" si="4"/>
        <v>27.361124999999998</v>
      </c>
      <c r="T8" s="30">
        <f t="shared" si="5"/>
        <v>154.98000000000002</v>
      </c>
      <c r="U8" s="31">
        <f t="shared" si="6"/>
        <v>0.17654616724738673</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7.0000000000000009</v>
      </c>
      <c r="R9" s="42">
        <f t="shared" si="3"/>
        <v>8</v>
      </c>
      <c r="S9" s="30">
        <f t="shared" si="4"/>
        <v>0</v>
      </c>
      <c r="T9" s="30">
        <f t="shared" si="5"/>
        <v>0</v>
      </c>
      <c r="U9" s="31" t="str">
        <f t="shared" si="6"/>
        <v>- -</v>
      </c>
    </row>
    <row r="10" spans="2:21" ht="18" customHeight="1" x14ac:dyDescent="0.25">
      <c r="B10" s="32" t="str">
        <f>'Data Entry'!A10</f>
        <v>5. Cases Involving Secure Detention</v>
      </c>
      <c r="C10" s="33">
        <f>'Data Entry'!C10</f>
        <v>4</v>
      </c>
      <c r="D10" s="34">
        <f>IF(((AND(C68&gt;0,C10&gt;0))),(C10/(C68)),0)</f>
        <v>57.142857142857139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4</v>
      </c>
      <c r="Q10" s="42">
        <f>(C$68*L68)-C10</f>
        <v>3.0000000000000009</v>
      </c>
      <c r="R10" s="42">
        <f t="shared" si="3"/>
        <v>8</v>
      </c>
      <c r="S10" s="30">
        <f t="shared" si="4"/>
        <v>128</v>
      </c>
      <c r="T10" s="30">
        <f t="shared" si="5"/>
        <v>112.00000000000004</v>
      </c>
      <c r="U10" s="31">
        <f t="shared" si="6"/>
        <v>1.1428571428571423</v>
      </c>
    </row>
    <row r="11" spans="2:21" ht="18" customHeight="1" x14ac:dyDescent="0.25">
      <c r="B11" s="32" t="str">
        <f>'Data Entry'!A11</f>
        <v>6. Cases Petitioned (Charge Filed)</v>
      </c>
      <c r="C11" s="33">
        <f>'Data Entry'!C11</f>
        <v>1</v>
      </c>
      <c r="D11" s="34">
        <f>IF(((AND(C68&gt;0,C11&gt;0))),(C11/(C68)),0)</f>
        <v>14.285714285714285</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1</v>
      </c>
      <c r="Q11" s="42">
        <f>(C$68*L68)-C11</f>
        <v>6.0000000000000009</v>
      </c>
      <c r="R11" s="42">
        <f t="shared" si="3"/>
        <v>8</v>
      </c>
      <c r="S11" s="30">
        <f t="shared" si="4"/>
        <v>8</v>
      </c>
      <c r="T11" s="30">
        <f t="shared" si="5"/>
        <v>49.000000000000014</v>
      </c>
      <c r="U11" s="31">
        <f t="shared" si="6"/>
        <v>0.16326530612244894</v>
      </c>
    </row>
    <row r="12" spans="2:21" ht="18" customHeight="1" x14ac:dyDescent="0.25">
      <c r="B12" s="32" t="str">
        <f>'Data Entry'!A12</f>
        <v>7. Cases Resulting in Delinquent Findings</v>
      </c>
      <c r="C12" s="33">
        <f>'Data Entry'!C12</f>
        <v>1</v>
      </c>
      <c r="D12" s="34">
        <f>IF(((AND(C69&gt;0,C12&gt;0))),(C12/(C69)),0)</f>
        <v>100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v>
      </c>
      <c r="Q12" s="42">
        <f>(C69*L69)-C12</f>
        <v>0</v>
      </c>
      <c r="R12" s="42">
        <f t="shared" si="3"/>
        <v>1</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-2</v>
      </c>
      <c r="R14" s="42">
        <f t="shared" si="3"/>
        <v>1</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1.9E-2</v>
      </c>
      <c r="E42" s="56">
        <f>MAX(C42:D42)</f>
        <v>0.45</v>
      </c>
      <c r="G42" s="1" t="str">
        <f>B42</f>
        <v>per 1000 youth</v>
      </c>
      <c r="L42" s="57">
        <v>1000</v>
      </c>
      <c r="M42" s="57"/>
      <c r="R42" s="49"/>
    </row>
    <row r="43" spans="2:18" ht="15" hidden="1" customHeight="1" x14ac:dyDescent="0.25">
      <c r="B43" s="49" t="s">
        <v>87</v>
      </c>
      <c r="C43" s="56">
        <f>C7/100</f>
        <v>0.09</v>
      </c>
      <c r="D43" s="56">
        <f>E7/100</f>
        <v>0.01</v>
      </c>
      <c r="E43" s="56">
        <f>MAX(C43:D43,0)</f>
        <v>0.09</v>
      </c>
      <c r="G43" s="1" t="str">
        <f>B43</f>
        <v>per 100 arrests</v>
      </c>
      <c r="L43" s="57">
        <v>100</v>
      </c>
      <c r="M43" s="57"/>
      <c r="R43" s="49"/>
    </row>
    <row r="44" spans="2:18" ht="15" hidden="1" customHeight="1" x14ac:dyDescent="0.25">
      <c r="B44" s="49" t="s">
        <v>88</v>
      </c>
      <c r="C44" s="56">
        <f>C8/100</f>
        <v>7.0000000000000007E-2</v>
      </c>
      <c r="D44" s="56">
        <f>E8/100</f>
        <v>0.01</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1.9E-2</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0.09</v>
      </c>
      <c r="D49" s="49">
        <f t="shared" si="9"/>
        <v>0.01</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0.01</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1.9E-2</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0.01</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0.01</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1.9E-2</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0.01</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0.01</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1.9E-2</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0.01</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0.01</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Entry'!F6</f>
        <v>3</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v>
      </c>
      <c r="P7" s="42">
        <f t="shared" ref="P7:P15" si="4">C7</f>
        <v>9</v>
      </c>
      <c r="Q7" s="42">
        <f>C6-C7</f>
        <v>441</v>
      </c>
      <c r="R7" s="42">
        <f t="shared" ref="R7:R15" si="5">SUM(N7:Q7)</f>
        <v>453</v>
      </c>
      <c r="S7" s="30">
        <f t="shared" ref="S7:S15" si="6">R7*((((N7*Q7)-(O7*P7))^2))</f>
        <v>330237</v>
      </c>
      <c r="T7" s="30">
        <f t="shared" ref="T7:T15" si="7">(N7+O7)*(P7+Q7)*(N7+P7)*(O7+Q7)</f>
        <v>5394600</v>
      </c>
      <c r="U7" s="31">
        <f t="shared" ref="U7:U15" si="8">IF((S7&gt;0),S7/T7,"- -")</f>
        <v>6.1216216216216215E-2</v>
      </c>
    </row>
    <row r="8" spans="2:21" ht="18" customHeight="1" x14ac:dyDescent="0.25">
      <c r="B8" s="32" t="str">
        <f>'Data Entry'!A8</f>
        <v>3. Refer to Juvenile Court</v>
      </c>
      <c r="C8" s="33">
        <f>'Data Entry'!C8</f>
        <v>7</v>
      </c>
      <c r="D8" s="34">
        <f>IF((AND(C67&gt;0,C8&gt;0)),(C8/C67),0)</f>
        <v>77.777777777777786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2</v>
      </c>
      <c r="R8" s="42">
        <f t="shared" si="5"/>
        <v>9.0500000000000007</v>
      </c>
      <c r="S8" s="30">
        <f t="shared" si="6"/>
        <v>1.1086250000000004</v>
      </c>
      <c r="T8" s="30">
        <f t="shared" si="7"/>
        <v>6.4574999999999996</v>
      </c>
      <c r="U8" s="31">
        <f t="shared" si="8"/>
        <v>0.17168021680216811</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14.285714285714285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6.0000000000000009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3.0000000000000001E-3</v>
      </c>
      <c r="E42" s="56">
        <f>MAX(C42:D42)</f>
        <v>0.45</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3.0000000000000001E-3</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3.0000000000000001E-3</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3.0000000000000001E-3</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3.0000000000000001E-3</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Entry'!E6</f>
        <v>37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37</v>
      </c>
      <c r="P7" s="42">
        <f t="shared" ref="P7:P15" si="4">C7</f>
        <v>9</v>
      </c>
      <c r="Q7" s="42">
        <f>C6-C7</f>
        <v>441</v>
      </c>
      <c r="R7" s="42">
        <f t="shared" ref="R7:R15" si="5">SUM(N7:Q7)</f>
        <v>487</v>
      </c>
      <c r="S7" s="30">
        <f t="shared" ref="S7:S15" si="6">R7*((((N7*Q7)-(O7*P7))^2))</f>
        <v>54002943</v>
      </c>
      <c r="T7" s="30">
        <f t="shared" ref="T7:T15" si="7">(N7+O7)*(P7+Q7)*(N7+P7)*(O7+Q7)</f>
        <v>71628300</v>
      </c>
      <c r="U7" s="31">
        <f t="shared" ref="U7:U15" si="8">IF((S7&gt;0),S7/T7,"- -")</f>
        <v>0.75393305439330549</v>
      </c>
    </row>
    <row r="8" spans="2:21" ht="18" customHeight="1" x14ac:dyDescent="0.25">
      <c r="B8" s="32" t="str">
        <f>'Data Entry'!A8</f>
        <v>3. Refer to Juvenile Court</v>
      </c>
      <c r="C8" s="33">
        <f>'Data Entry'!C8</f>
        <v>7</v>
      </c>
      <c r="D8" s="34">
        <f>IF((AND(C67&gt;0,C8&gt;0)),(C8/C67),0)</f>
        <v>77.777777777777786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v>
      </c>
      <c r="Q8" s="42">
        <f>(C$67*L67)-C8</f>
        <v>2</v>
      </c>
      <c r="R8" s="42">
        <f t="shared" si="5"/>
        <v>9.0500000000000007</v>
      </c>
      <c r="S8" s="30">
        <f t="shared" si="6"/>
        <v>1.1086250000000004</v>
      </c>
      <c r="T8" s="30">
        <f t="shared" si="7"/>
        <v>6.4574999999999996</v>
      </c>
      <c r="U8" s="31">
        <f t="shared" si="8"/>
        <v>0.17168021680216811</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14.285714285714285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6.0000000000000009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3.6999999999999998E-2</v>
      </c>
      <c r="E42" s="56">
        <f>MAX(C42:D42)</f>
        <v>0.45</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3.6999999999999998E-2</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3.6999999999999998E-2</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3.6999999999999998E-2</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3.6999999999999998E-2</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9</v>
      </c>
      <c r="Q7" s="42">
        <f>C6-C7</f>
        <v>441</v>
      </c>
      <c r="R7" s="42">
        <f t="shared" ref="R7:R15" si="5">SUM(N7:Q7)</f>
        <v>450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v>
      </c>
      <c r="D8" s="34">
        <f>IF((AND(C67&gt;0,C8&gt;0)),(C8/C67),0)</f>
        <v>77.777777777777786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v>
      </c>
      <c r="Q8" s="42">
        <f>(C$67*L67)-C8</f>
        <v>2</v>
      </c>
      <c r="R8" s="42">
        <f t="shared" si="5"/>
        <v>9.0500000000000007</v>
      </c>
      <c r="S8" s="30">
        <f t="shared" si="6"/>
        <v>1.1086250000000004</v>
      </c>
      <c r="T8" s="30">
        <f t="shared" si="7"/>
        <v>6.4574999999999996</v>
      </c>
      <c r="U8" s="31">
        <f t="shared" si="8"/>
        <v>0.17168021680216811</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7.0000000000000009</v>
      </c>
      <c r="R9" s="42">
        <f t="shared" si="5"/>
        <v>7.0000000000000009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3.0000000000000009</v>
      </c>
      <c r="R10" s="42">
        <f t="shared" si="5"/>
        <v>7.0000000000000009</v>
      </c>
      <c r="S10" s="30">
        <f t="shared" si="6"/>
        <v>0</v>
      </c>
      <c r="T10" s="30">
        <f t="shared" si="7"/>
        <v>0</v>
      </c>
      <c r="U10" s="31" t="str">
        <f t="shared" si="8"/>
        <v>- -</v>
      </c>
    </row>
    <row r="11" spans="2:21" ht="18" customHeight="1" x14ac:dyDescent="0.25">
      <c r="B11" s="32" t="str">
        <f>'Data Entry'!A11</f>
        <v>6. Cases Petitioned (Charge Filed)</v>
      </c>
      <c r="C11" s="33">
        <f>'Data Entry'!C11</f>
        <v>1</v>
      </c>
      <c r="D11" s="34">
        <f>IF(((AND(C68&gt;0,C11&gt;0))),(C11/(C68)),0)</f>
        <v>14.285714285714285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6.0000000000000009</v>
      </c>
      <c r="R11" s="42">
        <f t="shared" si="5"/>
        <v>7.0000000000000009</v>
      </c>
      <c r="S11" s="30">
        <f t="shared" si="6"/>
        <v>0</v>
      </c>
      <c r="T11" s="30">
        <f t="shared" si="7"/>
        <v>0</v>
      </c>
      <c r="U11" s="31" t="str">
        <f t="shared" si="8"/>
        <v>- -</v>
      </c>
    </row>
    <row r="12" spans="2:21" ht="18" customHeight="1" x14ac:dyDescent="0.25">
      <c r="B12" s="32" t="str">
        <f>'Data Entry'!A12</f>
        <v>7. Cases Resulting in Delinquent Findings</v>
      </c>
      <c r="C12" s="33">
        <f>'Data Entry'!C12</f>
        <v>1</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0</v>
      </c>
      <c r="E42" s="56">
        <f>MAX(C42:D42)</f>
        <v>0.45</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7.0000000000000007E-2</v>
      </c>
      <c r="D44" s="56">
        <f>E8/100</f>
        <v>0</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0</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0</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0</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0</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Mackinac</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450</v>
      </c>
      <c r="D6" s="34"/>
      <c r="E6" s="33">
        <f>'Data Entry'!H6</f>
        <v>196</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9</v>
      </c>
      <c r="D7" s="34">
        <f>IF((AND(C66&gt;0,C7&gt;0)),(C7/C66),0)</f>
        <v>20</v>
      </c>
      <c r="E7" s="33">
        <f>'Data Entry'!H7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196</v>
      </c>
      <c r="P7" s="42">
        <f t="shared" ref="P7:P15" si="4">C7</f>
        <v>9</v>
      </c>
      <c r="Q7" s="42">
        <f>C6-C7</f>
        <v>441</v>
      </c>
      <c r="R7" s="42">
        <f t="shared" ref="R7:R15" si="5">SUM(N7:Q7)</f>
        <v>646</v>
      </c>
      <c r="S7" s="30">
        <f t="shared" ref="S7:S15" si="6">R7*((((N7*Q7)-(O7*P7))^2))</f>
        <v>2010155616</v>
      </c>
      <c r="T7" s="30">
        <f t="shared" ref="T7:T15" si="7">(N7+O7)*(P7+Q7)*(N7+P7)*(O7+Q7)</f>
        <v>505650600</v>
      </c>
      <c r="U7" s="31">
        <f t="shared" ref="U7:U15" si="8">IF((S7&gt;0),S7/T7,"- -")</f>
        <v>3.9753846153846153</v>
      </c>
    </row>
    <row r="8" spans="2:21" ht="18" customHeight="1" x14ac:dyDescent="0.25">
      <c r="B8" s="32" t="str">
        <f>'Data Entry'!A8</f>
        <v>3. Refer to Juvenile Court</v>
      </c>
      <c r="C8" s="33">
        <f>'Data Entry'!C8</f>
        <v>7</v>
      </c>
      <c r="D8" s="34">
        <f>IF((AND(C67&gt;0,C8&gt;0)),(C8/C67),0)</f>
        <v>77.777777777777786</v>
      </c>
      <c r="E8" s="33">
        <f>'Data Entry'!H8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7</v>
      </c>
      <c r="Q8" s="42">
        <f>(C$67*L67)-C8</f>
        <v>2</v>
      </c>
      <c r="R8" s="42">
        <f t="shared" si="5"/>
        <v>9.0500000000000007</v>
      </c>
      <c r="S8" s="30">
        <f t="shared" si="6"/>
        <v>6427.5136250000014</v>
      </c>
      <c r="T8" s="30">
        <f t="shared" si="7"/>
        <v>-4.2749999999999853</v>
      </c>
      <c r="U8" s="31">
        <f t="shared" si="8"/>
        <v>-1503.511959064333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7.0000000000000009</v>
      </c>
      <c r="R9" s="42">
        <f t="shared" si="5"/>
        <v>10</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57.142857142857139</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4</v>
      </c>
      <c r="Q10" s="42">
        <f>(C$68*L68)-C10</f>
        <v>3.0000000000000009</v>
      </c>
      <c r="R10" s="42">
        <f t="shared" si="5"/>
        <v>10</v>
      </c>
      <c r="S10" s="30">
        <f t="shared" si="6"/>
        <v>1440</v>
      </c>
      <c r="T10" s="30">
        <f t="shared" si="7"/>
        <v>504.00000000000017</v>
      </c>
      <c r="U10" s="31">
        <f t="shared" si="8"/>
        <v>2.8571428571428563</v>
      </c>
    </row>
    <row r="11" spans="2:21" ht="18" customHeight="1" x14ac:dyDescent="0.25">
      <c r="B11" s="32" t="str">
        <f>'Data Entry'!A11</f>
        <v>6. Cases Petitioned (Charge Filed)</v>
      </c>
      <c r="C11" s="33">
        <f>'Data Entry'!C11</f>
        <v>1</v>
      </c>
      <c r="D11" s="34">
        <f>IF(((AND(C68&gt;0,C11&gt;0))),(C11/(C68)),0)</f>
        <v>14.285714285714285</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3</v>
      </c>
      <c r="P11" s="42">
        <f t="shared" si="4"/>
        <v>1</v>
      </c>
      <c r="Q11" s="42">
        <f>(C$68*L68)-C11</f>
        <v>6.0000000000000009</v>
      </c>
      <c r="R11" s="42">
        <f t="shared" si="5"/>
        <v>10</v>
      </c>
      <c r="S11" s="30">
        <f t="shared" si="6"/>
        <v>90</v>
      </c>
      <c r="T11" s="30">
        <f t="shared" si="7"/>
        <v>189.00000000000003</v>
      </c>
      <c r="U11" s="31">
        <f t="shared" si="8"/>
        <v>0.47619047619047611</v>
      </c>
    </row>
    <row r="12" spans="2:21" ht="18" customHeight="1" x14ac:dyDescent="0.25">
      <c r="B12" s="32" t="str">
        <f>'Data Entry'!A12</f>
        <v>7. Cases Resulting in Delinquent Findings</v>
      </c>
      <c r="C12" s="33">
        <f>'Data Entry'!C12</f>
        <v>1</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v>
      </c>
      <c r="Q12" s="42">
        <f>(C69*L69)-C12</f>
        <v>0</v>
      </c>
      <c r="R12" s="42">
        <f t="shared" si="5"/>
        <v>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v>
      </c>
      <c r="D14" s="34">
        <f>IF(((AND(C70&gt;0,C14&gt;0))), ((C14/(C70))),0)</f>
        <v>300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-2</v>
      </c>
      <c r="R14" s="42">
        <f t="shared" si="5"/>
        <v>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0.45</v>
      </c>
      <c r="D42" s="56">
        <f>E6/1000</f>
        <v>0.19600000000000001</v>
      </c>
      <c r="E42" s="56">
        <f>MAX(C42:D42)</f>
        <v>0.45</v>
      </c>
      <c r="G42" s="1" t="str">
        <f>B42</f>
        <v>per 1000 youth</v>
      </c>
      <c r="L42" s="57">
        <v>1000</v>
      </c>
      <c r="M42" s="57"/>
      <c r="R42" s="49"/>
    </row>
    <row r="43" spans="2:18" ht="15" hidden="1" customHeight="1" x14ac:dyDescent="0.25">
      <c r="B43" s="49" t="s">
        <v>87</v>
      </c>
      <c r="C43" s="56">
        <f>C7/100</f>
        <v>0.09</v>
      </c>
      <c r="D43" s="56">
        <f>E7/100</f>
        <v>0</v>
      </c>
      <c r="E43" s="56">
        <f>MAX(C43:D43,0)</f>
        <v>0.09</v>
      </c>
      <c r="G43" s="1" t="str">
        <f>B43</f>
        <v>per 100 arrests</v>
      </c>
      <c r="L43" s="57">
        <v>100</v>
      </c>
      <c r="M43" s="57"/>
      <c r="R43" s="49"/>
    </row>
    <row r="44" spans="2:18" ht="15" hidden="1" customHeight="1" x14ac:dyDescent="0.25">
      <c r="B44" s="49" t="s">
        <v>88</v>
      </c>
      <c r="C44" s="56">
        <f>C8/100</f>
        <v>7.0000000000000007E-2</v>
      </c>
      <c r="D44" s="56">
        <f>E8/100</f>
        <v>0.03</v>
      </c>
      <c r="E44" s="56">
        <f>MAX(C44:D44,0)</f>
        <v>7.0000000000000007E-2</v>
      </c>
      <c r="G44" s="1" t="str">
        <f>B44</f>
        <v>per 100 referrals</v>
      </c>
      <c r="L44" s="57">
        <v>100</v>
      </c>
      <c r="M44" s="57"/>
      <c r="R44" s="49"/>
    </row>
    <row r="45" spans="2:18" ht="15" hidden="1" customHeight="1" x14ac:dyDescent="0.25">
      <c r="B45" s="49" t="s">
        <v>89</v>
      </c>
      <c r="C45" s="49">
        <f>C11/100</f>
        <v>0.01</v>
      </c>
      <c r="D45" s="49">
        <f>E11/100</f>
        <v>0</v>
      </c>
      <c r="E45" s="56">
        <f>MAX(C45:D45,0)</f>
        <v>0.01</v>
      </c>
      <c r="G45" s="1" t="str">
        <f>B45</f>
        <v>per 100 youth petitioned</v>
      </c>
      <c r="L45" s="57">
        <v>100</v>
      </c>
      <c r="M45" s="57"/>
      <c r="R45" s="49"/>
    </row>
    <row r="46" spans="2:18" ht="15" hidden="1" customHeight="1" x14ac:dyDescent="0.25">
      <c r="B46" s="49" t="s">
        <v>90</v>
      </c>
      <c r="C46" s="49">
        <f>C12/100</f>
        <v>0.01</v>
      </c>
      <c r="D46" s="49">
        <f>E12/100</f>
        <v>0</v>
      </c>
      <c r="E46" s="56">
        <f>MAX(C46:D46)</f>
        <v>0.01</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0.45</v>
      </c>
      <c r="D48" s="56">
        <f>D42</f>
        <v>0.19600000000000001</v>
      </c>
      <c r="E48" s="56">
        <f>MAX(C48:D48)</f>
        <v>0.45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0.09</v>
      </c>
      <c r="D49" s="49">
        <f t="shared" si="9"/>
        <v>0</v>
      </c>
      <c r="E49" s="49">
        <f>MAX(C49:D49)</f>
        <v>0.09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7.0000000000000007E-2</v>
      </c>
      <c r="D50" s="49">
        <f t="shared" si="9"/>
        <v>0.03</v>
      </c>
      <c r="E50" s="49">
        <f>MAX(C50:D50)</f>
        <v>7.0000000000000007E-2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x14ac:dyDescent="0.25">
      <c r="B52" s="49" t="str">
        <f>IF(($E46&gt;0),B46,B45)</f>
        <v>per 100 youth found delinquent</v>
      </c>
      <c r="C52" s="49">
        <f>IF(($E46&gt;0),C46,C45)</f>
        <v>0.01</v>
      </c>
      <c r="D52" s="49">
        <f>IF(($E46&gt;0),D46,D45)</f>
        <v>0</v>
      </c>
      <c r="E52" s="56">
        <f>MAX(C52:D52)</f>
        <v>0.01</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0.45</v>
      </c>
      <c r="D54" s="56">
        <f>D48</f>
        <v>0.19600000000000001</v>
      </c>
      <c r="E54" s="56">
        <f>MAX(C54:D54)</f>
        <v>0.45</v>
      </c>
      <c r="G54" s="1" t="str">
        <f>G48</f>
        <v>per 1000 youth</v>
      </c>
      <c r="L54" s="58">
        <f>L48</f>
        <v>1000</v>
      </c>
      <c r="M54" s="58"/>
    </row>
    <row r="55" spans="2:18" ht="15" hidden="1" customHeight="1" x14ac:dyDescent="0.25">
      <c r="B55" s="49" t="str">
        <f t="shared" ref="B55:D56" si="10">IF(($E49&gt;0),B49,B48)</f>
        <v>per 100 arrests</v>
      </c>
      <c r="C55" s="49">
        <f t="shared" si="10"/>
        <v>0.09</v>
      </c>
      <c r="D55" s="49">
        <f t="shared" si="10"/>
        <v>0</v>
      </c>
      <c r="E55" s="49">
        <f>MAX(C55:D55)</f>
        <v>0.09</v>
      </c>
      <c r="G55" s="1" t="str">
        <f>G49</f>
        <v>per 100 arrests</v>
      </c>
      <c r="L55" s="58">
        <f>IF(($E49&gt;0),L49,L48)</f>
        <v>100</v>
      </c>
      <c r="M55" s="58"/>
    </row>
    <row r="56" spans="2:18" ht="15" hidden="1" customHeight="1" x14ac:dyDescent="0.25">
      <c r="B56" s="49" t="str">
        <f t="shared" si="10"/>
        <v>per 100 referrals</v>
      </c>
      <c r="C56" s="49">
        <f t="shared" si="10"/>
        <v>7.0000000000000007E-2</v>
      </c>
      <c r="D56" s="49">
        <f t="shared" si="10"/>
        <v>0.03</v>
      </c>
      <c r="E56" s="49">
        <f>MAX(C56:D56)</f>
        <v>7.0000000000000007E-2</v>
      </c>
      <c r="G56" s="1" t="str">
        <f>G50</f>
        <v>per 100 referrals</v>
      </c>
      <c r="L56" s="58">
        <f>IF(($E50&gt;0),L50,L49)</f>
        <v>100</v>
      </c>
      <c r="M56" s="58"/>
    </row>
    <row r="57" spans="2:18" ht="15" hidden="1" customHeight="1" x14ac:dyDescent="0.25">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x14ac:dyDescent="0.25">
      <c r="B58" s="49" t="str">
        <f>IF(($E52&gt;0),B52,B51)</f>
        <v>per 100 youth found delinquent</v>
      </c>
      <c r="C58" s="49">
        <f>IF(($E52&gt;0),C52,C51)</f>
        <v>0.01</v>
      </c>
      <c r="D58" s="49">
        <f>IF(($E52&gt;0),D52,D51)</f>
        <v>0</v>
      </c>
      <c r="E58" s="56">
        <f>MAX(C58:D58)</f>
        <v>0.01</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0.45</v>
      </c>
      <c r="D60" s="56">
        <f>D54</f>
        <v>0.19600000000000001</v>
      </c>
      <c r="E60" s="56">
        <f>MAX(C60:D60)</f>
        <v>0.45</v>
      </c>
      <c r="G60" s="1" t="str">
        <f>G54</f>
        <v>per 1000 youth</v>
      </c>
      <c r="L60" s="58">
        <f>L54</f>
        <v>1000</v>
      </c>
      <c r="M60" s="58"/>
    </row>
    <row r="61" spans="2:18" ht="15" hidden="1" customHeight="1" x14ac:dyDescent="0.25">
      <c r="B61" s="49" t="str">
        <f t="shared" ref="B61:D62" si="11">IF(($E55&gt;0),B55,B54)</f>
        <v>per 100 arrests</v>
      </c>
      <c r="C61" s="49">
        <f t="shared" si="11"/>
        <v>0.09</v>
      </c>
      <c r="D61" s="49">
        <f t="shared" si="11"/>
        <v>0</v>
      </c>
      <c r="E61" s="49">
        <f>MAX(C61:D61)</f>
        <v>0.09</v>
      </c>
      <c r="G61" s="1" t="str">
        <f>G55</f>
        <v>per 100 arrests</v>
      </c>
      <c r="L61" s="58">
        <f>IF(($E55&gt;0),L55,L54)</f>
        <v>100</v>
      </c>
      <c r="M61" s="58"/>
    </row>
    <row r="62" spans="2:18" ht="15" hidden="1" customHeight="1" x14ac:dyDescent="0.25">
      <c r="B62" s="49" t="str">
        <f t="shared" si="11"/>
        <v>per 100 referrals</v>
      </c>
      <c r="C62" s="49">
        <f t="shared" si="11"/>
        <v>7.0000000000000007E-2</v>
      </c>
      <c r="D62" s="49">
        <f t="shared" si="11"/>
        <v>0.03</v>
      </c>
      <c r="E62" s="49">
        <f>MAX(C62:D62)</f>
        <v>7.0000000000000007E-2</v>
      </c>
      <c r="G62" s="1" t="str">
        <f>G56</f>
        <v>per 100 referrals</v>
      </c>
      <c r="L62" s="58">
        <f>IF(($E56&gt;0),L56,L55)</f>
        <v>100</v>
      </c>
      <c r="M62" s="58"/>
    </row>
    <row r="63" spans="2:18" ht="15" hidden="1" customHeight="1" x14ac:dyDescent="0.25">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x14ac:dyDescent="0.25">
      <c r="B64" s="49" t="str">
        <f>IF(($E58&gt;0),B58,B57)</f>
        <v>per 100 youth found delinquent</v>
      </c>
      <c r="C64" s="49">
        <f>IF(($E58&gt;0),C58,C57)</f>
        <v>0.01</v>
      </c>
      <c r="D64" s="49">
        <f>IF(($E58&gt;0),D58,D57)</f>
        <v>0</v>
      </c>
      <c r="E64" s="56">
        <f>MAX(C64:D64)</f>
        <v>0.01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0.45</v>
      </c>
      <c r="D66" s="56">
        <f>D60</f>
        <v>0.19600000000000001</v>
      </c>
      <c r="E66" s="56">
        <f>MAX(C66:D66)</f>
        <v>0.45</v>
      </c>
      <c r="G66" s="1" t="str">
        <f>G60</f>
        <v>per 1000 youth</v>
      </c>
      <c r="L66" s="58">
        <f>L60</f>
        <v>1000</v>
      </c>
      <c r="M66" s="58">
        <f>IF((B66=G66),1,2)</f>
        <v>1</v>
      </c>
    </row>
    <row r="67" spans="2:13" ht="15" hidden="1" customHeight="1" x14ac:dyDescent="0.25">
      <c r="B67" s="49" t="str">
        <f t="shared" ref="B67:D68" si="12">IF(($E61&gt;0),B61,B60)</f>
        <v>per 100 arrests</v>
      </c>
      <c r="C67" s="49">
        <f t="shared" si="12"/>
        <v>0.09</v>
      </c>
      <c r="D67" s="49">
        <f t="shared" si="12"/>
        <v>0</v>
      </c>
      <c r="E67" s="49">
        <f>MAX(C67:D67)</f>
        <v>0.09</v>
      </c>
      <c r="G67" s="1" t="str">
        <f>G61</f>
        <v>per 100 arrests</v>
      </c>
      <c r="L67" s="58">
        <f>IF(($E61&gt;0),L61,L60)</f>
        <v>100</v>
      </c>
      <c r="M67" s="58">
        <f>IF((B67=G67),1,2)</f>
        <v>1</v>
      </c>
    </row>
    <row r="68" spans="2:13" ht="15" hidden="1" customHeight="1" x14ac:dyDescent="0.25">
      <c r="B68" s="49" t="str">
        <f t="shared" si="12"/>
        <v>per 100 referrals</v>
      </c>
      <c r="C68" s="49">
        <f t="shared" si="12"/>
        <v>7.0000000000000007E-2</v>
      </c>
      <c r="D68" s="49">
        <f t="shared" si="12"/>
        <v>0.03</v>
      </c>
      <c r="E68" s="49">
        <f>MAX(C68:D68)</f>
        <v>7.0000000000000007E-2</v>
      </c>
      <c r="G68" s="1" t="str">
        <f>G62</f>
        <v>per 100 referrals</v>
      </c>
      <c r="L68" s="58">
        <f>IF(($E62&gt;0),L62,L61)</f>
        <v>100</v>
      </c>
      <c r="M68" s="58">
        <f>IF((B68=G68),1,2)</f>
        <v>1</v>
      </c>
    </row>
    <row r="69" spans="2:13" ht="15" hidden="1" customHeight="1" x14ac:dyDescent="0.25">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0.01</v>
      </c>
      <c r="D70" s="49">
        <f>IF(($E64&gt;0),D64,D63)</f>
        <v>0</v>
      </c>
      <c r="E70" s="56">
        <f>MAX(C70:D70)</f>
        <v>0.01</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U47JMPN4QEAR-1806752177-30195</_dlc_DocId>
    <_dlc_DocIdUrl xmlns="ac3811b5-0f3e-49e2-ba69-f2ffa0c782af">
      <Url>https://michiganphi.sharepoint.com/sites/CMDMC/_layouts/15/DocIdRedir.aspx?ID=U47JMPN4QEAR-1806752177-30195</Url>
      <Description>U47JMPN4QEAR-1806752177-30195</Description>
    </_dlc_DocIdUrl>
  </documentManagement>
</p:properties>
</file>

<file path=customXml/itemProps1.xml><?xml version="1.0" encoding="utf-8"?>
<ds:datastoreItem xmlns:ds="http://schemas.openxmlformats.org/officeDocument/2006/customXml" ds:itemID="{D64A20E3-D0A2-4B8D-96D5-E4AB1F496F04}"/>
</file>

<file path=customXml/itemProps2.xml><?xml version="1.0" encoding="utf-8"?>
<ds:datastoreItem xmlns:ds="http://schemas.openxmlformats.org/officeDocument/2006/customXml" ds:itemID="{F47E89C4-BB90-4F25-96E0-F36A460DAEBA}"/>
</file>

<file path=customXml/itemProps3.xml><?xml version="1.0" encoding="utf-8"?>
<ds:datastoreItem xmlns:ds="http://schemas.openxmlformats.org/officeDocument/2006/customXml" ds:itemID="{CFAFE6D4-2FC6-4B1B-BF18-56D02B5B6FD7}"/>
</file>

<file path=customXml/itemProps4.xml><?xml version="1.0" encoding="utf-8"?>
<ds:datastoreItem xmlns:ds="http://schemas.openxmlformats.org/officeDocument/2006/customXml" ds:itemID="{32976D89-2854-4A22-9A8A-9992468994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63fe75db-339c-45b2-8357-1e2bce1c6661</vt:lpwstr>
  </property>
</Properties>
</file>