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956D979E-9AA8-47AF-A9CF-B61819201DA0}" xr6:coauthVersionLast="47" xr6:coauthVersionMax="47" xr10:uidLastSave="{30200832-BFCA-4B04-8331-99E8A8714FFE}"/>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8" i="3" s="1"/>
  <c r="G54" i="3" s="1"/>
  <c r="G60" i="3" s="1"/>
  <c r="G66" i="3" s="1"/>
  <c r="G43" i="3"/>
  <c r="G49" i="3"/>
  <c r="G55" i="3"/>
  <c r="G61" i="3" s="1"/>
  <c r="G67" i="3" s="1"/>
  <c r="G44" i="3"/>
  <c r="G50" i="3" s="1"/>
  <c r="G56" i="3" s="1"/>
  <c r="G62" i="3" s="1"/>
  <c r="G68" i="3" s="1"/>
  <c r="G45" i="3"/>
  <c r="G46" i="3"/>
  <c r="L48" i="3"/>
  <c r="L54" i="3" s="1"/>
  <c r="L60" i="3" s="1"/>
  <c r="L66" i="3" s="1"/>
  <c r="G51" i="3"/>
  <c r="G57" i="3" s="1"/>
  <c r="G63" i="3" s="1"/>
  <c r="G69" i="3" s="1"/>
  <c r="G52" i="3"/>
  <c r="G58" i="3" s="1"/>
  <c r="G64" i="3" s="1"/>
  <c r="G70" i="3" s="1"/>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G52" i="4" s="1"/>
  <c r="G58" i="4" s="1"/>
  <c r="G64" i="4" s="1"/>
  <c r="G70" i="4" s="1"/>
  <c r="L48" i="4"/>
  <c r="L54" i="4"/>
  <c r="L60" i="4" s="1"/>
  <c r="L66" i="4" s="1"/>
  <c r="G50" i="4"/>
  <c r="G56" i="4" s="1"/>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L54" i="5"/>
  <c r="L60" i="5" s="1"/>
  <c r="L66" i="5" s="1"/>
  <c r="G58" i="5"/>
  <c r="G64" i="5" s="1"/>
  <c r="G70"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G52" i="7" s="1"/>
  <c r="G58" i="7" s="1"/>
  <c r="G64" i="7" s="1"/>
  <c r="G70" i="7" s="1"/>
  <c r="L48" i="7"/>
  <c r="G50" i="7"/>
  <c r="G56" i="7" s="1"/>
  <c r="G62" i="7" s="1"/>
  <c r="G68"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L54" i="8" s="1"/>
  <c r="L60" i="8" s="1"/>
  <c r="L66" i="8" s="1"/>
  <c r="G50" i="8"/>
  <c r="G56" i="8" s="1"/>
  <c r="G62" i="8" s="1"/>
  <c r="G68" i="8" s="1"/>
  <c r="G51" i="8"/>
  <c r="G57" i="8" s="1"/>
  <c r="G63" i="8" s="1"/>
  <c r="G69"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4" l="1"/>
  <c r="F27" i="4"/>
  <c r="F27" i="5"/>
  <c r="M66" i="5"/>
  <c r="F27" i="2"/>
  <c r="M66" i="2"/>
  <c r="F27" i="8"/>
  <c r="M66" i="8"/>
  <c r="M66" i="7"/>
  <c r="F27" i="7"/>
  <c r="F27" i="6"/>
  <c r="M66" i="6"/>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D46" i="7"/>
  <c r="N12" i="5"/>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7" l="1"/>
  <c r="L52" i="7" s="1"/>
  <c r="E44" i="6"/>
  <c r="B50" i="6" s="1"/>
  <c r="E46" i="3"/>
  <c r="L52" i="3" s="1"/>
  <c r="E43" i="7"/>
  <c r="C49" i="7"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C45" i="6"/>
  <c r="E45" i="6" s="1"/>
  <c r="P11" i="6"/>
  <c r="P11" i="8"/>
  <c r="C45" i="8"/>
  <c r="L52" i="5"/>
  <c r="B52" i="5"/>
  <c r="D52" i="5"/>
  <c r="C48" i="6"/>
  <c r="E42" i="6"/>
  <c r="R7" i="6"/>
  <c r="S7" i="6" s="1"/>
  <c r="D21" i="10"/>
  <c r="C4" i="10"/>
  <c r="C7" i="10"/>
  <c r="C5" i="10"/>
  <c r="C10" i="10"/>
  <c r="C11" i="10"/>
  <c r="C6" i="10"/>
  <c r="C9" i="10"/>
  <c r="C12" i="10"/>
  <c r="C8" i="10"/>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D49" i="7"/>
  <c r="B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B52" i="3" l="1"/>
  <c r="D52" i="7"/>
  <c r="B52" i="7"/>
  <c r="L49" i="7"/>
  <c r="D52" i="3"/>
  <c r="L50" i="6"/>
  <c r="C50" i="6"/>
  <c r="D50" i="6"/>
  <c r="D50" i="5"/>
  <c r="E50" i="5" s="1"/>
  <c r="L56" i="5" s="1"/>
  <c r="E45" i="2"/>
  <c r="C51" i="2" s="1"/>
  <c r="D52" i="8"/>
  <c r="C52" i="6"/>
  <c r="E52" i="6" s="1"/>
  <c r="C52" i="7"/>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C54" i="7"/>
  <c r="E48" i="7"/>
  <c r="E49" i="6"/>
  <c r="E49" i="7"/>
  <c r="E48" i="5"/>
  <c r="C54" i="5"/>
  <c r="C54" i="6"/>
  <c r="E48" i="6"/>
  <c r="B51" i="6"/>
  <c r="D51" i="6"/>
  <c r="C51" i="6"/>
  <c r="L51" i="6"/>
  <c r="E52" i="7" l="1"/>
  <c r="E52" i="3"/>
  <c r="L51" i="2"/>
  <c r="E50" i="6"/>
  <c r="E49" i="5"/>
  <c r="D55" i="5" s="1"/>
  <c r="D51" i="2"/>
  <c r="E51" i="2"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L64" i="3" l="1"/>
  <c r="C64" i="5"/>
  <c r="L64" i="5"/>
  <c r="D64" i="5"/>
  <c r="B56" i="8"/>
  <c r="L56" i="8"/>
  <c r="E58" i="8"/>
  <c r="C57" i="8"/>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I7" i="9" l="1"/>
  <c r="E64" i="5"/>
  <c r="Q8" i="13"/>
  <c r="D64" i="8"/>
  <c r="C63" i="3"/>
  <c r="L64" i="8"/>
  <c r="E57" i="8"/>
  <c r="B63" i="8" s="1"/>
  <c r="B64" i="8"/>
  <c r="C64" i="8"/>
  <c r="B63" i="3"/>
  <c r="E64" i="6"/>
  <c r="B70" i="6" s="1"/>
  <c r="M70" i="6" s="1"/>
  <c r="Z8" i="13"/>
  <c r="R7" i="9"/>
  <c r="D63" i="3"/>
  <c r="E64" i="3"/>
  <c r="B70" i="3" s="1"/>
  <c r="M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L63" i="5"/>
  <c r="F8" i="5"/>
  <c r="L70" i="5" l="1"/>
  <c r="B70" i="5"/>
  <c r="F33" i="5" s="1"/>
  <c r="C70" i="5"/>
  <c r="D13" i="5" s="1"/>
  <c r="D70" i="5"/>
  <c r="F14" i="5" s="1"/>
  <c r="L69" i="7"/>
  <c r="C69" i="7"/>
  <c r="D12" i="7" s="1"/>
  <c r="E64" i="8"/>
  <c r="B70" i="8" s="1"/>
  <c r="M70" i="8" s="1"/>
  <c r="E63" i="3"/>
  <c r="C69" i="3" s="1"/>
  <c r="D12" i="3" s="1"/>
  <c r="D70" i="6"/>
  <c r="L63" i="8"/>
  <c r="D63" i="8"/>
  <c r="C63" i="8"/>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33" i="3"/>
  <c r="F13" i="4"/>
  <c r="F33" i="4"/>
  <c r="F10" i="4"/>
  <c r="O10" i="4"/>
  <c r="M67" i="5"/>
  <c r="O11" i="3"/>
  <c r="T11" i="3" s="1"/>
  <c r="O14" i="4"/>
  <c r="Q13" i="4"/>
  <c r="F30" i="3"/>
  <c r="Q9" i="3"/>
  <c r="O10" i="3"/>
  <c r="E68" i="3"/>
  <c r="O9" i="3"/>
  <c r="F31" i="3"/>
  <c r="F29" i="3"/>
  <c r="D14" i="4"/>
  <c r="L70" i="7"/>
  <c r="O14" i="7" s="1"/>
  <c r="M69" i="7"/>
  <c r="E64" i="2"/>
  <c r="L70" i="2" s="1"/>
  <c r="L67" i="6"/>
  <c r="F10" i="3"/>
  <c r="F11" i="3"/>
  <c r="F34" i="3"/>
  <c r="D67" i="6"/>
  <c r="F8" i="6" s="1"/>
  <c r="F35" i="7"/>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E70" i="5" l="1"/>
  <c r="D14" i="5"/>
  <c r="Q13" i="5"/>
  <c r="Q14" i="5"/>
  <c r="F34" i="5"/>
  <c r="F13" i="5"/>
  <c r="O14" i="5"/>
  <c r="K14" i="5" s="1"/>
  <c r="Q15" i="7"/>
  <c r="O13" i="5"/>
  <c r="M70" i="5"/>
  <c r="E70" i="6"/>
  <c r="C70" i="8"/>
  <c r="D13" i="8" s="1"/>
  <c r="D15" i="7"/>
  <c r="Q12" i="7"/>
  <c r="D15" i="3"/>
  <c r="B69" i="3"/>
  <c r="M69" i="3" s="1"/>
  <c r="D70" i="8"/>
  <c r="F13" i="8" s="1"/>
  <c r="L70" i="8"/>
  <c r="D69" i="3"/>
  <c r="E69" i="3" s="1"/>
  <c r="L69" i="3"/>
  <c r="Q12" i="3" s="1"/>
  <c r="O14" i="6"/>
  <c r="O13" i="6"/>
  <c r="F14" i="6"/>
  <c r="F13" i="6"/>
  <c r="B69" i="6"/>
  <c r="M69" i="6" s="1"/>
  <c r="E63" i="8"/>
  <c r="D69" i="8" s="1"/>
  <c r="F12" i="8" s="1"/>
  <c r="C69" i="6"/>
  <c r="D12" i="6" s="1"/>
  <c r="D13" i="3"/>
  <c r="D13" i="6"/>
  <c r="O13" i="3"/>
  <c r="F14" i="3"/>
  <c r="E69" i="7"/>
  <c r="Q14" i="3"/>
  <c r="F12" i="7"/>
  <c r="O12" i="7"/>
  <c r="D14" i="6"/>
  <c r="O15" i="7"/>
  <c r="Q13" i="3"/>
  <c r="Q13" i="6"/>
  <c r="Q14" i="6"/>
  <c r="E70" i="3"/>
  <c r="O14" i="3"/>
  <c r="D69" i="6"/>
  <c r="F12" i="6" s="1"/>
  <c r="T10" i="3"/>
  <c r="K10" i="4"/>
  <c r="F8" i="7"/>
  <c r="T9" i="4"/>
  <c r="T11" i="4"/>
  <c r="U11" i="4" s="1"/>
  <c r="J11" i="4" s="1"/>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K9" i="4"/>
  <c r="R9" i="4"/>
  <c r="S9" i="4" s="1"/>
  <c r="U9" i="4" s="1"/>
  <c r="J9" i="4" s="1"/>
  <c r="M9" i="4" s="1"/>
  <c r="G9" i="4" s="1"/>
  <c r="G10" i="16" s="1"/>
  <c r="F32" i="2"/>
  <c r="R10" i="3"/>
  <c r="S10" i="3" s="1"/>
  <c r="F8" i="2"/>
  <c r="T14" i="4"/>
  <c r="B70" i="2"/>
  <c r="F33" i="2" s="1"/>
  <c r="D69" i="5"/>
  <c r="O15" i="5" s="1"/>
  <c r="F34" i="7"/>
  <c r="M70" i="7"/>
  <c r="O13" i="7"/>
  <c r="K11" i="3"/>
  <c r="R11" i="3"/>
  <c r="S11" i="3" s="1"/>
  <c r="U11" i="3" s="1"/>
  <c r="J11" i="3" s="1"/>
  <c r="M11" i="3" s="1"/>
  <c r="L68" i="7"/>
  <c r="Q9" i="7" s="1"/>
  <c r="C69" i="5"/>
  <c r="Q12" i="5" s="1"/>
  <c r="B69" i="5"/>
  <c r="F32" i="5" s="1"/>
  <c r="D68" i="7"/>
  <c r="E68" i="7" s="1"/>
  <c r="B68" i="7"/>
  <c r="F31" i="7" s="1"/>
  <c r="K9" i="3"/>
  <c r="K10" i="3"/>
  <c r="R14" i="4"/>
  <c r="S14" i="4" s="1"/>
  <c r="D13" i="7"/>
  <c r="R9" i="3"/>
  <c r="S9" i="3" s="1"/>
  <c r="T9" i="3"/>
  <c r="F34" i="8"/>
  <c r="F33" i="8"/>
  <c r="C70" i="2"/>
  <c r="D14" i="2" s="1"/>
  <c r="D70" i="2"/>
  <c r="O14" i="2" s="1"/>
  <c r="M67" i="2"/>
  <c r="Q13" i="7"/>
  <c r="E70" i="7"/>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T11" i="5"/>
  <c r="K11" i="5"/>
  <c r="D12" i="2"/>
  <c r="D15" i="2"/>
  <c r="Q15" i="2"/>
  <c r="E69" i="2"/>
  <c r="Q12" i="2"/>
  <c r="E67" i="8"/>
  <c r="Q8" i="8"/>
  <c r="D8" i="8"/>
  <c r="C68" i="8"/>
  <c r="D68" i="8"/>
  <c r="L68" i="8"/>
  <c r="B68" i="8"/>
  <c r="U11" i="5" l="1"/>
  <c r="J11" i="5" s="1"/>
  <c r="U13" i="4"/>
  <c r="J13" i="4" s="1"/>
  <c r="T14" i="5"/>
  <c r="R14" i="5"/>
  <c r="S14" i="5" s="1"/>
  <c r="U14" i="5" s="1"/>
  <c r="J14" i="5" s="1"/>
  <c r="M14" i="5" s="1"/>
  <c r="K13" i="5"/>
  <c r="R13" i="5"/>
  <c r="S13" i="5" s="1"/>
  <c r="U13" i="5" s="1"/>
  <c r="J13" i="5" s="1"/>
  <c r="M13" i="5" s="1"/>
  <c r="F35" i="6"/>
  <c r="R15" i="7"/>
  <c r="S15" i="7" s="1"/>
  <c r="U15" i="7" s="1"/>
  <c r="J15" i="7" s="1"/>
  <c r="M15" i="7" s="1"/>
  <c r="D14" i="8"/>
  <c r="F14" i="8"/>
  <c r="Q13" i="8"/>
  <c r="T13" i="5"/>
  <c r="F35" i="3"/>
  <c r="K13" i="3"/>
  <c r="T14" i="6"/>
  <c r="F15" i="3"/>
  <c r="F12" i="3"/>
  <c r="U14" i="4"/>
  <c r="J14" i="4" s="1"/>
  <c r="M14" i="4" s="1"/>
  <c r="G14" i="4" s="1"/>
  <c r="G15" i="16" s="1"/>
  <c r="G11" i="3"/>
  <c r="E11" i="9" s="1"/>
  <c r="O15" i="6"/>
  <c r="U10" i="3"/>
  <c r="J10" i="3" s="1"/>
  <c r="M10" i="3" s="1"/>
  <c r="G10" i="3" s="1"/>
  <c r="I11" i="16" s="1"/>
  <c r="T12" i="7"/>
  <c r="F32" i="3"/>
  <c r="O13" i="8"/>
  <c r="E70" i="8"/>
  <c r="O15" i="3"/>
  <c r="Q14" i="8"/>
  <c r="O14" i="8"/>
  <c r="U10" i="4"/>
  <c r="J10" i="4" s="1"/>
  <c r="M10" i="4" s="1"/>
  <c r="G10" i="4" s="1"/>
  <c r="G11" i="16" s="1"/>
  <c r="Q15" i="3"/>
  <c r="O12" i="3"/>
  <c r="R12" i="3" s="1"/>
  <c r="S12" i="3" s="1"/>
  <c r="Q12" i="6"/>
  <c r="R13" i="6"/>
  <c r="S13" i="6" s="1"/>
  <c r="U13" i="6" s="1"/>
  <c r="J13" i="6" s="1"/>
  <c r="M13" i="6" s="1"/>
  <c r="G13" i="6" s="1"/>
  <c r="G13" i="9" s="1"/>
  <c r="R14" i="6"/>
  <c r="S14" i="6" s="1"/>
  <c r="U14" i="6" s="1"/>
  <c r="J14" i="6" s="1"/>
  <c r="M14" i="6" s="1"/>
  <c r="G14" i="6" s="1"/>
  <c r="M15" i="13" s="1"/>
  <c r="F32" i="6"/>
  <c r="K15" i="7"/>
  <c r="D15" i="6"/>
  <c r="E69" i="6"/>
  <c r="Q15" i="6"/>
  <c r="R12" i="7"/>
  <c r="S12" i="7" s="1"/>
  <c r="K13" i="6"/>
  <c r="T13" i="6"/>
  <c r="K14" i="6"/>
  <c r="K12" i="7"/>
  <c r="C69" i="8"/>
  <c r="E69" i="8" s="1"/>
  <c r="F15" i="8"/>
  <c r="B69" i="8"/>
  <c r="M69" i="8" s="1"/>
  <c r="L69" i="8"/>
  <c r="O15" i="8" s="1"/>
  <c r="O12" i="6"/>
  <c r="R14" i="3"/>
  <c r="S14" i="3" s="1"/>
  <c r="T13" i="3"/>
  <c r="K14" i="3"/>
  <c r="T14" i="3"/>
  <c r="R13" i="3"/>
  <c r="S13" i="3" s="1"/>
  <c r="T15" i="7"/>
  <c r="F15" i="6"/>
  <c r="L13" i="4"/>
  <c r="O14" i="16" s="1"/>
  <c r="L11" i="4"/>
  <c r="O12" i="16" s="1"/>
  <c r="K8" i="7"/>
  <c r="O13" i="2"/>
  <c r="T8" i="7"/>
  <c r="U8" i="7" s="1"/>
  <c r="J8" i="7" s="1"/>
  <c r="M8" i="7" s="1"/>
  <c r="T13" i="7"/>
  <c r="Q10" i="7"/>
  <c r="F13" i="2"/>
  <c r="Q11" i="7"/>
  <c r="R8" i="6"/>
  <c r="S8" i="6" s="1"/>
  <c r="F14" i="2"/>
  <c r="F10" i="7"/>
  <c r="F30" i="7"/>
  <c r="M68" i="7"/>
  <c r="F29" i="7"/>
  <c r="F15" i="5"/>
  <c r="T8" i="6"/>
  <c r="K8" i="6"/>
  <c r="O12" i="5"/>
  <c r="R12" i="5" s="1"/>
  <c r="S12" i="5" s="1"/>
  <c r="F35" i="5"/>
  <c r="F12" i="5"/>
  <c r="M69" i="5"/>
  <c r="K8" i="2"/>
  <c r="M70" i="2"/>
  <c r="F9" i="7"/>
  <c r="O11" i="7"/>
  <c r="F34" i="2"/>
  <c r="O10" i="7"/>
  <c r="F11" i="7"/>
  <c r="O9" i="7"/>
  <c r="R9" i="7" s="1"/>
  <c r="S9" i="7" s="1"/>
  <c r="L11" i="3"/>
  <c r="P12" i="16" s="1"/>
  <c r="E69" i="5"/>
  <c r="D15" i="5"/>
  <c r="D12" i="5"/>
  <c r="Q15" i="5"/>
  <c r="K15" i="5" s="1"/>
  <c r="D13" i="2"/>
  <c r="E70" i="2"/>
  <c r="Q14" i="2"/>
  <c r="K14" i="2" s="1"/>
  <c r="M13" i="4"/>
  <c r="G13" i="4" s="1"/>
  <c r="G14" i="16" s="1"/>
  <c r="L9" i="4"/>
  <c r="O10" i="16" s="1"/>
  <c r="R13" i="7"/>
  <c r="S13" i="7" s="1"/>
  <c r="Q13" i="2"/>
  <c r="U9" i="3"/>
  <c r="J9" i="3" s="1"/>
  <c r="L9" i="3" s="1"/>
  <c r="K13" i="7"/>
  <c r="T8" i="2"/>
  <c r="U8" i="2" s="1"/>
  <c r="J8" i="2" s="1"/>
  <c r="M11" i="4"/>
  <c r="G11" i="4" s="1"/>
  <c r="T14" i="7"/>
  <c r="U14" i="7" s="1"/>
  <c r="J14" i="7" s="1"/>
  <c r="K14" i="7"/>
  <c r="D9" i="9"/>
  <c r="G10" i="13"/>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N30" i="5" l="1"/>
  <c r="L14" i="5"/>
  <c r="Q15" i="16" s="1"/>
  <c r="L13" i="5"/>
  <c r="Q14" i="16" s="1"/>
  <c r="L10" i="3"/>
  <c r="P11" i="16" s="1"/>
  <c r="L15" i="7"/>
  <c r="S16" i="16" s="1"/>
  <c r="K13" i="8"/>
  <c r="I12" i="16"/>
  <c r="K12" i="3"/>
  <c r="N30" i="4"/>
  <c r="L14" i="4"/>
  <c r="O15" i="16" s="1"/>
  <c r="I12" i="13"/>
  <c r="K12" i="6"/>
  <c r="T15" i="6"/>
  <c r="K15" i="3"/>
  <c r="U12" i="7"/>
  <c r="J12" i="7" s="1"/>
  <c r="M12" i="7" s="1"/>
  <c r="I11" i="13"/>
  <c r="E10" i="9"/>
  <c r="U13" i="7"/>
  <c r="J13" i="7" s="1"/>
  <c r="M13" i="7" s="1"/>
  <c r="T12" i="3"/>
  <c r="R14" i="8"/>
  <c r="S14" i="8" s="1"/>
  <c r="T15" i="3"/>
  <c r="L10" i="4"/>
  <c r="O11" i="16" s="1"/>
  <c r="R13" i="8"/>
  <c r="S13" i="8" s="1"/>
  <c r="U13" i="3"/>
  <c r="J13" i="3" s="1"/>
  <c r="L13" i="3" s="1"/>
  <c r="P14" i="16" s="1"/>
  <c r="T14" i="8"/>
  <c r="T13" i="8"/>
  <c r="U12" i="3"/>
  <c r="J12" i="3" s="1"/>
  <c r="K14" i="8"/>
  <c r="G11" i="13"/>
  <c r="D10" i="9"/>
  <c r="R15" i="3"/>
  <c r="S15" i="3" s="1"/>
  <c r="U15" i="3" s="1"/>
  <c r="J15" i="3" s="1"/>
  <c r="M15" i="3" s="1"/>
  <c r="G15" i="3" s="1"/>
  <c r="I16" i="16" s="1"/>
  <c r="O12" i="8"/>
  <c r="M14" i="13"/>
  <c r="K15" i="6"/>
  <c r="L13" i="6"/>
  <c r="R14" i="16" s="1"/>
  <c r="R15" i="6"/>
  <c r="S15" i="6" s="1"/>
  <c r="U15" i="6" s="1"/>
  <c r="J15" i="6" s="1"/>
  <c r="M15" i="6" s="1"/>
  <c r="G15" i="6" s="1"/>
  <c r="R12" i="6"/>
  <c r="S12" i="6" s="1"/>
  <c r="U12" i="6" s="1"/>
  <c r="J12" i="6" s="1"/>
  <c r="M12" i="6" s="1"/>
  <c r="G12" i="6" s="1"/>
  <c r="U14" i="3"/>
  <c r="J14" i="3" s="1"/>
  <c r="M14" i="3" s="1"/>
  <c r="G14" i="3" s="1"/>
  <c r="E14" i="9" s="1"/>
  <c r="Q15" i="8"/>
  <c r="R15" i="8" s="1"/>
  <c r="S15" i="8" s="1"/>
  <c r="U15" i="8" s="1"/>
  <c r="J15" i="8" s="1"/>
  <c r="D15" i="8"/>
  <c r="Q12" i="8"/>
  <c r="D12" i="8"/>
  <c r="F32" i="8"/>
  <c r="F35" i="8"/>
  <c r="T12" i="6"/>
  <c r="M13" i="9"/>
  <c r="U14" i="13"/>
  <c r="U12" i="13"/>
  <c r="M11" i="9"/>
  <c r="T13" i="2"/>
  <c r="U8" i="6"/>
  <c r="J8" i="6" s="1"/>
  <c r="M8" i="6" s="1"/>
  <c r="G8" i="6" s="1"/>
  <c r="M9" i="13" s="1"/>
  <c r="R13" i="2"/>
  <c r="S13" i="2" s="1"/>
  <c r="V11" i="13"/>
  <c r="G14" i="9"/>
  <c r="R10" i="7"/>
  <c r="S10" i="7" s="1"/>
  <c r="T11" i="7"/>
  <c r="T10" i="7"/>
  <c r="L8" i="2"/>
  <c r="N9" i="16" s="1"/>
  <c r="K13" i="2"/>
  <c r="R15" i="5"/>
  <c r="S15" i="5" s="1"/>
  <c r="U15" i="5" s="1"/>
  <c r="J15" i="5" s="1"/>
  <c r="M15" i="5" s="1"/>
  <c r="K11" i="7"/>
  <c r="T9" i="7"/>
  <c r="N10" i="9"/>
  <c r="N30" i="6"/>
  <c r="R11" i="7"/>
  <c r="S11" i="7" s="1"/>
  <c r="L14" i="6"/>
  <c r="R15" i="16" s="1"/>
  <c r="K12" i="5"/>
  <c r="T12" i="5"/>
  <c r="U12" i="5" s="1"/>
  <c r="J12" i="5" s="1"/>
  <c r="M12" i="5" s="1"/>
  <c r="K10" i="7"/>
  <c r="R14" i="2"/>
  <c r="S14" i="2" s="1"/>
  <c r="D13" i="9"/>
  <c r="G14" i="13"/>
  <c r="K9" i="7"/>
  <c r="T14" i="2"/>
  <c r="V12" i="13"/>
  <c r="U10" i="13"/>
  <c r="N11" i="9"/>
  <c r="T15" i="5"/>
  <c r="M9" i="3"/>
  <c r="G9" i="3" s="1"/>
  <c r="I10" i="13" s="1"/>
  <c r="G12" i="13"/>
  <c r="G12" i="16"/>
  <c r="N9" i="9"/>
  <c r="P10" i="16"/>
  <c r="M14" i="7"/>
  <c r="N30" i="7"/>
  <c r="L14" i="7"/>
  <c r="S15" i="16" s="1"/>
  <c r="L8" i="7"/>
  <c r="S9" i="16" s="1"/>
  <c r="M9" i="9"/>
  <c r="O14" i="9"/>
  <c r="V10" i="13"/>
  <c r="W15" i="13"/>
  <c r="U12" i="2"/>
  <c r="J12" i="2" s="1"/>
  <c r="L12" i="2" s="1"/>
  <c r="N13" i="16" s="1"/>
  <c r="D11" i="9"/>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R9" i="8"/>
  <c r="S9" i="8" s="1"/>
  <c r="U9" i="2"/>
  <c r="J9" i="2" s="1"/>
  <c r="L9" i="2" s="1"/>
  <c r="N10" i="16" s="1"/>
  <c r="U11" i="2"/>
  <c r="J11" i="2" s="1"/>
  <c r="M11" i="2" s="1"/>
  <c r="G11" i="2" s="1"/>
  <c r="E12" i="16" s="1"/>
  <c r="U9" i="6"/>
  <c r="J9" i="6" s="1"/>
  <c r="U8" i="8"/>
  <c r="J8" i="8" s="1"/>
  <c r="M8" i="4"/>
  <c r="G8" i="4" s="1"/>
  <c r="G9" i="16" s="1"/>
  <c r="L8" i="4"/>
  <c r="O9" i="16" s="1"/>
  <c r="R10" i="8"/>
  <c r="S10" i="8" s="1"/>
  <c r="T10" i="8"/>
  <c r="K10" i="8"/>
  <c r="U15" i="4"/>
  <c r="J15" i="4" s="1"/>
  <c r="U10" i="6"/>
  <c r="J10" i="6" s="1"/>
  <c r="K11" i="8"/>
  <c r="T11" i="8"/>
  <c r="R11" i="8"/>
  <c r="S11" i="8" s="1"/>
  <c r="K9" i="8"/>
  <c r="T9" i="8"/>
  <c r="L12" i="5" l="1"/>
  <c r="Q13" i="16" s="1"/>
  <c r="Y16" i="13"/>
  <c r="Q15" i="9"/>
  <c r="O13" i="9"/>
  <c r="W14" i="13"/>
  <c r="U15" i="13"/>
  <c r="M14" i="9"/>
  <c r="L12" i="3"/>
  <c r="P13" i="16" s="1"/>
  <c r="M12" i="3"/>
  <c r="G12" i="3" s="1"/>
  <c r="I13" i="16" s="1"/>
  <c r="L12" i="7"/>
  <c r="S13" i="16" s="1"/>
  <c r="L12" i="6"/>
  <c r="R13" i="16" s="1"/>
  <c r="U11" i="7"/>
  <c r="J11" i="7" s="1"/>
  <c r="M11" i="7" s="1"/>
  <c r="U14" i="8"/>
  <c r="J14" i="8" s="1"/>
  <c r="N30" i="8" s="1"/>
  <c r="L13" i="7"/>
  <c r="S14" i="16" s="1"/>
  <c r="U10" i="7"/>
  <c r="J10" i="7" s="1"/>
  <c r="M10" i="7" s="1"/>
  <c r="M10" i="9"/>
  <c r="U11" i="13"/>
  <c r="U13" i="8"/>
  <c r="J13" i="8" s="1"/>
  <c r="M13" i="8" s="1"/>
  <c r="G13" i="8" s="1"/>
  <c r="I13" i="9" s="1"/>
  <c r="L15" i="3"/>
  <c r="P16" i="16" s="1"/>
  <c r="N13" i="9"/>
  <c r="V14" i="13"/>
  <c r="M13" i="3"/>
  <c r="G13" i="3" s="1"/>
  <c r="E13" i="9" s="1"/>
  <c r="R12" i="8"/>
  <c r="S12" i="8" s="1"/>
  <c r="I16" i="13"/>
  <c r="E15" i="9"/>
  <c r="L15" i="6"/>
  <c r="R16" i="16" s="1"/>
  <c r="P13" i="9"/>
  <c r="X14" i="13"/>
  <c r="U14" i="2"/>
  <c r="J14" i="2" s="1"/>
  <c r="M14" i="2" s="1"/>
  <c r="G14" i="2" s="1"/>
  <c r="E15" i="16" s="1"/>
  <c r="U13" i="2"/>
  <c r="J13" i="2" s="1"/>
  <c r="M13" i="2" s="1"/>
  <c r="G13" i="2" s="1"/>
  <c r="E14" i="16" s="1"/>
  <c r="I15" i="16"/>
  <c r="I15" i="13"/>
  <c r="L14" i="3"/>
  <c r="N30" i="3"/>
  <c r="K12" i="8"/>
  <c r="T12" i="8"/>
  <c r="T15" i="8"/>
  <c r="K15" i="8"/>
  <c r="L15" i="8" s="1"/>
  <c r="T16" i="16" s="1"/>
  <c r="L8" i="6"/>
  <c r="R9" i="16" s="1"/>
  <c r="L15" i="5"/>
  <c r="Q16" i="16" s="1"/>
  <c r="T9" i="13"/>
  <c r="L8" i="9"/>
  <c r="X15" i="13"/>
  <c r="P14" i="9"/>
  <c r="G8" i="9"/>
  <c r="Q14" i="9"/>
  <c r="Y15" i="13"/>
  <c r="E9" i="13"/>
  <c r="L10" i="2"/>
  <c r="N11" i="16" s="1"/>
  <c r="L11" i="6"/>
  <c r="R12" i="16" s="1"/>
  <c r="I10" i="16"/>
  <c r="C8" i="9"/>
  <c r="E9" i="9"/>
  <c r="G12" i="9"/>
  <c r="M13" i="13"/>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D8" i="9"/>
  <c r="G9" i="13"/>
  <c r="U9" i="8"/>
  <c r="J9" i="8" s="1"/>
  <c r="M9" i="8" s="1"/>
  <c r="G9" i="8" s="1"/>
  <c r="K10" i="16" s="1"/>
  <c r="C10" i="9"/>
  <c r="E11" i="13"/>
  <c r="L12" i="9"/>
  <c r="T13" i="13"/>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V13" i="13" l="1"/>
  <c r="N12" i="9"/>
  <c r="E12" i="9"/>
  <c r="Q13" i="9"/>
  <c r="I13" i="13"/>
  <c r="L11" i="7"/>
  <c r="S12" i="16" s="1"/>
  <c r="Q12" i="9"/>
  <c r="N15" i="9"/>
  <c r="M14" i="8"/>
  <c r="G14" i="8" s="1"/>
  <c r="K15" i="16" s="1"/>
  <c r="Y13" i="13"/>
  <c r="X13" i="13"/>
  <c r="P12" i="9"/>
  <c r="L14" i="8"/>
  <c r="T15" i="16" s="1"/>
  <c r="V16" i="13"/>
  <c r="Y14" i="13"/>
  <c r="L10" i="7"/>
  <c r="S11" i="16" s="1"/>
  <c r="X16" i="13"/>
  <c r="L13" i="8"/>
  <c r="T14" i="16" s="1"/>
  <c r="U12" i="8"/>
  <c r="J12" i="8" s="1"/>
  <c r="L12" i="8" s="1"/>
  <c r="T13" i="16" s="1"/>
  <c r="Q14" i="13"/>
  <c r="K14" i="16"/>
  <c r="I14" i="16"/>
  <c r="I14" i="13"/>
  <c r="P15" i="9"/>
  <c r="E15" i="13"/>
  <c r="C14" i="9"/>
  <c r="E14" i="13"/>
  <c r="C13" i="9"/>
  <c r="L13" i="2"/>
  <c r="N14" i="16" s="1"/>
  <c r="N30" i="2"/>
  <c r="L14" i="2"/>
  <c r="N15" i="16" s="1"/>
  <c r="P15" i="16"/>
  <c r="N14" i="9"/>
  <c r="V15" i="13"/>
  <c r="P8" i="9"/>
  <c r="X9"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Y12" i="13"/>
  <c r="D15" i="9"/>
  <c r="G16" i="13"/>
  <c r="M10" i="8"/>
  <c r="G10" i="8" s="1"/>
  <c r="K11" i="16" s="1"/>
  <c r="L10" i="8"/>
  <c r="T11" i="16" s="1"/>
  <c r="L11" i="8"/>
  <c r="T12" i="16" s="1"/>
  <c r="M11" i="8"/>
  <c r="G11" i="8" s="1"/>
  <c r="K12" i="16" s="1"/>
  <c r="Q11" i="9" l="1"/>
  <c r="Y11" i="13"/>
  <c r="I14" i="9"/>
  <c r="Q15" i="13"/>
  <c r="Q10" i="9"/>
  <c r="Z15" i="13"/>
  <c r="R14" i="9"/>
  <c r="M12" i="8"/>
  <c r="G12" i="8" s="1"/>
  <c r="K13" i="16" s="1"/>
  <c r="R13" i="9"/>
  <c r="Z14" i="13"/>
  <c r="T14" i="13"/>
  <c r="L13" i="9"/>
  <c r="L14" i="9"/>
  <c r="T15" i="13"/>
  <c r="Z13" i="13"/>
  <c r="R12" i="9"/>
  <c r="R9" i="9"/>
  <c r="Z10" i="13"/>
  <c r="R10" i="9"/>
  <c r="Z11" i="13"/>
  <c r="I11" i="9"/>
  <c r="Q12" i="13"/>
  <c r="I10" i="9"/>
  <c r="Q11" i="13"/>
  <c r="R11" i="9"/>
  <c r="Z12" i="13"/>
  <c r="Q13" i="13" l="1"/>
  <c r="I12" i="9"/>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<sst xmlns="http://schemas.openxmlformats.org/spreadsheetml/2006/main" count="654" uniqueCount="141">
  <si>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</si>
  <si>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</si>
  <si>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</si>
  <si>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</si>
  <si>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</si>
  <si>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</si>
  <si>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</si>
  <si>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</si>
  <si>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</si>
  <si>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</si>
  <si>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</si>
  <si>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</si>
  <si>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</si>
  <si>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</si>
  <si>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</si>
  <si>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</si>
  <si>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</si>
  <si>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</si>
  <si>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</si>
  <si>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</si>
  <si>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</si>
  <si>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</si>
  <si>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</si>
  <si>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</si>
  <si>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</si>
  <si>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</si>
  <si>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</si>
  <si>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</si>
  <si>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</si>
  <si>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</si>
  <si>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</si>
  <si>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</si>
  <si>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</si>
  <si>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</si>
  <si>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</si>
  <si>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</si>
  <si>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</si>
  <si>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</si>
  <si>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</si>
  <si>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</si>
  <si>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</si>
  <si>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</si>
  <si>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</si>
  <si>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</si>
  <si>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</si>
  <si>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</si>
  <si>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</si>
  <si>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</si>
  <si>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</si>
  <si>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</si>
  <si>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</si>
  <si>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</si>
  <si>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</si>
  <si>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</si>
  <si>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</si>
  <si>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</si>
  <si>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</si>
  <si>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</si>
  <si>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</si>
  <si>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</si>
  <si>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</si>
  <si>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</si>
  <si>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</si>
  <si>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</si>
  <si>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</si>
  <si>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</si>
  <si>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</si>
  <si>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</si>
  <si>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</si>
  <si>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</si>
  <si>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</si>
  <si>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</si>
  <si>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</si>
  <si>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</si>
  <si>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</si>
  <si>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</si>
  <si>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</si>
  <si>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</si>
  <si>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</si>
  <si>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</si>
  <si>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</si>
  <si>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</si>
  <si>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</si>
  <si>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</si>
  <si>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</si>
  <si>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</si>
  <si>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</si>
  <si>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</si>
  <si>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</si>
  <si>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</si>
  <si>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</si>
  <si>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</si>
  <si>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</si>
  <si>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</si>
  <si>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</si>
  <si>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</si>
  <si>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</si>
  <si>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</si>
  <si>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</si>
  <si>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</si>
  <si>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</si>
  <si>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</si>
  <si>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</si>
  <si>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</si>
  <si>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</si>
  <si>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</si>
  <si>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</si>
  <si>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</si>
  <si>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</si>
  <si>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</si>
  <si>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</si>
  <si>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</si>
  <si>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</si>
  <si>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</si>
  <si>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</si>
  <si>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</si>
  <si>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</si>
  <si>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</si>
  <si>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</si>
  <si>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</si>
  <si>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</si>
  <si>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</si>
  <si>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</si>
  <si>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</si>
  <si>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</si>
  <si>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</si>
  <si>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</si>
  <si>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</si>
  <si>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</si>
  <si>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</si>
  <si>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</si>
  <si>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</si>
  <si>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</si>
  <si>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</si>
  <si>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</si>
  <si>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</si>
  <si>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Livingston</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</si>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</sst>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Livingston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N=11</c:v>
                </c:pt>
                <c:pt idx="2">
                  <c:v>Delinquent Findings, total N=45</c:v>
                </c:pt>
                <c:pt idx="3">
                  <c:v>Petitions, total N=95</c:v>
                </c:pt>
                <c:pt idx="4">
                  <c:v>Detentions, total N=6</c:v>
                </c:pt>
                <c:pt idx="5">
                  <c:v>Referrals, total N=136</c:v>
                </c:pt>
                <c:pt idx="6">
                  <c:v>Arrests, total N=46</c:v>
                </c:pt>
                <c:pt idx="7">
                  <c:v>Population, total N=19149</c:v>
                </c:pt>
              </c:strCache>
            </c:strRef>
          </c:cat>
          <c:val>
            <c:numRef>
              <c:f>'Stacked 100%'!$B$7:$B$14</c:f>
              <c:numCache>
                <c:formatCode>0%</c:formatCode>
                <c:ptCount val="8"/>
                <c:pt idx="0">
                  <c:v>0</c:v>
                </c:pt>
                <c:pt idx="1">
                  <c:v>0</c:v>
                </c:pt>
                <c:pt idx="2">
                  <c:v>4.4444444444444446E-2</c:v>
                </c:pt>
                <c:pt idx="3">
                  <c:v>2.1052631578947368E-2</c:v>
                </c:pt>
                <c:pt idx="4">
                  <c:v>0</c:v>
                </c:pt>
                <c:pt idx="5">
                  <c:v>2.2058823529411766E-2</c:v>
                </c:pt>
                <c:pt idx="6">
                  <c:v>0.10869565217391304</c:v>
                </c:pt>
                <c:pt idx="7">
                  <c:v>1.0601075774191863E-2</c:v>
                </c:pt>
              </c:numCache>
            </c:numRef>
          </c:val>
          <c:extLst>
            <c:ext xmlns:c16="http://schemas.microsoft.com/office/drawing/2014/chart" uri="{C3380CC4-5D6E-409C-BE32-E72D297353CC}">
              <c16:uniqueId val="{00000000-66B7-4F84-9B9A-9559428BEFF5}"/>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N=11</c:v>
                </c:pt>
                <c:pt idx="2">
                  <c:v>Delinquent Findings, total N=45</c:v>
                </c:pt>
                <c:pt idx="3">
                  <c:v>Petitions, total N=95</c:v>
                </c:pt>
                <c:pt idx="4">
                  <c:v>Detentions, total N=6</c:v>
                </c:pt>
                <c:pt idx="5">
                  <c:v>Referrals, total N=136</c:v>
                </c:pt>
                <c:pt idx="6">
                  <c:v>Arrests, total N=46</c:v>
                </c:pt>
                <c:pt idx="7">
                  <c:v>Population, total N=19149</c:v>
                </c:pt>
              </c:strCache>
            </c:strRef>
          </c:cat>
          <c:val>
            <c:numRef>
              <c:f>'Stacked 100%'!$C$7:$C$14</c:f>
              <c:numCache>
                <c:formatCode>0%</c:formatCode>
                <c:ptCount val="8"/>
                <c:pt idx="0">
                  <c:v>0</c:v>
                </c:pt>
                <c:pt idx="1">
                  <c:v>9.0909090909090912E-2</c:v>
                </c:pt>
                <c:pt idx="2">
                  <c:v>6.6666666666666666E-2</c:v>
                </c:pt>
                <c:pt idx="3">
                  <c:v>2.1052631578947368E-2</c:v>
                </c:pt>
                <c:pt idx="4">
                  <c:v>0.16666666666666666</c:v>
                </c:pt>
                <c:pt idx="5">
                  <c:v>2.9411764705882353E-2</c:v>
                </c:pt>
                <c:pt idx="6">
                  <c:v>0</c:v>
                </c:pt>
                <c:pt idx="7">
                  <c:v>4.1673194422685259E-2</c:v>
                </c:pt>
              </c:numCache>
            </c:numRef>
          </c:val>
          <c:extLst>
            <c:ext xmlns:c16="http://schemas.microsoft.com/office/drawing/2014/chart" uri="{C3380CC4-5D6E-409C-BE32-E72D297353CC}">
              <c16:uniqueId val="{00000001-66B7-4F84-9B9A-9559428BEFF5}"/>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N=11</c:v>
                </c:pt>
                <c:pt idx="2">
                  <c:v>Delinquent Findings, total N=45</c:v>
                </c:pt>
                <c:pt idx="3">
                  <c:v>Petitions, total N=95</c:v>
                </c:pt>
                <c:pt idx="4">
                  <c:v>Detentions, total N=6</c:v>
                </c:pt>
                <c:pt idx="5">
                  <c:v>Referrals, total N=136</c:v>
                </c:pt>
                <c:pt idx="6">
                  <c:v>Arrests, total N=46</c:v>
                </c:pt>
                <c:pt idx="7">
                  <c:v>Population, total N=19149</c:v>
                </c:pt>
              </c:strCache>
            </c:strRef>
          </c:cat>
          <c:val>
            <c:numRef>
              <c:f>'Stacked 100%'!$H$7:$H$14</c:f>
              <c:numCache>
                <c:formatCode>0%</c:formatCode>
                <c:ptCount val="8"/>
                <c:pt idx="0">
                  <c:v>0</c:v>
                </c:pt>
                <c:pt idx="1">
                  <c:v>0</c:v>
                </c:pt>
                <c:pt idx="2">
                  <c:v>4.9382716049382717E-4</c:v>
                </c:pt>
                <c:pt idx="3">
                  <c:v>2.2160664819944597E-4</c:v>
                </c:pt>
                <c:pt idx="4">
                  <c:v>0</c:v>
                </c:pt>
                <c:pt idx="5">
                  <c:v>1.6219723183391003E-4</c:v>
                </c:pt>
                <c:pt idx="6">
                  <c:v>0</c:v>
                </c:pt>
                <c:pt idx="7">
                  <c:v>1.0390412211951287E-6</c:v>
                </c:pt>
              </c:numCache>
            </c:numRef>
          </c:val>
          <c:extLst>
            <c:ext xmlns:c16="http://schemas.microsoft.com/office/drawing/2014/chart" uri="{C3380CC4-5D6E-409C-BE32-E72D297353CC}">
              <c16:uniqueId val="{00000002-66B7-4F84-9B9A-9559428BEFF5}"/>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N=11</c:v>
                </c:pt>
                <c:pt idx="2">
                  <c:v>Delinquent Findings, total N=45</c:v>
                </c:pt>
                <c:pt idx="3">
                  <c:v>Petitions, total N=95</c:v>
                </c:pt>
                <c:pt idx="4">
                  <c:v>Detentions, total N=6</c:v>
                </c:pt>
                <c:pt idx="5">
                  <c:v>Referrals, total N=136</c:v>
                </c:pt>
                <c:pt idx="6">
                  <c:v>Arrests, total N=46</c:v>
                </c:pt>
                <c:pt idx="7">
                  <c:v>Population, total N=19149</c:v>
                </c:pt>
              </c:strCache>
            </c:strRef>
          </c:cat>
          <c:val>
            <c:numRef>
              <c:f>'Stacked 100%'!$I$7:$I$14</c:f>
              <c:numCache>
                <c:formatCode>0%</c:formatCode>
                <c:ptCount val="8"/>
                <c:pt idx="0">
                  <c:v>0</c:v>
                </c:pt>
                <c:pt idx="1">
                  <c:v>0.90909090909090906</c:v>
                </c:pt>
                <c:pt idx="2">
                  <c:v>0.82222222222222219</c:v>
                </c:pt>
                <c:pt idx="3">
                  <c:v>0.89473684210526316</c:v>
                </c:pt>
                <c:pt idx="4">
                  <c:v>0.83333333333333337</c:v>
                </c:pt>
                <c:pt idx="5">
                  <c:v>0.81617647058823528</c:v>
                </c:pt>
                <c:pt idx="6">
                  <c:v>0.82608695652173914</c:v>
                </c:pt>
                <c:pt idx="7">
                  <c:v>0.92782912945845741</c:v>
                </c:pt>
              </c:numCache>
            </c:numRef>
          </c:val>
          <c:extLst>
            <c:ext xmlns:c16="http://schemas.microsoft.com/office/drawing/2014/chart" uri="{C3380CC4-5D6E-409C-BE32-E72D297353CC}">
              <c16:uniqueId val="{00000003-66B7-4F84-9B9A-9559428BEFF5}"/>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N=11</c:v>
                </c:pt>
                <c:pt idx="2">
                  <c:v>Delinquent Findings, total N=45</c:v>
                </c:pt>
                <c:pt idx="3">
                  <c:v>Petitions, total N=95</c:v>
                </c:pt>
                <c:pt idx="4">
                  <c:v>Detentions, total N=6</c:v>
                </c:pt>
                <c:pt idx="5">
                  <c:v>Referrals, total N=136</c:v>
                </c:pt>
                <c:pt idx="6">
                  <c:v>Arrests, total N=46</c:v>
                </c:pt>
                <c:pt idx="7">
                  <c:v>Population, total N=19149</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66B7-4F84-9B9A-9559428BEFF5}"/>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19149</v>
      </c>
      <c r="C6" s="11">
        <v>17767</v>
      </c>
      <c r="D6" s="11">
        <v>203</v>
      </c>
      <c r="E6" s="11">
        <v>798</v>
      </c>
      <c r="F6" s="11">
        <v>290</v>
      </c>
      <c r="G6" s="11"/>
      <c r="H6" s="11">
        <v>91</v>
      </c>
      <c r="I6" s="11"/>
      <c r="J6" s="91">
        <f>SUM(D6:I6)</f>
        <v>1382</v>
      </c>
      <c r="K6" s="92"/>
    </row>
    <row r="7" spans="1:11" ht="15.75" customHeight="1" thickBot="1">
      <c r="A7" s="10" t="s">
        <v>8</v>
      </c>
      <c r="B7" s="11">
        <f t="shared" ref="B7:B15" si="0">SUM(C7:I7)+K7</f>
        <v>46</v>
      </c>
      <c r="C7" s="11">
        <v>38</v>
      </c>
      <c r="D7" s="11">
        <v>5</v>
      </c>
      <c r="E7" s="11">
        <v>0</v>
      </c>
      <c r="F7" s="11">
        <v>0</v>
      </c>
      <c r="G7" s="11">
        <v>0</v>
      </c>
      <c r="H7" s="11">
        <v>0</v>
      </c>
      <c r="I7" s="11"/>
      <c r="J7" s="91">
        <f t="shared" ref="J7:J15" si="1">SUM(D7:I7)</f>
        <v>5</v>
      </c>
      <c r="K7" s="92">
        <v>3</v>
      </c>
    </row>
    <row r="8" spans="1:11" ht="15.75" customHeight="1" thickBot="1">
      <c r="A8" s="10" t="s">
        <v>9</v>
      </c>
      <c r="B8" s="11">
        <f t="shared" si="0"/>
        <v>136</v>
      </c>
      <c r="C8" s="11">
        <v>111</v>
      </c>
      <c r="D8" s="11">
        <v>3</v>
      </c>
      <c r="E8" s="11">
        <v>4</v>
      </c>
      <c r="F8" s="11">
        <v>1</v>
      </c>
      <c r="G8" s="11">
        <v>1</v>
      </c>
      <c r="H8" s="11"/>
      <c r="I8" s="11">
        <v>1</v>
      </c>
      <c r="J8" s="91">
        <f t="shared" si="1"/>
        <v>10</v>
      </c>
      <c r="K8" s="92">
        <v>15</v>
      </c>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6</v>
      </c>
      <c r="C10" s="11">
        <v>5</v>
      </c>
      <c r="D10" s="11"/>
      <c r="E10" s="11">
        <v>1</v>
      </c>
      <c r="F10" s="11"/>
      <c r="G10" s="11"/>
      <c r="H10" s="11"/>
      <c r="I10" s="11"/>
      <c r="J10" s="91">
        <f t="shared" si="1"/>
        <v>1</v>
      </c>
      <c r="K10" s="92"/>
    </row>
    <row r="11" spans="1:11" ht="15.75" customHeight="1" thickBot="1">
      <c r="A11" s="10" t="s">
        <v>12</v>
      </c>
      <c r="B11" s="11">
        <f t="shared" si="0"/>
        <v>95</v>
      </c>
      <c r="C11" s="11">
        <v>85</v>
      </c>
      <c r="D11" s="11">
        <v>2</v>
      </c>
      <c r="E11" s="11">
        <v>2</v>
      </c>
      <c r="F11" s="11">
        <v>1</v>
      </c>
      <c r="G11" s="11">
        <v>1</v>
      </c>
      <c r="H11" s="11"/>
      <c r="I11" s="11"/>
      <c r="J11" s="91">
        <f t="shared" si="1"/>
        <v>6</v>
      </c>
      <c r="K11" s="92">
        <v>4</v>
      </c>
    </row>
    <row r="12" spans="1:11" ht="15.75" customHeight="1" thickBot="1">
      <c r="A12" s="10" t="s">
        <v>13</v>
      </c>
      <c r="B12" s="11">
        <f t="shared" si="0"/>
        <v>45</v>
      </c>
      <c r="C12" s="11">
        <v>37</v>
      </c>
      <c r="D12" s="11">
        <v>2</v>
      </c>
      <c r="E12" s="11">
        <v>3</v>
      </c>
      <c r="F12" s="11"/>
      <c r="G12" s="11">
        <v>1</v>
      </c>
      <c r="H12" s="11"/>
      <c r="I12" s="11"/>
      <c r="J12" s="91">
        <f t="shared" si="1"/>
        <v>6</v>
      </c>
      <c r="K12" s="92">
        <v>2</v>
      </c>
    </row>
    <row r="13" spans="1:11" ht="15.75" customHeight="1" thickBot="1">
      <c r="A13" s="10" t="s">
        <v>133</v>
      </c>
      <c r="B13" s="11">
        <f t="shared" si="0"/>
        <v>57</v>
      </c>
      <c r="C13" s="11">
        <v>49</v>
      </c>
      <c r="D13" s="11">
        <v>2</v>
      </c>
      <c r="E13" s="11">
        <v>3</v>
      </c>
      <c r="F13" s="11"/>
      <c r="G13" s="11">
        <v>1</v>
      </c>
      <c r="H13" s="11"/>
      <c r="I13" s="11"/>
      <c r="J13" s="91">
        <f t="shared" si="1"/>
        <v>6</v>
      </c>
      <c r="K13" s="92">
        <v>2</v>
      </c>
    </row>
    <row r="14" spans="1:11" ht="26.25" customHeight="1" thickBot="1">
      <c r="A14" s="10" t="s">
        <v>123</v>
      </c>
      <c r="B14" s="11">
        <f t="shared" si="0"/>
        <v>11</v>
      </c>
      <c r="C14" s="11">
        <v>10</v>
      </c>
      <c r="D14" s="11"/>
      <c r="E14" s="11">
        <v>1</v>
      </c>
      <c r="F14" s="11"/>
      <c r="G14" s="11"/>
      <c r="H14" s="11"/>
      <c r="I14" s="11"/>
      <c r="J14" s="91">
        <f t="shared" si="1"/>
        <v>1</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70" t="s">
        <v>138</v>
      </c>
      <c r="B19" s="170"/>
      <c r="C19" s="8"/>
      <c r="D19" s="170" t="s">
        <v>139</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Livingston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17767</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38</v>
      </c>
      <c r="D7" s="34">
        <f>IF((AND(C66&gt;0,C7&gt;0)),(C7/C66),0)</f>
        <v>2.1387966454663139</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38</v>
      </c>
      <c r="Q7" s="42">
        <f>C6-C7</f>
        <v>17729</v>
      </c>
      <c r="R7" s="42">
        <f t="shared" ref="R7:R15" si="5">SUM(N7:Q7)</f>
        <v>17767</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111</v>
      </c>
      <c r="D8" s="34">
        <f>IF((AND(C67&gt;0,C8&gt;0)),(C8/C67),0)</f>
        <v>292.10526315789474</v>
      </c>
      <c r="E8" s="33">
        <f>'Data Entry'!I8</f>
        <v>1</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1</v>
      </c>
      <c r="O8" s="42">
        <f>((D67*L67)-E8)+0.05</f>
        <v>-0.95</v>
      </c>
      <c r="P8" s="42">
        <f t="shared" si="4"/>
        <v>111</v>
      </c>
      <c r="Q8" s="42">
        <f>(C$67*L67)-C8</f>
        <v>-73</v>
      </c>
      <c r="R8" s="42">
        <f t="shared" si="5"/>
        <v>38.049999999999997</v>
      </c>
      <c r="S8" s="30">
        <f t="shared" si="6"/>
        <v>40066.745124999972</v>
      </c>
      <c r="T8" s="30">
        <f t="shared" si="7"/>
        <v>-15736.560000000014</v>
      </c>
      <c r="U8" s="31">
        <f t="shared" si="8"/>
        <v>-2.5460929914161632</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111.00000000000001</v>
      </c>
      <c r="R9" s="42">
        <f t="shared" si="5"/>
        <v>112.00000000000001</v>
      </c>
      <c r="S9" s="30">
        <f t="shared" si="6"/>
        <v>0</v>
      </c>
      <c r="T9" s="30">
        <f t="shared" si="7"/>
        <v>0</v>
      </c>
      <c r="U9" s="31" t="str">
        <f t="shared" si="8"/>
        <v>- -</v>
      </c>
    </row>
    <row r="10" spans="2:21" ht="18" customHeight="1">
      <c r="B10" s="32" t="str">
        <f>'Data Entry'!A10</f>
        <v>5. Cases Involving Secure Detention</v>
      </c>
      <c r="C10" s="33">
        <f>'Data Entry'!C10</f>
        <v>5</v>
      </c>
      <c r="D10" s="34">
        <f>IF(((AND(C68&gt;0,C10&gt;0))),(C10/(C68)),0)</f>
        <v>4.5045045045045038</v>
      </c>
      <c r="E10" s="33">
        <f>'Data Entry'!I10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1</v>
      </c>
      <c r="P10" s="42">
        <f t="shared" si="4"/>
        <v>5</v>
      </c>
      <c r="Q10" s="42">
        <f>(C$68*L68)-C10</f>
        <v>106.00000000000001</v>
      </c>
      <c r="R10" s="42">
        <f t="shared" si="5"/>
        <v>112.00000000000001</v>
      </c>
      <c r="S10" s="30">
        <f t="shared" si="6"/>
        <v>2800.0000000000005</v>
      </c>
      <c r="T10" s="30">
        <f t="shared" si="7"/>
        <v>59385.000000000022</v>
      </c>
      <c r="U10" s="31">
        <f t="shared" si="8"/>
        <v>4.7149953692009756E-2</v>
      </c>
    </row>
    <row r="11" spans="2:21" ht="18" customHeight="1">
      <c r="B11" s="32" t="str">
        <f>'Data Entry'!A11</f>
        <v>6. Cases Petitioned (Charge Filed)</v>
      </c>
      <c r="C11" s="33">
        <f>'Data Entry'!C11</f>
        <v>85</v>
      </c>
      <c r="D11" s="34">
        <f>IF(((AND(C68&gt;0,C11&gt;0))),(C11/(C68)),0)</f>
        <v>76.576576576576571</v>
      </c>
      <c r="E11" s="33">
        <f>'Data Entry'!I11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0</v>
      </c>
      <c r="O11" s="42">
        <f>(D$68*L68)-E11</f>
        <v>1</v>
      </c>
      <c r="P11" s="42">
        <f t="shared" si="4"/>
        <v>85</v>
      </c>
      <c r="Q11" s="42">
        <f>(C$68*L68)-C11</f>
        <v>26.000000000000014</v>
      </c>
      <c r="R11" s="42">
        <f t="shared" si="5"/>
        <v>112.00000000000001</v>
      </c>
      <c r="S11" s="30">
        <f t="shared" si="6"/>
        <v>809200.00000000012</v>
      </c>
      <c r="T11" s="30">
        <f t="shared" si="7"/>
        <v>254745.00000000017</v>
      </c>
      <c r="U11" s="31">
        <f t="shared" si="8"/>
        <v>3.176509843176508</v>
      </c>
    </row>
    <row r="12" spans="2:21" ht="18" customHeight="1">
      <c r="B12" s="32" t="str">
        <f>'Data Entry'!A12</f>
        <v>7. Cases Resulting in Delinquent Findings</v>
      </c>
      <c r="C12" s="33">
        <f>'Data Entry'!C12</f>
        <v>37</v>
      </c>
      <c r="D12" s="34">
        <f>IF(((AND(C69&gt;0,C12&gt;0))),(C12/(C69)),0)</f>
        <v>43.529411764705884</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37</v>
      </c>
      <c r="Q12" s="42">
        <f>(C69*L69)-C12</f>
        <v>48</v>
      </c>
      <c r="R12" s="42">
        <f t="shared" si="5"/>
        <v>85</v>
      </c>
      <c r="S12" s="30">
        <f t="shared" si="6"/>
        <v>0</v>
      </c>
      <c r="T12" s="30">
        <f t="shared" si="7"/>
        <v>0</v>
      </c>
      <c r="U12" s="31" t="str">
        <f t="shared" si="8"/>
        <v>- -</v>
      </c>
    </row>
    <row r="13" spans="2:21" ht="18" customHeight="1">
      <c r="B13" s="32" t="str">
        <f>'Data Entry'!A13</f>
        <v>8. Cases Resulting in Probation Placement</v>
      </c>
      <c r="C13" s="33">
        <f>'Data Entry'!C13</f>
        <v>49</v>
      </c>
      <c r="D13" s="34">
        <f>IF(((AND(C70&gt;0,C13&gt;0))),(C13/(C70)),0)</f>
        <v>132.43243243243242</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49</v>
      </c>
      <c r="Q13" s="42">
        <f>(C70*L70)-C13</f>
        <v>-12</v>
      </c>
      <c r="R13" s="42">
        <f t="shared" si="5"/>
        <v>37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10</v>
      </c>
      <c r="D14" s="34">
        <f>IF(((AND(C70&gt;0,C14&gt;0))), ((C14/(C70))),0)</f>
        <v>27.027027027027028</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10</v>
      </c>
      <c r="Q14" s="42">
        <f>(C70*L70)-C14</f>
        <v>27</v>
      </c>
      <c r="R14" s="42">
        <f t="shared" si="5"/>
        <v>37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85</v>
      </c>
      <c r="R15" s="42">
        <f t="shared" si="5"/>
        <v>85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17.766999999999999</v>
      </c>
      <c r="D42" s="56">
        <f>E6/1000</f>
        <v>0</v>
      </c>
      <c r="E42" s="56">
        <f>MAX(C42:D42)</f>
        <v>17.766999999999999</v>
      </c>
      <c r="G42" s="1" t="str">
        <f>B42</f>
        <v>per 1000 youth</v>
      </c>
      <c r="L42" s="57">
        <v>1000</v>
      </c>
      <c r="M42" s="57"/>
      <c r="R42" s="49"/>
    </row>
    <row r="43" spans="2:18" ht="15" hidden="1" customHeight="1">
      <c r="B43" s="49" t="s">
        <v>87</v>
      </c>
      <c r="C43" s="56">
        <f>C7/100</f>
        <v>0.38</v>
      </c>
      <c r="D43" s="56">
        <f>E7/100</f>
        <v>0</v>
      </c>
      <c r="E43" s="56">
        <f>MAX(C43:D43,0)</f>
        <v>0.38</v>
      </c>
      <c r="G43" s="1" t="str">
        <f>B43</f>
        <v>per 100 arrests</v>
      </c>
      <c r="L43" s="57">
        <v>100</v>
      </c>
      <c r="M43" s="57"/>
      <c r="R43" s="49"/>
    </row>
    <row r="44" spans="2:18" ht="15" hidden="1" customHeight="1">
      <c r="B44" s="49" t="s">
        <v>88</v>
      </c>
      <c r="C44" s="56">
        <f>C8/100</f>
        <v>1.1100000000000001</v>
      </c>
      <c r="D44" s="56">
        <f>E8/100</f>
        <v>0.01</v>
      </c>
      <c r="E44" s="56">
        <f>MAX(C44:D44,0)</f>
        <v>1.1100000000000001</v>
      </c>
      <c r="G44" s="1" t="str">
        <f>B44</f>
        <v>per 100 referrals</v>
      </c>
      <c r="L44" s="57">
        <v>100</v>
      </c>
      <c r="M44" s="57"/>
      <c r="R44" s="49"/>
    </row>
    <row r="45" spans="2:18" ht="15" hidden="1" customHeight="1">
      <c r="B45" s="49" t="s">
        <v>89</v>
      </c>
      <c r="C45" s="49">
        <f>C11/100</f>
        <v>0.85</v>
      </c>
      <c r="D45" s="49">
        <f>E11/100</f>
        <v>0</v>
      </c>
      <c r="E45" s="56">
        <f>MAX(C45:D45,0)</f>
        <v>0.85</v>
      </c>
      <c r="G45" s="1" t="str">
        <f>B45</f>
        <v>per 100 youth petitioned</v>
      </c>
      <c r="L45" s="57">
        <v>100</v>
      </c>
      <c r="M45" s="57"/>
      <c r="R45" s="49"/>
    </row>
    <row r="46" spans="2:18" ht="15" hidden="1" customHeight="1">
      <c r="B46" s="49" t="s">
        <v>90</v>
      </c>
      <c r="C46" s="49">
        <f>C12/100</f>
        <v>0.37</v>
      </c>
      <c r="D46" s="49">
        <f>E12/100</f>
        <v>0</v>
      </c>
      <c r="E46" s="56">
        <f>MAX(C46:D46)</f>
        <v>0.37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17.766999999999999</v>
      </c>
      <c r="D48" s="56">
        <f>D42</f>
        <v>0</v>
      </c>
      <c r="E48" s="56">
        <f>MAX(C48:D48)</f>
        <v>17.766999999999999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0.38</v>
      </c>
      <c r="D49" s="49">
        <f t="shared" si="9"/>
        <v>0</v>
      </c>
      <c r="E49" s="49">
        <f>MAX(C49:D49)</f>
        <v>0.38</v>
      </c>
      <c r="G49" s="1" t="str">
        <f>G43</f>
        <v>per 100 arrests</v>
      </c>
      <c r="L49" s="58">
        <f>IF(($E43&gt;0),L43,L42)</f>
        <v>100</v>
      </c>
      <c r="M49" s="58"/>
      <c r="N49" s="21"/>
      <c r="O49" s="21"/>
      <c r="P49" s="21"/>
      <c r="Q49" s="21"/>
      <c r="R49" s="21"/>
    </row>
    <row r="50" spans="2:18" ht="15" hidden="1" customHeight="1">
      <c r="B50" s="49" t="str">
        <f t="shared" si="9"/>
        <v>per 100 referrals</v>
      </c>
      <c r="C50" s="49">
        <f t="shared" si="9"/>
        <v>1.1100000000000001</v>
      </c>
      <c r="D50" s="49">
        <f t="shared" si="9"/>
        <v>0.01</v>
      </c>
      <c r="E50" s="49">
        <f>MAX(C50:D50)</f>
        <v>1.1100000000000001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0.85</v>
      </c>
      <c r="D51" s="49">
        <f>IF(($E45&gt;0),D45,D44)</f>
        <v>0</v>
      </c>
      <c r="E51" s="49">
        <f>MAX(C51:D51)</f>
        <v>0.85</v>
      </c>
      <c r="G51" s="1" t="str">
        <f>G45</f>
        <v>per 100 youth petitioned</v>
      </c>
      <c r="L51" s="58">
        <f>IF(($E45&gt;0),L45,L44)</f>
        <v>100</v>
      </c>
      <c r="M51" s="58"/>
    </row>
    <row r="52" spans="2:18" ht="15" hidden="1" customHeight="1">
      <c r="B52" s="49" t="str">
        <f>IF(($E46&gt;0),B46,B45)</f>
        <v>per 100 youth found delinquent</v>
      </c>
      <c r="C52" s="49">
        <f>IF(($E46&gt;0),C46,C45)</f>
        <v>0.37</v>
      </c>
      <c r="D52" s="49">
        <f>IF(($E46&gt;0),D46,D45)</f>
        <v>0</v>
      </c>
      <c r="E52" s="56">
        <f>MAX(C52:D52)</f>
        <v>0.37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17.766999999999999</v>
      </c>
      <c r="D54" s="56">
        <f>D48</f>
        <v>0</v>
      </c>
      <c r="E54" s="56">
        <f>MAX(C54:D54)</f>
        <v>17.766999999999999</v>
      </c>
      <c r="G54" s="1" t="str">
        <f>G48</f>
        <v>per 1000 youth</v>
      </c>
      <c r="L54" s="58">
        <f>L48</f>
        <v>1000</v>
      </c>
      <c r="M54" s="58"/>
    </row>
    <row r="55" spans="2:18" ht="15" hidden="1" customHeight="1">
      <c r="B55" s="49" t="str">
        <f t="shared" ref="B55:D56" si="10">IF(($E49&gt;0),B49,B48)</f>
        <v>per 100 arrests</v>
      </c>
      <c r="C55" s="49">
        <f t="shared" si="10"/>
        <v>0.38</v>
      </c>
      <c r="D55" s="49">
        <f t="shared" si="10"/>
        <v>0</v>
      </c>
      <c r="E55" s="49">
        <f>MAX(C55:D55)</f>
        <v>0.38</v>
      </c>
      <c r="G55" s="1" t="str">
        <f>G49</f>
        <v>per 100 arrests</v>
      </c>
      <c r="L55" s="58">
        <f>IF(($E49&gt;0),L49,L48)</f>
        <v>100</v>
      </c>
      <c r="M55" s="58"/>
    </row>
    <row r="56" spans="2:18" ht="15" hidden="1" customHeight="1">
      <c r="B56" s="49" t="str">
        <f t="shared" si="10"/>
        <v>per 100 referrals</v>
      </c>
      <c r="C56" s="49">
        <f t="shared" si="10"/>
        <v>1.1100000000000001</v>
      </c>
      <c r="D56" s="49">
        <f t="shared" si="10"/>
        <v>0.01</v>
      </c>
      <c r="E56" s="49">
        <f>MAX(C56:D56)</f>
        <v>1.1100000000000001</v>
      </c>
      <c r="G56" s="1" t="str">
        <f>G50</f>
        <v>per 100 referrals</v>
      </c>
      <c r="L56" s="58">
        <f>IF(($E50&gt;0),L50,L49)</f>
        <v>100</v>
      </c>
      <c r="M56" s="58"/>
    </row>
    <row r="57" spans="2:18" ht="15" hidden="1" customHeight="1">
      <c r="B57" s="49" t="str">
        <f>IF(($E51&gt;0),B51,B49)</f>
        <v>per 100 youth petitioned</v>
      </c>
      <c r="C57" s="49">
        <f>IF(($E51&gt;0),C51,C50)</f>
        <v>0.85</v>
      </c>
      <c r="D57" s="49">
        <f>IF(($E51&gt;0),D51,D50)</f>
        <v>0</v>
      </c>
      <c r="E57" s="49">
        <f>MAX(C57:D57)</f>
        <v>0.85</v>
      </c>
      <c r="G57" s="1" t="str">
        <f>G51</f>
        <v>per 100 youth petitioned</v>
      </c>
      <c r="L57" s="58">
        <f>IF(($E51&gt;0),L51,L50)</f>
        <v>100</v>
      </c>
      <c r="M57" s="58"/>
    </row>
    <row r="58" spans="2:18" ht="15" hidden="1" customHeight="1">
      <c r="B58" s="49" t="str">
        <f>IF(($E52&gt;0),B52,B51)</f>
        <v>per 100 youth found delinquent</v>
      </c>
      <c r="C58" s="49">
        <f>IF(($E52&gt;0),C52,C51)</f>
        <v>0.37</v>
      </c>
      <c r="D58" s="49">
        <f>IF(($E52&gt;0),D52,D51)</f>
        <v>0</v>
      </c>
      <c r="E58" s="56">
        <f>MAX(C58:D58)</f>
        <v>0.37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17.766999999999999</v>
      </c>
      <c r="D60" s="56">
        <f>D54</f>
        <v>0</v>
      </c>
      <c r="E60" s="56">
        <f>MAX(C60:D60)</f>
        <v>17.766999999999999</v>
      </c>
      <c r="G60" s="1" t="str">
        <f>G54</f>
        <v>per 1000 youth</v>
      </c>
      <c r="L60" s="58">
        <f>L54</f>
        <v>1000</v>
      </c>
      <c r="M60" s="58"/>
    </row>
    <row r="61" spans="2:18" ht="15" hidden="1" customHeight="1">
      <c r="B61" s="49" t="str">
        <f t="shared" ref="B61:D62" si="11">IF(($E55&gt;0),B55,B54)</f>
        <v>per 100 arrests</v>
      </c>
      <c r="C61" s="49">
        <f t="shared" si="11"/>
        <v>0.38</v>
      </c>
      <c r="D61" s="49">
        <f t="shared" si="11"/>
        <v>0</v>
      </c>
      <c r="E61" s="49">
        <f>MAX(C61:D61)</f>
        <v>0.38</v>
      </c>
      <c r="G61" s="1" t="str">
        <f>G55</f>
        <v>per 100 arrests</v>
      </c>
      <c r="L61" s="58">
        <f>IF(($E55&gt;0),L55,L54)</f>
        <v>100</v>
      </c>
      <c r="M61" s="58"/>
    </row>
    <row r="62" spans="2:18" ht="15" hidden="1" customHeight="1">
      <c r="B62" s="49" t="str">
        <f t="shared" si="11"/>
        <v>per 100 referrals</v>
      </c>
      <c r="C62" s="49">
        <f t="shared" si="11"/>
        <v>1.1100000000000001</v>
      </c>
      <c r="D62" s="49">
        <f t="shared" si="11"/>
        <v>0.01</v>
      </c>
      <c r="E62" s="49">
        <f>MAX(C62:D62)</f>
        <v>1.1100000000000001</v>
      </c>
      <c r="G62" s="1" t="str">
        <f>G56</f>
        <v>per 100 referrals</v>
      </c>
      <c r="L62" s="58">
        <f>IF(($E56&gt;0),L56,L55)</f>
        <v>100</v>
      </c>
      <c r="M62" s="58"/>
    </row>
    <row r="63" spans="2:18" ht="15" hidden="1" customHeight="1">
      <c r="B63" s="49" t="str">
        <f>IF(($E57&gt;0),B57,B55)</f>
        <v>per 100 youth petitioned</v>
      </c>
      <c r="C63" s="49">
        <f>IF(($E57&gt;0),C57,C56)</f>
        <v>0.85</v>
      </c>
      <c r="D63" s="49">
        <f>IF(($E57&gt;0),D57,D56)</f>
        <v>0</v>
      </c>
      <c r="E63" s="49">
        <f>MAX(C63:D63)</f>
        <v>0.85</v>
      </c>
      <c r="G63" s="1" t="str">
        <f>G57</f>
        <v>per 100 youth petitioned</v>
      </c>
      <c r="L63" s="58">
        <f>IF(($E57&gt;0),L57,L56)</f>
        <v>100</v>
      </c>
      <c r="M63" s="58"/>
    </row>
    <row r="64" spans="2:18" ht="15" hidden="1" customHeight="1">
      <c r="B64" s="49" t="str">
        <f>IF(($E58&gt;0),B58,B57)</f>
        <v>per 100 youth found delinquent</v>
      </c>
      <c r="C64" s="49">
        <f>IF(($E58&gt;0),C58,C57)</f>
        <v>0.37</v>
      </c>
      <c r="D64" s="49">
        <f>IF(($E58&gt;0),D58,D57)</f>
        <v>0</v>
      </c>
      <c r="E64" s="56">
        <f>MAX(C64:D64)</f>
        <v>0.37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17.766999999999999</v>
      </c>
      <c r="D66" s="56">
        <f>D60</f>
        <v>0</v>
      </c>
      <c r="E66" s="56">
        <f>MAX(C66:D66)</f>
        <v>17.766999999999999</v>
      </c>
      <c r="G66" s="1" t="str">
        <f>G60</f>
        <v>per 1000 youth</v>
      </c>
      <c r="L66" s="58">
        <f>L60</f>
        <v>1000</v>
      </c>
      <c r="M66" s="58">
        <f>IF((B66=G66),1,2)</f>
        <v>1</v>
      </c>
    </row>
    <row r="67" spans="2:13" ht="15" hidden="1" customHeight="1">
      <c r="B67" s="49" t="str">
        <f t="shared" ref="B67:D68" si="12">IF(($E61&gt;0),B61,B60)</f>
        <v>per 100 arrests</v>
      </c>
      <c r="C67" s="49">
        <f t="shared" si="12"/>
        <v>0.38</v>
      </c>
      <c r="D67" s="49">
        <f t="shared" si="12"/>
        <v>0</v>
      </c>
      <c r="E67" s="49">
        <f>MAX(C67:D67)</f>
        <v>0.38</v>
      </c>
      <c r="G67" s="1" t="str">
        <f>G61</f>
        <v>per 100 arrests</v>
      </c>
      <c r="L67" s="58">
        <f>IF(($E61&gt;0),L61,L60)</f>
        <v>100</v>
      </c>
      <c r="M67" s="58">
        <f>IF((B67=G67),1,2)</f>
        <v>1</v>
      </c>
    </row>
    <row r="68" spans="2:13" ht="15" hidden="1" customHeight="1">
      <c r="B68" s="49" t="str">
        <f t="shared" si="12"/>
        <v>per 100 referrals</v>
      </c>
      <c r="C68" s="49">
        <f t="shared" si="12"/>
        <v>1.1100000000000001</v>
      </c>
      <c r="D68" s="49">
        <f t="shared" si="12"/>
        <v>0.01</v>
      </c>
      <c r="E68" s="49">
        <f>MAX(C68:D68)</f>
        <v>1.1100000000000001</v>
      </c>
      <c r="G68" s="1" t="str">
        <f>G62</f>
        <v>per 100 referrals</v>
      </c>
      <c r="L68" s="58">
        <f>IF(($E62&gt;0),L62,L61)</f>
        <v>100</v>
      </c>
      <c r="M68" s="58">
        <f>IF((B68=G68),1,2)</f>
        <v>1</v>
      </c>
    </row>
    <row r="69" spans="2:13" ht="15" hidden="1" customHeight="1">
      <c r="B69" s="49" t="str">
        <f>IF(($E63&gt;0),B63,B61)</f>
        <v>per 100 youth petitioned</v>
      </c>
      <c r="C69" s="49">
        <f>IF(($E63&gt;0),C63,C62)</f>
        <v>0.85</v>
      </c>
      <c r="D69" s="49">
        <f>IF(($E63&gt;0),D63,D62)</f>
        <v>0</v>
      </c>
      <c r="E69" s="49">
        <f>MAX(C69:D69)</f>
        <v>0.85</v>
      </c>
      <c r="G69" s="1" t="str">
        <f>G63</f>
        <v>per 100 youth petitioned</v>
      </c>
      <c r="L69" s="58">
        <f>IF(($E63&gt;0),L63,L62)</f>
        <v>100</v>
      </c>
      <c r="M69" s="58">
        <f>IF((B69=G69),1,2)</f>
        <v>1</v>
      </c>
    </row>
    <row r="70" spans="2:13" ht="15" hidden="1" customHeight="1">
      <c r="B70" s="49" t="str">
        <f>IF(($E64&gt;0),B64,B63)</f>
        <v>per 100 youth found delinquent</v>
      </c>
      <c r="C70" s="49">
        <f>IF(($E64&gt;0),C64,C63)</f>
        <v>0.37</v>
      </c>
      <c r="D70" s="49">
        <f>IF(($E64&gt;0),D64,D63)</f>
        <v>0</v>
      </c>
      <c r="E70" s="56">
        <f>MAX(C70:D70)</f>
        <v>0.37</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Livingston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17767</v>
      </c>
      <c r="D6" s="34"/>
      <c r="E6" s="33">
        <f>'Data Entry'!J6</f>
        <v>1382</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38</v>
      </c>
      <c r="D7" s="34">
        <f>IF((AND(C66&gt;0,C7&gt;0)),(C7/C66),0)</f>
        <v>2.1387966454663139</v>
      </c>
      <c r="E7" s="33">
        <f>'Data Entry'!J7</f>
        <v>5</v>
      </c>
      <c r="F7" s="34">
        <f>IF((AND($E$7&gt;0,$D$66&gt;0)),($E$7/$D$66),0)</f>
        <v>3.6179450072358903</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5</v>
      </c>
      <c r="O7" s="42">
        <f>E6-E7</f>
        <v>1377</v>
      </c>
      <c r="P7" s="42">
        <f t="shared" ref="P7:P15" si="4">C7</f>
        <v>38</v>
      </c>
      <c r="Q7" s="42">
        <f>C6-C7</f>
        <v>17729</v>
      </c>
      <c r="R7" s="42">
        <f t="shared" ref="R7:R15" si="5">SUM(N7:Q7)</f>
        <v>19149</v>
      </c>
      <c r="S7" s="30">
        <f t="shared" ref="S7:S15" si="6">R7*((((N7*Q7)-(O7*P7))^2))</f>
        <v>25258866853389</v>
      </c>
      <c r="T7" s="30">
        <f t="shared" ref="T7:T15" si="7">(N7+O7)*(P7+Q7)*(N7+P7)*(O7+Q7)</f>
        <v>20172530202652</v>
      </c>
      <c r="U7" s="31">
        <f t="shared" ref="U7:U15" si="8">IF((S7&gt;0),S7/T7,"- -")</f>
        <v>1.2521417293537287</v>
      </c>
    </row>
    <row r="8" spans="2:21" ht="18" customHeight="1">
      <c r="B8" s="32" t="str">
        <f>'Data Entry'!A8</f>
        <v>3. Refer to Juvenile Court</v>
      </c>
      <c r="C8" s="33">
        <f>'Data Entry'!C8</f>
        <v>111</v>
      </c>
      <c r="D8" s="34">
        <f>IF((AND(C67&gt;0,C8&gt;0)),(C8/C67),0)</f>
        <v>292.10526315789474</v>
      </c>
      <c r="E8" s="33">
        <f>'Data Entry'!J8</f>
        <v>10</v>
      </c>
      <c r="F8" s="34">
        <f>IF((AND($E$8&gt;0,$D$67&gt;0)),($E8/$D67),0)</f>
        <v>200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10</v>
      </c>
      <c r="O8" s="42">
        <f>((D67*L67)-E8)+0.05</f>
        <v>-4.95</v>
      </c>
      <c r="P8" s="42">
        <f t="shared" si="4"/>
        <v>111</v>
      </c>
      <c r="Q8" s="42">
        <f>(C$67*L67)-C8</f>
        <v>-73</v>
      </c>
      <c r="R8" s="42">
        <f t="shared" si="5"/>
        <v>43.05</v>
      </c>
      <c r="S8" s="30">
        <f t="shared" si="6"/>
        <v>1403356.9226249992</v>
      </c>
      <c r="T8" s="30">
        <f t="shared" si="7"/>
        <v>-1809991.2050000001</v>
      </c>
      <c r="U8" s="31">
        <f t="shared" si="8"/>
        <v>-0.77533908382996763</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10</v>
      </c>
      <c r="P9" s="42">
        <f t="shared" si="4"/>
        <v>0</v>
      </c>
      <c r="Q9" s="42">
        <f>(C$68*L68)-C9</f>
        <v>111.00000000000001</v>
      </c>
      <c r="R9" s="42">
        <f t="shared" si="5"/>
        <v>121.00000000000001</v>
      </c>
      <c r="S9" s="30">
        <f t="shared" si="6"/>
        <v>0</v>
      </c>
      <c r="T9" s="30">
        <f t="shared" si="7"/>
        <v>0</v>
      </c>
      <c r="U9" s="31" t="str">
        <f t="shared" si="8"/>
        <v>- -</v>
      </c>
    </row>
    <row r="10" spans="2:21" ht="18" customHeight="1">
      <c r="B10" s="32" t="str">
        <f>'Data Entry'!A10</f>
        <v>5. Cases Involving Secure Detention</v>
      </c>
      <c r="C10" s="33">
        <f>'Data Entry'!C10</f>
        <v>5</v>
      </c>
      <c r="D10" s="34">
        <f>IF(((AND(C68&gt;0,C10&gt;0))),(C10/(C68)),0)</f>
        <v>4.5045045045045038</v>
      </c>
      <c r="E10" s="33">
        <f>'Data Entry'!J10</f>
        <v>1</v>
      </c>
      <c r="F10" s="34">
        <f>IF(((AND($E$10&gt;0,$D$68&gt;0))),($E$10/($D$68)),0)</f>
        <v>10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1</v>
      </c>
      <c r="O10" s="42">
        <f>(D$68*L68)-E10</f>
        <v>9</v>
      </c>
      <c r="P10" s="42">
        <f t="shared" si="4"/>
        <v>5</v>
      </c>
      <c r="Q10" s="42">
        <f>(C$68*L68)-C10</f>
        <v>106.00000000000001</v>
      </c>
      <c r="R10" s="42">
        <f t="shared" si="5"/>
        <v>121.00000000000001</v>
      </c>
      <c r="S10" s="30">
        <f t="shared" si="6"/>
        <v>450241.00000000029</v>
      </c>
      <c r="T10" s="30">
        <f t="shared" si="7"/>
        <v>765900.00000000035</v>
      </c>
      <c r="U10" s="31">
        <f t="shared" si="8"/>
        <v>0.58785872829351105</v>
      </c>
    </row>
    <row r="11" spans="2:21" ht="18" customHeight="1">
      <c r="B11" s="32" t="str">
        <f>'Data Entry'!A11</f>
        <v>6. Cases Petitioned (Charge Filed)</v>
      </c>
      <c r="C11" s="33">
        <f>'Data Entry'!C11</f>
        <v>85</v>
      </c>
      <c r="D11" s="34">
        <f>IF(((AND(C68&gt;0,C11&gt;0))),(C11/(C68)),0)</f>
        <v>76.576576576576571</v>
      </c>
      <c r="E11" s="33">
        <f>'Data Entry'!J11</f>
        <v>6</v>
      </c>
      <c r="F11" s="34">
        <f>IF(((AND($E$11&gt;0,$D$68&gt;0))),($E$11/($D$68)),0)</f>
        <v>60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6</v>
      </c>
      <c r="O11" s="42">
        <f>(D$68*L68)-E11</f>
        <v>4</v>
      </c>
      <c r="P11" s="42">
        <f t="shared" si="4"/>
        <v>85</v>
      </c>
      <c r="Q11" s="42">
        <f>(C$68*L68)-C11</f>
        <v>26.000000000000014</v>
      </c>
      <c r="R11" s="42">
        <f t="shared" si="5"/>
        <v>121.00000000000001</v>
      </c>
      <c r="S11" s="30">
        <f t="shared" si="6"/>
        <v>4096575.9999999967</v>
      </c>
      <c r="T11" s="30">
        <f t="shared" si="7"/>
        <v>3030300.0000000019</v>
      </c>
      <c r="U11" s="31">
        <f t="shared" si="8"/>
        <v>1.35187143187143</v>
      </c>
    </row>
    <row r="12" spans="2:21" ht="18" customHeight="1">
      <c r="B12" s="32" t="str">
        <f>'Data Entry'!A12</f>
        <v>7. Cases Resulting in Delinquent Findings</v>
      </c>
      <c r="C12" s="33">
        <f>'Data Entry'!C12</f>
        <v>37</v>
      </c>
      <c r="D12" s="34">
        <f>IF(((AND(C69&gt;0,C12&gt;0))),(C12/(C69)),0)</f>
        <v>43.529411764705884</v>
      </c>
      <c r="E12" s="33">
        <f>'Data Entry'!J12</f>
        <v>6</v>
      </c>
      <c r="F12" s="34">
        <f>IF(((AND($D$69&gt;0,$E$12&gt;0))),(E12/(D69)),0)</f>
        <v>100</v>
      </c>
      <c r="G12" s="39" t="str">
        <f t="shared" si="0"/>
        <v>**</v>
      </c>
      <c r="H12" s="40"/>
      <c r="I12" s="41"/>
      <c r="J12" s="40">
        <f>IF((ABS($U12)&gt;Defaults!D$7),1,2)</f>
        <v>1</v>
      </c>
      <c r="K12" s="39">
        <f>IF((AND(N12&gt;Defaults!B$12,(N12+O12)&gt;Defaults!B$13, P12 &gt; Defaults!B$12, (P12+Q12) &gt; Defaults!B$13)),1,20)</f>
        <v>20</v>
      </c>
      <c r="L12" s="1">
        <f t="shared" si="1"/>
        <v>20</v>
      </c>
      <c r="M12" s="1" t="b">
        <f t="shared" si="2"/>
        <v>1</v>
      </c>
      <c r="N12" s="42">
        <f t="shared" si="3"/>
        <v>6</v>
      </c>
      <c r="O12" s="42">
        <f>(D69*L69)-E12</f>
        <v>0</v>
      </c>
      <c r="P12" s="42">
        <f t="shared" si="4"/>
        <v>37</v>
      </c>
      <c r="Q12" s="42">
        <f>(C69*L69)-C12</f>
        <v>48</v>
      </c>
      <c r="R12" s="42">
        <f t="shared" si="5"/>
        <v>91</v>
      </c>
      <c r="S12" s="30">
        <f t="shared" si="6"/>
        <v>7547904</v>
      </c>
      <c r="T12" s="30">
        <f t="shared" si="7"/>
        <v>1052640</v>
      </c>
      <c r="U12" s="31">
        <f t="shared" si="8"/>
        <v>7.1704514363885092</v>
      </c>
    </row>
    <row r="13" spans="2:21" ht="18" customHeight="1">
      <c r="B13" s="32" t="str">
        <f>'Data Entry'!A13</f>
        <v>8. Cases Resulting in Probation Placement</v>
      </c>
      <c r="C13" s="33">
        <f>'Data Entry'!C13</f>
        <v>49</v>
      </c>
      <c r="D13" s="34">
        <f>IF(((AND(C70&gt;0,C13&gt;0))),(C13/(C70)),0)</f>
        <v>132.43243243243242</v>
      </c>
      <c r="E13" s="33">
        <f>'Data Entry'!J13</f>
        <v>6</v>
      </c>
      <c r="F13" s="34">
        <f>IF(((AND($D$70&gt;0,$E$13&gt;0))),($E$13/($D$70)),0)</f>
        <v>100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6</v>
      </c>
      <c r="O13" s="42">
        <f>(D70*L70)-E13</f>
        <v>0</v>
      </c>
      <c r="P13" s="42">
        <f t="shared" si="4"/>
        <v>49</v>
      </c>
      <c r="Q13" s="42">
        <f>(C70*L70)-C13</f>
        <v>-12</v>
      </c>
      <c r="R13" s="42">
        <f t="shared" si="5"/>
        <v>43</v>
      </c>
      <c r="S13" s="30">
        <f t="shared" si="6"/>
        <v>222912</v>
      </c>
      <c r="T13" s="30">
        <f t="shared" si="7"/>
        <v>-146520</v>
      </c>
      <c r="U13" s="31">
        <f t="shared" si="8"/>
        <v>-1.5213759213759215</v>
      </c>
    </row>
    <row r="14" spans="2:21" ht="30.75" customHeight="1">
      <c r="B14" s="32" t="str">
        <f>'Data Entry'!A14</f>
        <v xml:space="preserve">9. Cases Resulting in Confinement in Secure Juvenile Correctional Facilities </v>
      </c>
      <c r="C14" s="33">
        <f>'Data Entry'!C14</f>
        <v>10</v>
      </c>
      <c r="D14" s="34">
        <f>IF(((AND(C70&gt;0,C14&gt;0))), ((C14/(C70))),0)</f>
        <v>27.027027027027028</v>
      </c>
      <c r="E14" s="33">
        <f>'Data Entry'!J14</f>
        <v>1</v>
      </c>
      <c r="F14" s="34">
        <f>IF(((AND($D$70&gt;0,$E$14&gt;0))), (($E$14/($D$70))),0)</f>
        <v>16.666666666666668</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1</v>
      </c>
      <c r="O14" s="42">
        <f>(D70*L70)-E14</f>
        <v>5</v>
      </c>
      <c r="P14" s="42">
        <f t="shared" si="4"/>
        <v>10</v>
      </c>
      <c r="Q14" s="42">
        <f>(C70*L70)-C14</f>
        <v>27</v>
      </c>
      <c r="R14" s="42">
        <f t="shared" si="5"/>
        <v>43</v>
      </c>
      <c r="S14" s="30">
        <f t="shared" si="6"/>
        <v>22747</v>
      </c>
      <c r="T14" s="30">
        <f t="shared" si="7"/>
        <v>78144</v>
      </c>
      <c r="U14" s="31">
        <f t="shared" si="8"/>
        <v>0.29109080671580673</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6</v>
      </c>
      <c r="P15" s="42">
        <f t="shared" si="4"/>
        <v>0</v>
      </c>
      <c r="Q15" s="42">
        <f>(C69*L69)-C15</f>
        <v>85</v>
      </c>
      <c r="R15" s="42">
        <f t="shared" si="5"/>
        <v>91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17.766999999999999</v>
      </c>
      <c r="D42" s="56">
        <f>E6/1000</f>
        <v>1.3819999999999999</v>
      </c>
      <c r="E42" s="56">
        <f>MAX(C42:D42)</f>
        <v>17.766999999999999</v>
      </c>
      <c r="G42" s="1" t="str">
        <f>B42</f>
        <v>per 1000 youth</v>
      </c>
      <c r="L42" s="57">
        <v>1000</v>
      </c>
      <c r="M42" s="57"/>
      <c r="R42" s="49"/>
    </row>
    <row r="43" spans="2:18" ht="15" hidden="1" customHeight="1">
      <c r="B43" s="49" t="s">
        <v>87</v>
      </c>
      <c r="C43" s="56">
        <f>C7/100</f>
        <v>0.38</v>
      </c>
      <c r="D43" s="56">
        <f>E7/100</f>
        <v>0.05</v>
      </c>
      <c r="E43" s="56">
        <f>MAX(C43:D43,0)</f>
        <v>0.38</v>
      </c>
      <c r="G43" s="1" t="str">
        <f>B43</f>
        <v>per 100 arrests</v>
      </c>
      <c r="L43" s="57">
        <v>100</v>
      </c>
      <c r="M43" s="57"/>
      <c r="R43" s="49"/>
    </row>
    <row r="44" spans="2:18" ht="15" hidden="1" customHeight="1">
      <c r="B44" s="49" t="s">
        <v>88</v>
      </c>
      <c r="C44" s="56">
        <f>C8/100</f>
        <v>1.1100000000000001</v>
      </c>
      <c r="D44" s="56">
        <f>E8/100</f>
        <v>0.1</v>
      </c>
      <c r="E44" s="56">
        <f>MAX(C44:D44,0)</f>
        <v>1.1100000000000001</v>
      </c>
      <c r="G44" s="1" t="str">
        <f>B44</f>
        <v>per 100 referrals</v>
      </c>
      <c r="L44" s="57">
        <v>100</v>
      </c>
      <c r="M44" s="57"/>
      <c r="R44" s="49"/>
    </row>
    <row r="45" spans="2:18" ht="15" hidden="1" customHeight="1">
      <c r="B45" s="49" t="s">
        <v>89</v>
      </c>
      <c r="C45" s="49">
        <f>C11/100</f>
        <v>0.85</v>
      </c>
      <c r="D45" s="49">
        <f>E11/100</f>
        <v>0.06</v>
      </c>
      <c r="E45" s="56">
        <f>MAX(C45:D45,0)</f>
        <v>0.85</v>
      </c>
      <c r="G45" s="1" t="str">
        <f>B45</f>
        <v>per 100 youth petitioned</v>
      </c>
      <c r="L45" s="57">
        <v>100</v>
      </c>
      <c r="M45" s="57"/>
      <c r="R45" s="49"/>
    </row>
    <row r="46" spans="2:18" ht="15" hidden="1" customHeight="1">
      <c r="B46" s="49" t="s">
        <v>90</v>
      </c>
      <c r="C46" s="49">
        <f>C12/100</f>
        <v>0.37</v>
      </c>
      <c r="D46" s="49">
        <f>E12/100</f>
        <v>0.06</v>
      </c>
      <c r="E46" s="56">
        <f>MAX(C46:D46)</f>
        <v>0.37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17.766999999999999</v>
      </c>
      <c r="D48" s="56">
        <f>D42</f>
        <v>1.3819999999999999</v>
      </c>
      <c r="E48" s="56">
        <f>MAX(C48:D48)</f>
        <v>17.766999999999999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0.38</v>
      </c>
      <c r="D49" s="49">
        <f t="shared" si="9"/>
        <v>0.05</v>
      </c>
      <c r="E49" s="49">
        <f>MAX(C49:D49)</f>
        <v>0.38</v>
      </c>
      <c r="G49" s="1" t="str">
        <f>G43</f>
        <v>per 100 arrests</v>
      </c>
      <c r="L49" s="58">
        <f>IF(($E43&gt;0),L43,L42)</f>
        <v>100</v>
      </c>
      <c r="M49" s="58"/>
      <c r="N49" s="21"/>
      <c r="O49" s="21"/>
      <c r="P49" s="21"/>
      <c r="Q49" s="21"/>
      <c r="R49" s="21"/>
    </row>
    <row r="50" spans="2:18" ht="15" hidden="1" customHeight="1">
      <c r="B50" s="49" t="str">
        <f t="shared" si="9"/>
        <v>per 100 referrals</v>
      </c>
      <c r="C50" s="49">
        <f t="shared" si="9"/>
        <v>1.1100000000000001</v>
      </c>
      <c r="D50" s="49">
        <f t="shared" si="9"/>
        <v>0.1</v>
      </c>
      <c r="E50" s="49">
        <f>MAX(C50:D50)</f>
        <v>1.1100000000000001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0.85</v>
      </c>
      <c r="D51" s="49">
        <f>IF(($E45&gt;0),D45,D44)</f>
        <v>0.06</v>
      </c>
      <c r="E51" s="49">
        <f>MAX(C51:D51)</f>
        <v>0.85</v>
      </c>
      <c r="G51" s="1" t="str">
        <f>G45</f>
        <v>per 100 youth petitioned</v>
      </c>
      <c r="L51" s="58">
        <f>IF(($E45&gt;0),L45,L44)</f>
        <v>100</v>
      </c>
      <c r="M51" s="58"/>
    </row>
    <row r="52" spans="2:18" ht="15" hidden="1" customHeight="1">
      <c r="B52" s="49" t="str">
        <f>IF(($E46&gt;0),B46,B45)</f>
        <v>per 100 youth found delinquent</v>
      </c>
      <c r="C52" s="49">
        <f>IF(($E46&gt;0),C46,C45)</f>
        <v>0.37</v>
      </c>
      <c r="D52" s="49">
        <f>IF(($E46&gt;0),D46,D45)</f>
        <v>0.06</v>
      </c>
      <c r="E52" s="56">
        <f>MAX(C52:D52)</f>
        <v>0.37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17.766999999999999</v>
      </c>
      <c r="D54" s="56">
        <f>D48</f>
        <v>1.3819999999999999</v>
      </c>
      <c r="E54" s="56">
        <f>MAX(C54:D54)</f>
        <v>17.766999999999999</v>
      </c>
      <c r="G54" s="1" t="str">
        <f>G48</f>
        <v>per 1000 youth</v>
      </c>
      <c r="L54" s="58">
        <f>L48</f>
        <v>1000</v>
      </c>
      <c r="M54" s="58"/>
    </row>
    <row r="55" spans="2:18" ht="15" hidden="1" customHeight="1">
      <c r="B55" s="49" t="str">
        <f t="shared" ref="B55:D56" si="10">IF(($E49&gt;0),B49,B48)</f>
        <v>per 100 arrests</v>
      </c>
      <c r="C55" s="49">
        <f t="shared" si="10"/>
        <v>0.38</v>
      </c>
      <c r="D55" s="49">
        <f t="shared" si="10"/>
        <v>0.05</v>
      </c>
      <c r="E55" s="49">
        <f>MAX(C55:D55)</f>
        <v>0.38</v>
      </c>
      <c r="G55" s="1" t="str">
        <f>G49</f>
        <v>per 100 arrests</v>
      </c>
      <c r="L55" s="58">
        <f>IF(($E49&gt;0),L49,L48)</f>
        <v>100</v>
      </c>
      <c r="M55" s="58"/>
    </row>
    <row r="56" spans="2:18" ht="15" hidden="1" customHeight="1">
      <c r="B56" s="49" t="str">
        <f t="shared" si="10"/>
        <v>per 100 referrals</v>
      </c>
      <c r="C56" s="49">
        <f t="shared" si="10"/>
        <v>1.1100000000000001</v>
      </c>
      <c r="D56" s="49">
        <f t="shared" si="10"/>
        <v>0.1</v>
      </c>
      <c r="E56" s="49">
        <f>MAX(C56:D56)</f>
        <v>1.1100000000000001</v>
      </c>
      <c r="G56" s="1" t="str">
        <f>G50</f>
        <v>per 100 referrals</v>
      </c>
      <c r="L56" s="58">
        <f>IF(($E50&gt;0),L50,L49)</f>
        <v>100</v>
      </c>
      <c r="M56" s="58"/>
    </row>
    <row r="57" spans="2:18" ht="15" hidden="1" customHeight="1">
      <c r="B57" s="49" t="str">
        <f>IF(($E51&gt;0),B51,B49)</f>
        <v>per 100 youth petitioned</v>
      </c>
      <c r="C57" s="49">
        <f>IF(($E51&gt;0),C51,C50)</f>
        <v>0.85</v>
      </c>
      <c r="D57" s="49">
        <f>IF(($E51&gt;0),D51,D50)</f>
        <v>0.06</v>
      </c>
      <c r="E57" s="49">
        <f>MAX(C57:D57)</f>
        <v>0.85</v>
      </c>
      <c r="G57" s="1" t="str">
        <f>G51</f>
        <v>per 100 youth petitioned</v>
      </c>
      <c r="L57" s="58">
        <f>IF(($E51&gt;0),L51,L50)</f>
        <v>100</v>
      </c>
      <c r="M57" s="58"/>
    </row>
    <row r="58" spans="2:18" ht="15" hidden="1" customHeight="1">
      <c r="B58" s="49" t="str">
        <f>IF(($E52&gt;0),B52,B51)</f>
        <v>per 100 youth found delinquent</v>
      </c>
      <c r="C58" s="49">
        <f>IF(($E52&gt;0),C52,C51)</f>
        <v>0.37</v>
      </c>
      <c r="D58" s="49">
        <f>IF(($E52&gt;0),D52,D51)</f>
        <v>0.06</v>
      </c>
      <c r="E58" s="56">
        <f>MAX(C58:D58)</f>
        <v>0.37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17.766999999999999</v>
      </c>
      <c r="D60" s="56">
        <f>D54</f>
        <v>1.3819999999999999</v>
      </c>
      <c r="E60" s="56">
        <f>MAX(C60:D60)</f>
        <v>17.766999999999999</v>
      </c>
      <c r="G60" s="1" t="str">
        <f>G54</f>
        <v>per 1000 youth</v>
      </c>
      <c r="L60" s="58">
        <f>L54</f>
        <v>1000</v>
      </c>
      <c r="M60" s="58"/>
    </row>
    <row r="61" spans="2:18" ht="15" hidden="1" customHeight="1">
      <c r="B61" s="49" t="str">
        <f t="shared" ref="B61:D62" si="11">IF(($E55&gt;0),B55,B54)</f>
        <v>per 100 arrests</v>
      </c>
      <c r="C61" s="49">
        <f t="shared" si="11"/>
        <v>0.38</v>
      </c>
      <c r="D61" s="49">
        <f t="shared" si="11"/>
        <v>0.05</v>
      </c>
      <c r="E61" s="49">
        <f>MAX(C61:D61)</f>
        <v>0.38</v>
      </c>
      <c r="G61" s="1" t="str">
        <f>G55</f>
        <v>per 100 arrests</v>
      </c>
      <c r="L61" s="58">
        <f>IF(($E55&gt;0),L55,L54)</f>
        <v>100</v>
      </c>
      <c r="M61" s="58"/>
    </row>
    <row r="62" spans="2:18" ht="15" hidden="1" customHeight="1">
      <c r="B62" s="49" t="str">
        <f t="shared" si="11"/>
        <v>per 100 referrals</v>
      </c>
      <c r="C62" s="49">
        <f t="shared" si="11"/>
        <v>1.1100000000000001</v>
      </c>
      <c r="D62" s="49">
        <f t="shared" si="11"/>
        <v>0.1</v>
      </c>
      <c r="E62" s="49">
        <f>MAX(C62:D62)</f>
        <v>1.1100000000000001</v>
      </c>
      <c r="G62" s="1" t="str">
        <f>G56</f>
        <v>per 100 referrals</v>
      </c>
      <c r="L62" s="58">
        <f>IF(($E56&gt;0),L56,L55)</f>
        <v>100</v>
      </c>
      <c r="M62" s="58"/>
    </row>
    <row r="63" spans="2:18" ht="15" hidden="1" customHeight="1">
      <c r="B63" s="49" t="str">
        <f>IF(($E57&gt;0),B57,B55)</f>
        <v>per 100 youth petitioned</v>
      </c>
      <c r="C63" s="49">
        <f>IF(($E57&gt;0),C57,C56)</f>
        <v>0.85</v>
      </c>
      <c r="D63" s="49">
        <f>IF(($E57&gt;0),D57,D56)</f>
        <v>0.06</v>
      </c>
      <c r="E63" s="49">
        <f>MAX(C63:D63)</f>
        <v>0.85</v>
      </c>
      <c r="G63" s="1" t="str">
        <f>G57</f>
        <v>per 100 youth petitioned</v>
      </c>
      <c r="L63" s="58">
        <f>IF(($E57&gt;0),L57,L56)</f>
        <v>100</v>
      </c>
      <c r="M63" s="58"/>
    </row>
    <row r="64" spans="2:18" ht="15" hidden="1" customHeight="1">
      <c r="B64" s="49" t="str">
        <f>IF(($E58&gt;0),B58,B57)</f>
        <v>per 100 youth found delinquent</v>
      </c>
      <c r="C64" s="49">
        <f>IF(($E58&gt;0),C58,C57)</f>
        <v>0.37</v>
      </c>
      <c r="D64" s="49">
        <f>IF(($E58&gt;0),D58,D57)</f>
        <v>0.06</v>
      </c>
      <c r="E64" s="56">
        <f>MAX(C64:D64)</f>
        <v>0.37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17.766999999999999</v>
      </c>
      <c r="D66" s="56">
        <f>D60</f>
        <v>1.3819999999999999</v>
      </c>
      <c r="E66" s="56">
        <f>MAX(C66:D66)</f>
        <v>17.766999999999999</v>
      </c>
      <c r="G66" s="1" t="str">
        <f>G60</f>
        <v>per 1000 youth</v>
      </c>
      <c r="L66" s="58">
        <f>L60</f>
        <v>1000</v>
      </c>
      <c r="M66" s="58">
        <f>IF((B66=G66),1,2)</f>
        <v>1</v>
      </c>
    </row>
    <row r="67" spans="2:13" ht="15" hidden="1" customHeight="1">
      <c r="B67" s="49" t="str">
        <f t="shared" ref="B67:D68" si="12">IF(($E61&gt;0),B61,B60)</f>
        <v>per 100 arrests</v>
      </c>
      <c r="C67" s="49">
        <f t="shared" si="12"/>
        <v>0.38</v>
      </c>
      <c r="D67" s="49">
        <f t="shared" si="12"/>
        <v>0.05</v>
      </c>
      <c r="E67" s="49">
        <f>MAX(C67:D67)</f>
        <v>0.38</v>
      </c>
      <c r="G67" s="1" t="str">
        <f>G61</f>
        <v>per 100 arrests</v>
      </c>
      <c r="L67" s="58">
        <f>IF(($E61&gt;0),L61,L60)</f>
        <v>100</v>
      </c>
      <c r="M67" s="58">
        <f>IF((B67=G67),1,2)</f>
        <v>1</v>
      </c>
    </row>
    <row r="68" spans="2:13" ht="15" hidden="1" customHeight="1">
      <c r="B68" s="49" t="str">
        <f t="shared" si="12"/>
        <v>per 100 referrals</v>
      </c>
      <c r="C68" s="49">
        <f t="shared" si="12"/>
        <v>1.1100000000000001</v>
      </c>
      <c r="D68" s="49">
        <f t="shared" si="12"/>
        <v>0.1</v>
      </c>
      <c r="E68" s="49">
        <f>MAX(C68:D68)</f>
        <v>1.1100000000000001</v>
      </c>
      <c r="G68" s="1" t="str">
        <f>G62</f>
        <v>per 100 referrals</v>
      </c>
      <c r="L68" s="58">
        <f>IF(($E62&gt;0),L62,L61)</f>
        <v>100</v>
      </c>
      <c r="M68" s="58">
        <f>IF((B68=G68),1,2)</f>
        <v>1</v>
      </c>
    </row>
    <row r="69" spans="2:13" ht="15" hidden="1" customHeight="1">
      <c r="B69" s="49" t="str">
        <f>IF(($E63&gt;0),B63,B61)</f>
        <v>per 100 youth petitioned</v>
      </c>
      <c r="C69" s="49">
        <f>IF(($E63&gt;0),C63,C62)</f>
        <v>0.85</v>
      </c>
      <c r="D69" s="49">
        <f>IF(($E63&gt;0),D63,D62)</f>
        <v>0.06</v>
      </c>
      <c r="E69" s="49">
        <f>MAX(C69:D69)</f>
        <v>0.85</v>
      </c>
      <c r="G69" s="1" t="str">
        <f>G63</f>
        <v>per 100 youth petitioned</v>
      </c>
      <c r="L69" s="58">
        <f>IF(($E63&gt;0),L63,L62)</f>
        <v>100</v>
      </c>
      <c r="M69" s="58">
        <f>IF((B69=G69),1,2)</f>
        <v>1</v>
      </c>
    </row>
    <row r="70" spans="2:13" ht="15" hidden="1" customHeight="1">
      <c r="B70" s="49" t="str">
        <f>IF(($E64&gt;0),B64,B63)</f>
        <v>per 100 youth found delinquent</v>
      </c>
      <c r="C70" s="49">
        <f>IF(($E64&gt;0),C64,C63)</f>
        <v>0.37</v>
      </c>
      <c r="D70" s="49">
        <f>IF(($E64&gt;0),D64,D63)</f>
        <v>0.06</v>
      </c>
      <c r="E70" s="56">
        <f>MAX(C70:D70)</f>
        <v>0.37</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Livingston</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20</v>
      </c>
      <c r="M7" s="1">
        <f>Hispanic!L7</f>
        <v>40</v>
      </c>
      <c r="N7" s="1">
        <f>Asian!L7</f>
        <v>40</v>
      </c>
      <c r="O7" s="1" t="e">
        <f>Hawaiian!L7</f>
        <v>#VALUE!</v>
      </c>
      <c r="P7" s="1">
        <f>'Am Indian'!L7</f>
        <v>139</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20</v>
      </c>
      <c r="N8" s="1">
        <f>Asian!L8</f>
        <v>40</v>
      </c>
      <c r="O8" s="1">
        <f>Hawaiian!L8</f>
        <v>139</v>
      </c>
      <c r="P8" s="1">
        <f>'Am Indian'!L8</f>
        <v>139</v>
      </c>
      <c r="Q8" s="1">
        <f>'Other - Mixed'!L8</f>
        <v>139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f>Hispanic!L10</f>
        <v>40</v>
      </c>
      <c r="N10" s="1">
        <f>Asian!L10</f>
        <v>40</v>
      </c>
      <c r="O10" s="1">
        <f>Hawaiian!L10</f>
        <v>139</v>
      </c>
      <c r="P10" s="1" t="e">
        <f>'Am Indian'!L10</f>
        <v>#VALUE!</v>
      </c>
      <c r="Q10" s="1">
        <f>'Other - Mixed'!L10</f>
        <v>139</v>
      </c>
      <c r="R10" s="1">
        <f>'All Minorities'!L10</f>
        <v>40</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f>Hispanic!L11</f>
        <v>40</v>
      </c>
      <c r="N11" s="1">
        <f>Asian!L11</f>
        <v>40</v>
      </c>
      <c r="O11" s="1">
        <f>Hawaiian!L11</f>
        <v>139</v>
      </c>
      <c r="P11" s="1" t="e">
        <f>'Am Indian'!L11</f>
        <v>#VALUE!</v>
      </c>
      <c r="Q11" s="1">
        <f>'Other - Mixed'!L11</f>
        <v>139</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f>Hispanic!L12</f>
        <v>20</v>
      </c>
      <c r="N12" s="1">
        <f>Asian!L12</f>
        <v>40</v>
      </c>
      <c r="O12" s="1">
        <f>Hawaiian!L12</f>
        <v>139</v>
      </c>
      <c r="P12" s="1" t="e">
        <f>'Am Indian'!L12</f>
        <v>#VALUE!</v>
      </c>
      <c r="Q12" s="1" t="e">
        <f>'Other - Mixed'!L12</f>
        <v>#VALUE!</v>
      </c>
      <c r="R12" s="1">
        <f>'All Minorities'!L12</f>
        <v>20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40</v>
      </c>
      <c r="M13" s="1">
        <f>Hispanic!L13</f>
        <v>40</v>
      </c>
      <c r="N13" s="1" t="e">
        <f>Asian!L13</f>
        <v>#VALUE!</v>
      </c>
      <c r="O13" s="1">
        <f>Hawaiian!L13</f>
        <v>139</v>
      </c>
      <c r="P13" s="1" t="e">
        <f>'Am Indian'!L13</f>
        <v>#VALUE!</v>
      </c>
      <c r="Q13" s="1" t="e">
        <f>'Other - Mixed'!L13</f>
        <v>#VALUE!</v>
      </c>
      <c r="R13" s="1">
        <f>'All Minorities'!L13</f>
        <v>40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40</v>
      </c>
      <c r="M14" s="1">
        <f>Hispanic!L14</f>
        <v>40</v>
      </c>
      <c r="N14" s="1" t="e">
        <f>Asian!L14</f>
        <v>#VALUE!</v>
      </c>
      <c r="O14" s="1">
        <f>Hawaiian!L14</f>
        <v>139</v>
      </c>
      <c r="P14" s="1" t="e">
        <f>'Am Indian'!L14</f>
        <v>#VALUE!</v>
      </c>
      <c r="Q14" s="1" t="e">
        <f>'Other - Mixed'!L14</f>
        <v>#VALUE!</v>
      </c>
      <c r="R14" s="1">
        <f>'All Minorities'!L14</f>
        <v>40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19149</v>
      </c>
      <c r="D3" s="57">
        <f>'Data Entry'!C6</f>
        <v>17767</v>
      </c>
      <c r="E3" s="57">
        <f>'Data Entry'!D6</f>
        <v>203</v>
      </c>
      <c r="F3" s="57">
        <f>'Data Entry'!E6</f>
        <v>798</v>
      </c>
      <c r="G3" s="57">
        <f>'Data Entry'!F6</f>
        <v>290</v>
      </c>
      <c r="H3" s="57">
        <f>'Data Entry'!G6</f>
        <v>0</v>
      </c>
      <c r="I3" s="57">
        <f>'Data Entry'!H6</f>
        <v>91</v>
      </c>
      <c r="J3" s="57">
        <f>'Data Entry'!I6</f>
        <v>0</v>
      </c>
      <c r="K3" s="57">
        <f>'Data Entry'!J6</f>
        <v>1382</v>
      </c>
    </row>
    <row r="4" spans="2:11" ht="15" customHeight="1">
      <c r="B4" s="16" t="s">
        <v>8</v>
      </c>
      <c r="C4" s="1">
        <f>IF((C$3&gt;0),(1000*('Data Entry'!B7/'Data Entry'!B$6)), 0)</f>
        <v>2.4022142148415058</v>
      </c>
      <c r="D4" s="1">
        <f>IF((D$3&gt;0),(1000*('Data Entry'!C7/'Data Entry'!C$6)), 0)</f>
        <v>2.1387966454663139</v>
      </c>
      <c r="E4" s="1">
        <f>IF((E$3&gt;0),(1000*('Data Entry'!D7/'Data Entry'!D$6)), 0)</f>
        <v>24.630541871921185</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3.6179450072358899</v>
      </c>
    </row>
    <row r="5" spans="2:11" ht="15" customHeight="1">
      <c r="B5" s="16" t="s">
        <v>9</v>
      </c>
      <c r="C5" s="1">
        <f>IF((C$3&gt;0),(1000*('Data Entry'!B8/'Data Entry'!B$6)), 0)</f>
        <v>7.1021985482270615</v>
      </c>
      <c r="D5" s="1">
        <f>IF((D$3&gt;0),(1000*('Data Entry'!C8/'Data Entry'!C$6)), 0)</f>
        <v>6.2475375696516009</v>
      </c>
      <c r="E5" s="1">
        <f>IF((E$3&gt;0),(1000*('Data Entry'!D8/'Data Entry'!D$6)), 0)</f>
        <v>14.778325123152708</v>
      </c>
      <c r="F5" s="1">
        <f>IF((F$3&gt;0),(1000*('Data Entry'!E8/'Data Entry'!E$6)), 0)</f>
        <v>5.0125313283208017</v>
      </c>
      <c r="G5" s="1">
        <f>IF((G$3&gt;0),(1000*('Data Entry'!F8/'Data Entry'!F$6)), 0)</f>
        <v>3.4482758620689653</v>
      </c>
      <c r="H5" s="1">
        <f>IF((H$3&gt;0),(1000*('Data Entry'!G8/'Data Entry'!G$6)), 0)</f>
        <v>0</v>
      </c>
      <c r="I5" s="1">
        <f>IF((I$3&gt;0),(1000*('Data Entry'!H8/'Data Entry'!H$6)), 0)</f>
        <v>0</v>
      </c>
      <c r="J5" s="1">
        <f>IF((J$3&gt;0),(1000*('Data Entry'!I8/'Data Entry'!I$6)), 0)</f>
        <v>0</v>
      </c>
      <c r="K5" s="1">
        <f>IF((K$3&gt;0),(1000*('Data Entry'!J8/'Data Entry'!J$6)), 0)</f>
        <v>7.2358900144717797</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0.31333228889237036</v>
      </c>
      <c r="D7" s="1">
        <f>IF((D$3&gt;0),(1000*('Data Entry'!C10/'Data Entry'!C$6)), 0)</f>
        <v>0.28142061124556761</v>
      </c>
      <c r="E7" s="1">
        <f>IF((E$3&gt;0),(1000*('Data Entry'!D10/'Data Entry'!D$6)), 0)</f>
        <v>0</v>
      </c>
      <c r="F7" s="1">
        <f>IF((F$3&gt;0),(1000*('Data Entry'!E10/'Data Entry'!E$6)), 0)</f>
        <v>1.2531328320802004</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0.72358900144717797</v>
      </c>
    </row>
    <row r="8" spans="2:11" ht="15" customHeight="1">
      <c r="B8" s="16" t="s">
        <v>95</v>
      </c>
      <c r="C8" s="1">
        <f>IF((C$3&gt;0),(1000*('Data Entry'!B11/'Data Entry'!B$6)), 0)</f>
        <v>4.9610945741291976</v>
      </c>
      <c r="D8" s="1">
        <f>IF((D$3&gt;0),(1000*('Data Entry'!C11/'Data Entry'!C$6)), 0)</f>
        <v>4.7841503911746504</v>
      </c>
      <c r="E8" s="1">
        <f>IF((E$3&gt;0),(1000*('Data Entry'!D11/'Data Entry'!D$6)), 0)</f>
        <v>9.8522167487684733</v>
      </c>
      <c r="F8" s="1">
        <f>IF((F$3&gt;0),(1000*('Data Entry'!E11/'Data Entry'!E$6)), 0)</f>
        <v>2.5062656641604009</v>
      </c>
      <c r="G8" s="1">
        <f>IF((G$3&gt;0),(1000*('Data Entry'!F11/'Data Entry'!F$6)), 0)</f>
        <v>3.4482758620689653</v>
      </c>
      <c r="H8" s="1">
        <f>IF((H$3&gt;0),(1000*('Data Entry'!G11/'Data Entry'!G$6)), 0)</f>
        <v>0</v>
      </c>
      <c r="I8" s="1">
        <f>IF((I$3&gt;0),(1000*('Data Entry'!H11/'Data Entry'!H$6)), 0)</f>
        <v>0</v>
      </c>
      <c r="J8" s="1">
        <f>IF((J$3&gt;0),(1000*('Data Entry'!I11/'Data Entry'!I$6)), 0)</f>
        <v>0</v>
      </c>
      <c r="K8" s="1">
        <f>IF((K$3&gt;0),(1000*('Data Entry'!J11/'Data Entry'!J$6)), 0)</f>
        <v>4.3415340086830687</v>
      </c>
    </row>
    <row r="9" spans="2:11" ht="15" customHeight="1">
      <c r="B9" s="16" t="s">
        <v>13</v>
      </c>
      <c r="C9" s="1">
        <f>IF((C$3&gt;0),(1000*('Data Entry'!B12/'Data Entry'!B$6)), 0)</f>
        <v>2.3499921666927777</v>
      </c>
      <c r="D9" s="1">
        <f>IF((D$3&gt;0),(1000*('Data Entry'!C12/'Data Entry'!C$6)), 0)</f>
        <v>2.0825125232172006</v>
      </c>
      <c r="E9" s="1">
        <f>IF((E$3&gt;0),(1000*('Data Entry'!D12/'Data Entry'!D$6)), 0)</f>
        <v>9.8522167487684733</v>
      </c>
      <c r="F9" s="1">
        <f>IF((F$3&gt;0),(1000*('Data Entry'!E12/'Data Entry'!E$6)), 0)</f>
        <v>3.7593984962406015</v>
      </c>
      <c r="G9" s="1">
        <f>IF((G$3&gt;0),(1000*('Data Entry'!F12/'Data Entry'!F$6)), 0)</f>
        <v>0</v>
      </c>
      <c r="H9" s="1">
        <f>IF((H$3&gt;0),(1000*('Data Entry'!G12/'Data Entry'!G$6)), 0)</f>
        <v>0</v>
      </c>
      <c r="I9" s="1">
        <f>IF((I$3&gt;0),(1000*('Data Entry'!H12/'Data Entry'!H$6)), 0)</f>
        <v>0</v>
      </c>
      <c r="J9" s="1">
        <f>IF((J$3&gt;0),(1000*('Data Entry'!I12/'Data Entry'!I$6)), 0)</f>
        <v>0</v>
      </c>
      <c r="K9" s="1">
        <f>IF((K$3&gt;0),(1000*('Data Entry'!J12/'Data Entry'!J$6)), 0)</f>
        <v>4.3415340086830687</v>
      </c>
    </row>
    <row r="10" spans="2:11" ht="15" customHeight="1">
      <c r="B10" s="16" t="s">
        <v>14</v>
      </c>
      <c r="C10" s="1">
        <f>IF((C$3&gt;0),(1000*('Data Entry'!B13/'Data Entry'!B$6)), 0)</f>
        <v>2.9766567444775185</v>
      </c>
      <c r="D10" s="1">
        <f>IF((D$3&gt;0),(1000*('Data Entry'!C13/'Data Entry'!C$6)), 0)</f>
        <v>2.7579219902065626</v>
      </c>
      <c r="E10" s="1">
        <f>IF((E$3&gt;0),(1000*('Data Entry'!D13/'Data Entry'!D$6)), 0)</f>
        <v>9.8522167487684733</v>
      </c>
      <c r="F10" s="1">
        <f>IF((F$3&gt;0),(1000*('Data Entry'!E13/'Data Entry'!E$6)), 0)</f>
        <v>3.7593984962406015</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4.3415340086830687</v>
      </c>
    </row>
    <row r="11" spans="2:11" ht="25.5" customHeight="1">
      <c r="B11" s="16" t="s">
        <v>15</v>
      </c>
      <c r="C11" s="1">
        <f>IF((C$3&gt;0),(1000*('Data Entry'!B14/'Data Entry'!B$6)), 0)</f>
        <v>0.57444252963601239</v>
      </c>
      <c r="D11" s="1">
        <f>IF((D$3&gt;0),(1000*('Data Entry'!C14/'Data Entry'!C$6)), 0)</f>
        <v>0.56284122249113522</v>
      </c>
      <c r="E11" s="1">
        <f>IF((E$3&gt;0),(1000*('Data Entry'!D14/'Data Entry'!D$6)), 0)</f>
        <v>0</v>
      </c>
      <c r="F11" s="1">
        <f>IF((F$3&gt;0),(1000*('Data Entry'!E14/'Data Entry'!E$6)), 0)</f>
        <v>1.2531328320802004</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0.72358900144717797</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Livingston</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11.516074669432204</v>
      </c>
      <c r="E19" s="72" t="str">
        <f t="shared" si="1"/>
        <v>--</v>
      </c>
      <c r="F19" s="72" t="str">
        <f t="shared" si="1"/>
        <v>--</v>
      </c>
      <c r="G19" s="72" t="str">
        <f t="shared" si="1"/>
        <v>--</v>
      </c>
      <c r="H19" s="72" t="str">
        <f t="shared" si="1"/>
        <v>--</v>
      </c>
      <c r="I19" s="72" t="str">
        <f t="shared" si="1"/>
        <v>--</v>
      </c>
      <c r="J19" s="73">
        <f t="shared" si="1"/>
        <v>1.691579709041054</v>
      </c>
    </row>
    <row r="20" spans="2:10" ht="15" customHeight="1">
      <c r="B20" s="71" t="s">
        <v>9</v>
      </c>
      <c r="C20" s="72">
        <f t="shared" ref="C20:J27" si="2">IF(AND(($D5&gt;0),(D5&gt;0)), (D5/$D5),"--")</f>
        <v>1</v>
      </c>
      <c r="D20" s="72">
        <f t="shared" si="2"/>
        <v>2.3654639861536411</v>
      </c>
      <c r="E20" s="72">
        <f t="shared" si="2"/>
        <v>0.80232111811059181</v>
      </c>
      <c r="F20" s="72">
        <f t="shared" si="2"/>
        <v>0.55194159676918297</v>
      </c>
      <c r="G20" s="72" t="str">
        <f t="shared" si="2"/>
        <v>--</v>
      </c>
      <c r="H20" s="72" t="str">
        <f t="shared" si="2"/>
        <v>--</v>
      </c>
      <c r="I20" s="72" t="str">
        <f t="shared" si="2"/>
        <v>--</v>
      </c>
      <c r="J20" s="73">
        <f t="shared" si="2"/>
        <v>1.1581987197037849</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f t="shared" si="2"/>
        <v>1</v>
      </c>
      <c r="D22" s="72" t="str">
        <f t="shared" si="2"/>
        <v>--</v>
      </c>
      <c r="E22" s="72">
        <f t="shared" si="2"/>
        <v>4.4528822055137844</v>
      </c>
      <c r="F22" s="72" t="str">
        <f t="shared" si="2"/>
        <v>--</v>
      </c>
      <c r="G22" s="72" t="str">
        <f t="shared" si="2"/>
        <v>--</v>
      </c>
      <c r="H22" s="72" t="str">
        <f t="shared" si="2"/>
        <v>--</v>
      </c>
      <c r="I22" s="72" t="str">
        <f t="shared" si="2"/>
        <v>--</v>
      </c>
      <c r="J22" s="73">
        <f t="shared" si="2"/>
        <v>2.5712011577424025</v>
      </c>
    </row>
    <row r="23" spans="2:10" ht="15" customHeight="1">
      <c r="B23" s="71" t="s">
        <v>95</v>
      </c>
      <c r="C23" s="72">
        <f t="shared" si="2"/>
        <v>1</v>
      </c>
      <c r="D23" s="72">
        <f t="shared" si="2"/>
        <v>2.0593451173572874</v>
      </c>
      <c r="E23" s="72">
        <f t="shared" si="2"/>
        <v>0.52386849476632746</v>
      </c>
      <c r="F23" s="72">
        <f t="shared" si="2"/>
        <v>0.7207707910750506</v>
      </c>
      <c r="G23" s="72" t="str">
        <f t="shared" si="2"/>
        <v>--</v>
      </c>
      <c r="H23" s="72" t="str">
        <f t="shared" si="2"/>
        <v>--</v>
      </c>
      <c r="I23" s="72" t="str">
        <f t="shared" si="2"/>
        <v>--</v>
      </c>
      <c r="J23" s="73">
        <f t="shared" si="2"/>
        <v>0.90748276155614205</v>
      </c>
    </row>
    <row r="24" spans="2:10" ht="15" customHeight="1">
      <c r="B24" s="71" t="s">
        <v>13</v>
      </c>
      <c r="C24" s="72">
        <f t="shared" si="2"/>
        <v>1</v>
      </c>
      <c r="D24" s="72">
        <f t="shared" si="2"/>
        <v>4.7309279723072821</v>
      </c>
      <c r="E24" s="72">
        <f t="shared" si="2"/>
        <v>1.8052225157488313</v>
      </c>
      <c r="F24" s="72" t="str">
        <f t="shared" si="2"/>
        <v>--</v>
      </c>
      <c r="G24" s="72" t="str">
        <f t="shared" si="2"/>
        <v>--</v>
      </c>
      <c r="H24" s="72" t="str">
        <f t="shared" si="2"/>
        <v>--</v>
      </c>
      <c r="I24" s="72" t="str">
        <f t="shared" si="2"/>
        <v>--</v>
      </c>
      <c r="J24" s="73">
        <f t="shared" si="2"/>
        <v>2.0847576954668128</v>
      </c>
    </row>
    <row r="25" spans="2:10" ht="15" customHeight="1">
      <c r="B25" s="71" t="s">
        <v>14</v>
      </c>
      <c r="C25" s="72">
        <f t="shared" si="2"/>
        <v>1</v>
      </c>
      <c r="D25" s="72">
        <f t="shared" si="2"/>
        <v>3.5723333668442749</v>
      </c>
      <c r="E25" s="72">
        <f t="shared" si="2"/>
        <v>1.3631272057695258</v>
      </c>
      <c r="F25" s="72" t="str">
        <f t="shared" si="2"/>
        <v>--</v>
      </c>
      <c r="G25" s="72" t="str">
        <f t="shared" si="2"/>
        <v>--</v>
      </c>
      <c r="H25" s="72" t="str">
        <f t="shared" si="2"/>
        <v>--</v>
      </c>
      <c r="I25" s="72" t="str">
        <f t="shared" si="2"/>
        <v>--</v>
      </c>
      <c r="J25" s="73">
        <f t="shared" si="2"/>
        <v>1.5742047904545324</v>
      </c>
    </row>
    <row r="26" spans="2:10" ht="25.5" customHeight="1">
      <c r="B26" s="71" t="s">
        <v>15</v>
      </c>
      <c r="C26" s="72">
        <f t="shared" si="2"/>
        <v>1</v>
      </c>
      <c r="D26" s="72" t="str">
        <f t="shared" si="2"/>
        <v>--</v>
      </c>
      <c r="E26" s="72">
        <f t="shared" si="2"/>
        <v>2.2264411027568922</v>
      </c>
      <c r="F26" s="72" t="str">
        <f t="shared" si="2"/>
        <v>--</v>
      </c>
      <c r="G26" s="72" t="str">
        <f t="shared" si="2"/>
        <v>--</v>
      </c>
      <c r="H26" s="72" t="str">
        <f t="shared" si="2"/>
        <v>--</v>
      </c>
      <c r="I26" s="72" t="str">
        <f t="shared" si="2"/>
        <v>--</v>
      </c>
      <c r="J26" s="73">
        <f t="shared" si="2"/>
        <v>1.2856005788712013</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Livingston</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17767</v>
      </c>
      <c r="D7" s="104">
        <f>'Data Entry'!D6</f>
        <v>203</v>
      </c>
      <c r="E7" s="105"/>
      <c r="F7" s="106">
        <f>'Data Entry'!E6</f>
        <v>798</v>
      </c>
      <c r="G7" s="105"/>
      <c r="H7" s="106">
        <f>'Data Entry'!F6</f>
        <v>290</v>
      </c>
      <c r="I7" s="105"/>
      <c r="J7" s="106">
        <f>'Data Entry'!G6</f>
        <v>0</v>
      </c>
      <c r="K7" s="105"/>
      <c r="L7" s="106">
        <f>'Data Entry'!H6</f>
        <v>91</v>
      </c>
      <c r="M7" s="105"/>
      <c r="N7" s="106">
        <f>'Data Entry'!I6</f>
        <v>0</v>
      </c>
      <c r="O7" s="105"/>
      <c r="P7" s="106">
        <f>'Data Entry'!J6</f>
        <v>1382</v>
      </c>
      <c r="Q7" s="107"/>
    </row>
    <row r="8" spans="2:26" s="1" customFormat="1" ht="15" customHeight="1">
      <c r="B8" s="142" t="s">
        <v>8</v>
      </c>
      <c r="C8" s="103">
        <f>'Data Entry'!C7</f>
        <v>38</v>
      </c>
      <c r="D8" s="104">
        <f>'Data Entry'!D7</f>
        <v>5</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5</v>
      </c>
      <c r="Q8" s="107" t="str">
        <f>'All Minorities'!G7</f>
        <v>**</v>
      </c>
      <c r="R8"/>
      <c r="T8" s="1">
        <f>'Black or African-American'!L7</f>
        <v>20</v>
      </c>
      <c r="U8" s="1">
        <f>Hispanic!L7</f>
        <v>40</v>
      </c>
      <c r="V8" s="1">
        <f>Asian!L7</f>
        <v>40</v>
      </c>
      <c r="W8" s="1" t="e">
        <f>Hawaiian!L7</f>
        <v>#VALUE!</v>
      </c>
      <c r="X8" s="1">
        <f>'Am Indian'!L7</f>
        <v>139</v>
      </c>
      <c r="Y8" s="1" t="e">
        <f>'Other - Mixed'!L7</f>
        <v>#VALUE!</v>
      </c>
      <c r="Z8" s="1">
        <f>'All Minorities'!L7</f>
        <v>40</v>
      </c>
    </row>
    <row r="9" spans="2:26" s="1" customFormat="1" ht="15" customHeight="1">
      <c r="B9" s="142" t="s">
        <v>134</v>
      </c>
      <c r="C9" s="103">
        <f>'Data Entry'!C8</f>
        <v>111</v>
      </c>
      <c r="D9" s="108">
        <f>'Data Entry'!D8</f>
        <v>3</v>
      </c>
      <c r="E9" s="109" t="str">
        <f>'Black or African-American'!$G8</f>
        <v>**</v>
      </c>
      <c r="F9" s="110">
        <f>'Data Entry'!E8</f>
        <v>4</v>
      </c>
      <c r="G9" s="109" t="str">
        <f>Hispanic!G8</f>
        <v>**</v>
      </c>
      <c r="H9" s="110">
        <f>'Data Entry'!F8</f>
        <v>1</v>
      </c>
      <c r="I9" s="109" t="str">
        <f>Asian!G8</f>
        <v>**</v>
      </c>
      <c r="J9" s="110">
        <f>'Data Entry'!G8</f>
        <v>1</v>
      </c>
      <c r="K9" s="109" t="str">
        <f>Hawaiian!G8</f>
        <v>*</v>
      </c>
      <c r="L9" s="110">
        <f>'Data Entry'!H8</f>
        <v>0</v>
      </c>
      <c r="M9" s="109" t="str">
        <f>'Am Indian'!G8</f>
        <v>*</v>
      </c>
      <c r="N9" s="110">
        <f>'Data Entry'!I8</f>
        <v>1</v>
      </c>
      <c r="O9" s="109" t="str">
        <f>'Other - Mixed'!G8</f>
        <v>*</v>
      </c>
      <c r="P9" s="110">
        <f>'Data Entry'!J8</f>
        <v>10</v>
      </c>
      <c r="Q9" s="111" t="str">
        <f>'All Minorities'!G8</f>
        <v>**</v>
      </c>
      <c r="R9"/>
      <c r="T9" s="1">
        <f>'Black or African-American'!L8</f>
        <v>20</v>
      </c>
      <c r="U9" s="1">
        <f>Hispanic!L8</f>
        <v>20</v>
      </c>
      <c r="V9" s="1">
        <f>Asian!L8</f>
        <v>40</v>
      </c>
      <c r="W9" s="1">
        <f>Hawaiian!L8</f>
        <v>139</v>
      </c>
      <c r="X9" s="1">
        <f>'Am Indian'!L8</f>
        <v>139</v>
      </c>
      <c r="Y9" s="1">
        <f>'Other - Mixed'!L8</f>
        <v>139</v>
      </c>
      <c r="Z9" s="1">
        <f>'All Minorities'!L8</f>
        <v>40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5</v>
      </c>
      <c r="D11" s="108">
        <f>'Data Entry'!D10</f>
        <v>0</v>
      </c>
      <c r="E11" s="109" t="str">
        <f>'Black or African-American'!$G10</f>
        <v>**</v>
      </c>
      <c r="F11" s="110">
        <f>'Data Entry'!E10</f>
        <v>1</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1</v>
      </c>
      <c r="Q11" s="111" t="str">
        <f>'All Minorities'!G10</f>
        <v>**</v>
      </c>
      <c r="R11"/>
      <c r="T11" s="1">
        <f>'Black or African-American'!L10</f>
        <v>40</v>
      </c>
      <c r="U11" s="1">
        <f>Hispanic!L10</f>
        <v>40</v>
      </c>
      <c r="V11" s="1">
        <f>Asian!L10</f>
        <v>40</v>
      </c>
      <c r="W11" s="1">
        <f>Hawaiian!L10</f>
        <v>139</v>
      </c>
      <c r="X11" s="1" t="e">
        <f>'Am Indian'!L10</f>
        <v>#VALUE!</v>
      </c>
      <c r="Y11" s="1">
        <f>'Other - Mixed'!L10</f>
        <v>139</v>
      </c>
      <c r="Z11" s="1">
        <f>'All Minorities'!L10</f>
        <v>40</v>
      </c>
    </row>
    <row r="12" spans="2:26" s="1" customFormat="1" ht="15" customHeight="1">
      <c r="B12" s="142" t="s">
        <v>95</v>
      </c>
      <c r="C12" s="103">
        <f>'Data Entry'!C11</f>
        <v>85</v>
      </c>
      <c r="D12" s="112">
        <f>'Data Entry'!D11</f>
        <v>2</v>
      </c>
      <c r="E12" s="113" t="str">
        <f>'Black or African-American'!$G11</f>
        <v>**</v>
      </c>
      <c r="F12" s="114">
        <f>'Data Entry'!E11</f>
        <v>2</v>
      </c>
      <c r="G12" s="113" t="str">
        <f>Hispanic!G11</f>
        <v>**</v>
      </c>
      <c r="H12" s="114">
        <f>'Data Entry'!F11</f>
        <v>1</v>
      </c>
      <c r="I12" s="113" t="str">
        <f>Asian!G11</f>
        <v>**</v>
      </c>
      <c r="J12" s="114">
        <f>'Data Entry'!G11</f>
        <v>1</v>
      </c>
      <c r="K12" s="113" t="str">
        <f>Hawaiian!G11</f>
        <v>*</v>
      </c>
      <c r="L12" s="114">
        <f>'Data Entry'!H11</f>
        <v>0</v>
      </c>
      <c r="M12" s="113" t="str">
        <f>'Am Indian'!G11</f>
        <v>*</v>
      </c>
      <c r="N12" s="114">
        <f>'Data Entry'!I11</f>
        <v>0</v>
      </c>
      <c r="O12" s="113" t="str">
        <f>'Other - Mixed'!G11</f>
        <v>*</v>
      </c>
      <c r="P12" s="114">
        <f>'Data Entry'!J11</f>
        <v>6</v>
      </c>
      <c r="Q12" s="115" t="str">
        <f>'All Minorities'!G11</f>
        <v>**</v>
      </c>
      <c r="R12"/>
      <c r="T12" s="1">
        <f>'Black or African-American'!L11</f>
        <v>40</v>
      </c>
      <c r="U12" s="1">
        <f>Hispanic!L11</f>
        <v>40</v>
      </c>
      <c r="V12" s="1">
        <f>Asian!L11</f>
        <v>40</v>
      </c>
      <c r="W12" s="1">
        <f>Hawaiian!L11</f>
        <v>139</v>
      </c>
      <c r="X12" s="1" t="e">
        <f>'Am Indian'!L11</f>
        <v>#VALUE!</v>
      </c>
      <c r="Y12" s="1">
        <f>'Other - Mixed'!L11</f>
        <v>139</v>
      </c>
      <c r="Z12" s="1">
        <f>'All Minorities'!L11</f>
        <v>40</v>
      </c>
    </row>
    <row r="13" spans="2:26" s="1" customFormat="1" ht="15" customHeight="1">
      <c r="B13" s="142" t="s">
        <v>13</v>
      </c>
      <c r="C13" s="103">
        <f>'Data Entry'!C12</f>
        <v>37</v>
      </c>
      <c r="D13" s="108">
        <f>'Data Entry'!D12</f>
        <v>2</v>
      </c>
      <c r="E13" s="109" t="str">
        <f>'Black or African-American'!$G12</f>
        <v>**</v>
      </c>
      <c r="F13" s="110">
        <f>'Data Entry'!E12</f>
        <v>3</v>
      </c>
      <c r="G13" s="109" t="str">
        <f>Hispanic!G12</f>
        <v>**</v>
      </c>
      <c r="H13" s="110">
        <f>'Data Entry'!F12</f>
        <v>0</v>
      </c>
      <c r="I13" s="109" t="str">
        <f>Asian!G12</f>
        <v>**</v>
      </c>
      <c r="J13" s="110">
        <f>'Data Entry'!G12</f>
        <v>1</v>
      </c>
      <c r="K13" s="109" t="str">
        <f>Hawaiian!G12</f>
        <v>*</v>
      </c>
      <c r="L13" s="110">
        <f>'Data Entry'!H12</f>
        <v>0</v>
      </c>
      <c r="M13" s="109" t="str">
        <f>'Am Indian'!G12</f>
        <v>*</v>
      </c>
      <c r="N13" s="110">
        <f>'Data Entry'!I12</f>
        <v>0</v>
      </c>
      <c r="O13" s="109" t="str">
        <f>'Other - Mixed'!G12</f>
        <v>*</v>
      </c>
      <c r="P13" s="110">
        <f>'Data Entry'!J12</f>
        <v>6</v>
      </c>
      <c r="Q13" s="111" t="str">
        <f>'All Minorities'!G12</f>
        <v>**</v>
      </c>
      <c r="R13"/>
      <c r="T13" s="1">
        <f>'Black or African-American'!L12</f>
        <v>40</v>
      </c>
      <c r="U13" s="1">
        <f>Hispanic!L12</f>
        <v>20</v>
      </c>
      <c r="V13" s="1">
        <f>Asian!L12</f>
        <v>40</v>
      </c>
      <c r="W13" s="1">
        <f>Hawaiian!L12</f>
        <v>139</v>
      </c>
      <c r="X13" s="1" t="e">
        <f>'Am Indian'!L12</f>
        <v>#VALUE!</v>
      </c>
      <c r="Y13" s="1" t="e">
        <f>'Other - Mixed'!L12</f>
        <v>#VALUE!</v>
      </c>
      <c r="Z13" s="1">
        <f>'All Minorities'!L12</f>
        <v>20</v>
      </c>
    </row>
    <row r="14" spans="2:26" s="1" customFormat="1" ht="15" customHeight="1">
      <c r="B14" s="142" t="s">
        <v>133</v>
      </c>
      <c r="C14" s="103">
        <f>'Data Entry'!C13</f>
        <v>49</v>
      </c>
      <c r="D14" s="112">
        <f>'Data Entry'!D13</f>
        <v>2</v>
      </c>
      <c r="E14" s="113" t="str">
        <f>'Black or African-American'!$G13</f>
        <v>**</v>
      </c>
      <c r="F14" s="114">
        <f>'Data Entry'!E13</f>
        <v>3</v>
      </c>
      <c r="G14" s="113" t="str">
        <f>Hispanic!G13</f>
        <v>**</v>
      </c>
      <c r="H14" s="114">
        <f>'Data Entry'!F13</f>
        <v>0</v>
      </c>
      <c r="I14" s="113" t="str">
        <f>Asian!G13</f>
        <v>--</v>
      </c>
      <c r="J14" s="114">
        <f>'Data Entry'!G13</f>
        <v>1</v>
      </c>
      <c r="K14" s="113" t="str">
        <f>Hawaiian!G13</f>
        <v>*</v>
      </c>
      <c r="L14" s="114">
        <f>'Data Entry'!H13</f>
        <v>0</v>
      </c>
      <c r="M14" s="113" t="str">
        <f>'Am Indian'!G13</f>
        <v>*</v>
      </c>
      <c r="N14" s="114">
        <f>'Data Entry'!I13</f>
        <v>0</v>
      </c>
      <c r="O14" s="113" t="str">
        <f>'Other - Mixed'!G13</f>
        <v>*</v>
      </c>
      <c r="P14" s="114">
        <f>'Data Entry'!J13</f>
        <v>6</v>
      </c>
      <c r="Q14" s="115" t="str">
        <f>'All Minorities'!G13</f>
        <v>**</v>
      </c>
      <c r="R14"/>
      <c r="T14" s="1">
        <f>'Black or African-American'!L13</f>
        <v>40</v>
      </c>
      <c r="U14" s="1">
        <f>Hispanic!L13</f>
        <v>40</v>
      </c>
      <c r="V14" s="1" t="e">
        <f>Asian!L13</f>
        <v>#VALUE!</v>
      </c>
      <c r="W14" s="1">
        <f>Hawaiian!L13</f>
        <v>139</v>
      </c>
      <c r="X14" s="1" t="e">
        <f>'Am Indian'!L13</f>
        <v>#VALUE!</v>
      </c>
      <c r="Y14" s="1" t="e">
        <f>'Other - Mixed'!L13</f>
        <v>#VALUE!</v>
      </c>
      <c r="Z14" s="1">
        <f>'All Minorities'!L13</f>
        <v>40</v>
      </c>
    </row>
    <row r="15" spans="2:26" s="1" customFormat="1" ht="33">
      <c r="B15" s="144" t="s">
        <v>123</v>
      </c>
      <c r="C15" s="103">
        <f>'Data Entry'!C14</f>
        <v>10</v>
      </c>
      <c r="D15" s="108">
        <f>'Data Entry'!D14</f>
        <v>0</v>
      </c>
      <c r="E15" s="109" t="str">
        <f>'Black or African-American'!$G14</f>
        <v>**</v>
      </c>
      <c r="F15" s="110">
        <f>'Data Entry'!E14</f>
        <v>1</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1</v>
      </c>
      <c r="Q15" s="111" t="str">
        <f>'All Minorities'!G14</f>
        <v>**</v>
      </c>
      <c r="R15"/>
      <c r="T15" s="1">
        <f>'Black or African-American'!L14</f>
        <v>40</v>
      </c>
      <c r="U15" s="1">
        <f>Hispanic!L14</f>
        <v>40</v>
      </c>
      <c r="V15" s="1" t="e">
        <f>Asian!L14</f>
        <v>#VALUE!</v>
      </c>
      <c r="W15" s="1">
        <f>Hawaiian!L14</f>
        <v>139</v>
      </c>
      <c r="X15" s="1" t="e">
        <f>'Am Indian'!L14</f>
        <v>#VALUE!</v>
      </c>
      <c r="Y15" s="1" t="e">
        <f>'Other - Mixed'!L14</f>
        <v>#VALUE!</v>
      </c>
      <c r="Z15" s="1">
        <f>'All Minorities'!L14</f>
        <v>40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Livingston</v>
      </c>
    </row>
    <row r="6" spans="1:12">
      <c r="A6" s="135" t="str">
        <f>CONCATENATE("Percentage of Minorities at Stages of the Juvenile Justice System, ", A5, " 2024")</f>
        <v>Percentage of Minorities at Stages of the Juvenile Justice System, County: Livingston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12.856005788712011</v>
      </c>
    </row>
    <row r="8" spans="1:12" ht="25.5" customHeight="1">
      <c r="A8" s="151" t="str">
        <f>CONCATENATE("Confinement, total N=", 'Data Entry'!B14)</f>
        <v>Confinement, total N=11</v>
      </c>
      <c r="B8" s="150">
        <f>'Data Entry'!D14/'Data Entry'!B14</f>
        <v>0</v>
      </c>
      <c r="C8" s="150">
        <f>'Data Entry'!E14/'Data Entry'!B14</f>
        <v>9.0909090909090912E-2</v>
      </c>
      <c r="D8" s="150">
        <f>'Data Entry'!F14/'Data Entry'!B14</f>
        <v>0</v>
      </c>
      <c r="E8" s="150">
        <f>'Data Entry'!G14/'Data Entry'!B14</f>
        <v>0</v>
      </c>
      <c r="F8" s="150">
        <f>'Data Entry'!H14/'Data Entry'!B14</f>
        <v>0</v>
      </c>
      <c r="G8" s="150">
        <f>'Data Entry'!I14/'Data Entry'!B14</f>
        <v>0</v>
      </c>
      <c r="H8" s="150">
        <f>SUM(D8:G8)/'Data Entry'!B14</f>
        <v>0</v>
      </c>
      <c r="I8" s="150">
        <f>'Data Entry'!C14/'Data Entry'!B14</f>
        <v>0.90909090909090906</v>
      </c>
      <c r="K8" s="96" t="str">
        <f>A8</f>
        <v>Confinement, total N=11</v>
      </c>
      <c r="L8">
        <f>I14/(SUM(B14:G14))</f>
        <v>12.856005788712011</v>
      </c>
    </row>
    <row r="9" spans="1:12">
      <c r="A9" s="128" t="str">
        <f>CONCATENATE("Delinquent Findings, total N=", 'Data Entry'!B12)</f>
        <v>Delinquent Findings, total N=45</v>
      </c>
      <c r="B9" s="150">
        <f>'Data Entry'!D12/'Data Entry'!B12</f>
        <v>4.4444444444444446E-2</v>
      </c>
      <c r="C9" s="150">
        <f>'Data Entry'!E12/'Data Entry'!B12</f>
        <v>6.6666666666666666E-2</v>
      </c>
      <c r="D9" s="150">
        <f>'Data Entry'!F12/'Data Entry'!B12</f>
        <v>0</v>
      </c>
      <c r="E9" s="150">
        <f>'Data Entry'!G12/'Data Entry'!B12</f>
        <v>2.2222222222222223E-2</v>
      </c>
      <c r="F9" s="150">
        <f>'Data Entry'!H12/'Data Entry'!B12</f>
        <v>0</v>
      </c>
      <c r="G9" s="150">
        <f>'Data Entry'!I12/'Data Entry'!B12</f>
        <v>0</v>
      </c>
      <c r="H9" s="150">
        <f>SUM(D9:G9)/'Data Entry'!B12</f>
        <v>4.9382716049382717E-4</v>
      </c>
      <c r="I9" s="150">
        <f>'Data Entry'!C12/'Data Entry'!B12</f>
        <v>0.82222222222222219</v>
      </c>
      <c r="K9" s="96" t="str">
        <f t="shared" si="0"/>
        <v>Delinquent Findings, total N=45</v>
      </c>
      <c r="L9">
        <f>I14/(SUM(B14:G14))</f>
        <v>12.856005788712011</v>
      </c>
    </row>
    <row r="10" spans="1:12">
      <c r="A10" s="128" t="str">
        <f>CONCATENATE("Petitions, total N=", 'Data Entry'!B11)</f>
        <v>Petitions, total N=95</v>
      </c>
      <c r="B10" s="150">
        <f>'Data Entry'!D11/'Data Entry'!B11</f>
        <v>2.1052631578947368E-2</v>
      </c>
      <c r="C10" s="150">
        <f>'Data Entry'!E11/'Data Entry'!B11</f>
        <v>2.1052631578947368E-2</v>
      </c>
      <c r="D10" s="150">
        <f>'Data Entry'!F11/'Data Entry'!B11</f>
        <v>1.0526315789473684E-2</v>
      </c>
      <c r="E10" s="150">
        <f>'Data Entry'!G11/'Data Entry'!B11</f>
        <v>1.0526315789473684E-2</v>
      </c>
      <c r="F10" s="150">
        <f>'Data Entry'!H11/'Data Entry'!B11</f>
        <v>0</v>
      </c>
      <c r="G10" s="150">
        <f>'Data Entry'!I11/'Data Entry'!B11</f>
        <v>0</v>
      </c>
      <c r="H10" s="150">
        <f>SUM(D10:G10)/'Data Entry'!B11</f>
        <v>2.2160664819944597E-4</v>
      </c>
      <c r="I10" s="150">
        <f>'Data Entry'!C11/'Data Entry'!B11</f>
        <v>0.89473684210526316</v>
      </c>
      <c r="K10" s="96" t="str">
        <f t="shared" si="0"/>
        <v>Petitions, total N=95</v>
      </c>
      <c r="L10">
        <f>I14/(SUM(B14:G14))</f>
        <v>12.856005788712011</v>
      </c>
    </row>
    <row r="11" spans="1:12">
      <c r="A11" s="128" t="str">
        <f>CONCATENATE("Detentions, total N=", 'Data Entry'!B10)</f>
        <v>Detentions, total N=6</v>
      </c>
      <c r="B11" s="150">
        <f>'Data Entry'!D10/'Data Entry'!B10</f>
        <v>0</v>
      </c>
      <c r="C11" s="150">
        <f>'Data Entry'!E10/'Data Entry'!B10</f>
        <v>0.16666666666666666</v>
      </c>
      <c r="D11" s="150">
        <f>'Data Entry'!F10/'Data Entry'!B10</f>
        <v>0</v>
      </c>
      <c r="E11" s="150">
        <f>'Data Entry'!G10/'Data Entry'!B10</f>
        <v>0</v>
      </c>
      <c r="F11" s="150">
        <f>'Data Entry'!H10/'Data Entry'!B10</f>
        <v>0</v>
      </c>
      <c r="G11" s="150">
        <f>'Data Entry'!I10/'Data Entry'!B10</f>
        <v>0</v>
      </c>
      <c r="H11" s="150">
        <f>SUM(D11:G11)/'Data Entry'!B10</f>
        <v>0</v>
      </c>
      <c r="I11" s="150">
        <f>'Data Entry'!C10/'Data Entry'!B10</f>
        <v>0.83333333333333337</v>
      </c>
      <c r="K11" s="96" t="str">
        <f t="shared" si="0"/>
        <v>Detentions, total N=6</v>
      </c>
      <c r="L11">
        <f>I14/(SUM(B14:G14))</f>
        <v>12.856005788712011</v>
      </c>
    </row>
    <row r="12" spans="1:12">
      <c r="A12" s="128" t="str">
        <f>CONCATENATE("Referrals, total N=", 'Data Entry'!B8)</f>
        <v>Referrals, total N=136</v>
      </c>
      <c r="B12" s="150">
        <f>'Data Entry'!D8/'Data Entry'!B8</f>
        <v>2.2058823529411766E-2</v>
      </c>
      <c r="C12" s="150">
        <f>'Data Entry'!E8/'Data Entry'!B8</f>
        <v>2.9411764705882353E-2</v>
      </c>
      <c r="D12" s="150">
        <f>'Data Entry'!F8/'Data Entry'!B8</f>
        <v>7.3529411764705881E-3</v>
      </c>
      <c r="E12" s="150">
        <f>'Data Entry'!G8/'Data Entry'!B8</f>
        <v>7.3529411764705881E-3</v>
      </c>
      <c r="F12" s="150">
        <f>'Data Entry'!H8/'Data Entry'!B8</f>
        <v>0</v>
      </c>
      <c r="G12" s="150">
        <f>'Data Entry'!I8/'Data Entry'!B8</f>
        <v>7.3529411764705881E-3</v>
      </c>
      <c r="H12" s="150">
        <f>SUM(D12:G12)/'Data Entry'!B8</f>
        <v>1.6219723183391003E-4</v>
      </c>
      <c r="I12" s="150">
        <f>'Data Entry'!C8/'Data Entry'!B8</f>
        <v>0.81617647058823528</v>
      </c>
      <c r="K12" s="96" t="str">
        <f t="shared" si="0"/>
        <v>Referrals, total N=136</v>
      </c>
      <c r="L12">
        <f>I14/(SUM(B14:G14))</f>
        <v>12.856005788712011</v>
      </c>
    </row>
    <row r="13" spans="1:12">
      <c r="A13" s="128" t="str">
        <f>CONCATENATE("Arrests, total N=", 'Data Entry'!B7)</f>
        <v>Arrests, total N=46</v>
      </c>
      <c r="B13" s="150">
        <f>'Data Entry'!D7/'Data Entry'!B7</f>
        <v>0.10869565217391304</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0.82608695652173914</v>
      </c>
      <c r="K13" s="96" t="str">
        <f t="shared" si="0"/>
        <v>Arrests, total N=46</v>
      </c>
      <c r="L13">
        <f>I14/(SUM(B14:G14))</f>
        <v>12.856005788712011</v>
      </c>
    </row>
    <row r="14" spans="1:12">
      <c r="A14" s="128" t="str">
        <f>CONCATENATE("Population, total N=", 'Data Entry'!B6)</f>
        <v>Population, total N=19149</v>
      </c>
      <c r="B14" s="150">
        <f>'Data Entry'!D6/'Data Entry'!B6</f>
        <v>1.0601075774191863E-2</v>
      </c>
      <c r="C14" s="150">
        <f>'Data Entry'!E6/'Data Entry'!B6</f>
        <v>4.1673194422685259E-2</v>
      </c>
      <c r="D14" s="150">
        <f>'Data Entry'!F6/'Data Entry'!B6</f>
        <v>1.5144393963131234E-2</v>
      </c>
      <c r="E14" s="150">
        <f>'Data Entry'!G6/'Data Entry'!B6</f>
        <v>0</v>
      </c>
      <c r="F14" s="150">
        <f>'Data Entry'!H6/'Data Entry'!B6</f>
        <v>4.7522063815342835E-3</v>
      </c>
      <c r="G14" s="150">
        <f>'Data Entry'!I6/'Data Entry'!B6</f>
        <v>0</v>
      </c>
      <c r="H14" s="150">
        <f>SUM(D14:G14)/'Data Entry'!B6</f>
        <v>1.0390412211951287E-6</v>
      </c>
      <c r="I14" s="150">
        <f>'Data Entry'!C6/'Data Entry'!B6</f>
        <v>0.92782912945845741</v>
      </c>
      <c r="K14" s="96" t="str">
        <f t="shared" si="0"/>
        <v>Population, total N=19149</v>
      </c>
      <c r="L14">
        <f>I14/(SUM(B14:G14))</f>
        <v>12.856005788712011</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Livingston</v>
      </c>
      <c r="C4" s="102"/>
      <c r="D4" s="102"/>
      <c r="E4" s="120"/>
      <c r="F4" s="120"/>
      <c r="G4" s="120"/>
      <c r="H4" s="177" t="str">
        <f>'Data Entry'!C4</f>
        <v>10/1/23 through 9/30/24</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17767</v>
      </c>
      <c r="D7" s="104">
        <f>'Data Entry'!D6</f>
        <v>203</v>
      </c>
      <c r="E7" s="105"/>
      <c r="F7" s="106">
        <f>'Data Entry'!E6</f>
        <v>798</v>
      </c>
      <c r="G7" s="105"/>
      <c r="H7" s="106">
        <f>'Data Entry'!F6</f>
        <v>290</v>
      </c>
      <c r="I7" s="105"/>
      <c r="J7" s="106">
        <f>'Data Entry'!J6</f>
        <v>1382</v>
      </c>
      <c r="K7" s="107"/>
    </row>
    <row r="8" spans="2:30" s="1" customFormat="1" ht="15" customHeight="1">
      <c r="B8" s="121" t="s">
        <v>8</v>
      </c>
      <c r="C8" s="103">
        <f>'Data Entry'!C7</f>
        <v>38</v>
      </c>
      <c r="D8" s="104">
        <f>'Data Entry'!D7</f>
        <v>5</v>
      </c>
      <c r="E8" s="105" t="str">
        <f>'Black or African-American'!$G7</f>
        <v>**</v>
      </c>
      <c r="F8" s="106">
        <f>'Data Entry'!E7</f>
        <v>0</v>
      </c>
      <c r="G8" s="105" t="str">
        <f>Hispanic!G7</f>
        <v>**</v>
      </c>
      <c r="H8" s="106">
        <f>'Data Entry'!F7</f>
        <v>0</v>
      </c>
      <c r="I8" s="105" t="str">
        <f>Asian!G7</f>
        <v>**</v>
      </c>
      <c r="J8" s="106">
        <f>'Data Entry'!J7</f>
        <v>5</v>
      </c>
      <c r="K8" s="107" t="str">
        <f>'All Minorities'!G7</f>
        <v>**</v>
      </c>
      <c r="L8"/>
      <c r="N8" s="1">
        <f>'Black or African-American'!L7</f>
        <v>20</v>
      </c>
      <c r="O8" s="1">
        <f>Hispanic!L7</f>
        <v>40</v>
      </c>
      <c r="P8" s="1">
        <f>Asian!L7</f>
        <v>40</v>
      </c>
      <c r="Q8" s="1" t="e">
        <f>Hawaiian!L7</f>
        <v>#VALUE!</v>
      </c>
      <c r="R8" s="1">
        <f>'Am Indian'!L7</f>
        <v>139</v>
      </c>
      <c r="S8" s="1" t="e">
        <f>'Other - Mixed'!L7</f>
        <v>#VALUE!</v>
      </c>
      <c r="T8" s="1">
        <f>'All Minorities'!L7</f>
        <v>40</v>
      </c>
    </row>
    <row r="9" spans="2:30" s="1" customFormat="1" ht="15" customHeight="1">
      <c r="B9" s="121" t="s">
        <v>134</v>
      </c>
      <c r="C9" s="103">
        <f>'Data Entry'!C8</f>
        <v>111</v>
      </c>
      <c r="D9" s="108">
        <f>'Data Entry'!D8</f>
        <v>3</v>
      </c>
      <c r="E9" s="109" t="str">
        <f>'Black or African-American'!$G8</f>
        <v>**</v>
      </c>
      <c r="F9" s="110">
        <f>'Data Entry'!E8</f>
        <v>4</v>
      </c>
      <c r="G9" s="109" t="str">
        <f>Hispanic!G8</f>
        <v>**</v>
      </c>
      <c r="H9" s="110">
        <f>'Data Entry'!F8</f>
        <v>1</v>
      </c>
      <c r="I9" s="109" t="str">
        <f>Asian!G8</f>
        <v>**</v>
      </c>
      <c r="J9" s="110">
        <f>'Data Entry'!J8</f>
        <v>10</v>
      </c>
      <c r="K9" s="111" t="str">
        <f>'All Minorities'!G8</f>
        <v>**</v>
      </c>
      <c r="L9"/>
      <c r="N9" s="1">
        <f>'Black or African-American'!L8</f>
        <v>20</v>
      </c>
      <c r="O9" s="1">
        <f>Hispanic!L8</f>
        <v>20</v>
      </c>
      <c r="P9" s="1">
        <f>Asian!L8</f>
        <v>40</v>
      </c>
      <c r="Q9" s="1">
        <f>Hawaiian!L8</f>
        <v>139</v>
      </c>
      <c r="R9" s="1">
        <f>'Am Indian'!L8</f>
        <v>139</v>
      </c>
      <c r="S9" s="1">
        <f>'Other - Mixed'!L8</f>
        <v>139</v>
      </c>
      <c r="T9" s="1">
        <f>'All Minorities'!L8</f>
        <v>40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5</v>
      </c>
      <c r="D11" s="108">
        <f>'Data Entry'!D10</f>
        <v>0</v>
      </c>
      <c r="E11" s="109" t="str">
        <f>'Black or African-American'!$G10</f>
        <v>**</v>
      </c>
      <c r="F11" s="110">
        <f>'Data Entry'!E10</f>
        <v>1</v>
      </c>
      <c r="G11" s="109" t="str">
        <f>Hispanic!G10</f>
        <v>**</v>
      </c>
      <c r="H11" s="110">
        <f>'Data Entry'!F10</f>
        <v>0</v>
      </c>
      <c r="I11" s="109" t="str">
        <f>Asian!G10</f>
        <v>**</v>
      </c>
      <c r="J11" s="110">
        <f>'Data Entry'!J10</f>
        <v>1</v>
      </c>
      <c r="K11" s="111" t="str">
        <f>'All Minorities'!G10</f>
        <v>**</v>
      </c>
      <c r="L11"/>
      <c r="N11" s="1">
        <f>'Black or African-American'!L10</f>
        <v>40</v>
      </c>
      <c r="O11" s="1">
        <f>Hispanic!L10</f>
        <v>40</v>
      </c>
      <c r="P11" s="1">
        <f>Asian!L10</f>
        <v>40</v>
      </c>
      <c r="Q11" s="1">
        <f>Hawaiian!L10</f>
        <v>139</v>
      </c>
      <c r="R11" s="1" t="e">
        <f>'Am Indian'!L10</f>
        <v>#VALUE!</v>
      </c>
      <c r="S11" s="1">
        <f>'Other - Mixed'!L10</f>
        <v>139</v>
      </c>
      <c r="T11" s="1">
        <f>'All Minorities'!L10</f>
        <v>40</v>
      </c>
    </row>
    <row r="12" spans="2:30" s="1" customFormat="1" ht="15" customHeight="1">
      <c r="B12" s="121" t="s">
        <v>95</v>
      </c>
      <c r="C12" s="103">
        <f>'Data Entry'!C11</f>
        <v>85</v>
      </c>
      <c r="D12" s="112">
        <f>'Data Entry'!D11</f>
        <v>2</v>
      </c>
      <c r="E12" s="113" t="str">
        <f>'Black or African-American'!$G11</f>
        <v>**</v>
      </c>
      <c r="F12" s="114">
        <f>'Data Entry'!E11</f>
        <v>2</v>
      </c>
      <c r="G12" s="113" t="str">
        <f>Hispanic!G11</f>
        <v>**</v>
      </c>
      <c r="H12" s="114">
        <f>'Data Entry'!F11</f>
        <v>1</v>
      </c>
      <c r="I12" s="113" t="str">
        <f>Asian!G11</f>
        <v>**</v>
      </c>
      <c r="J12" s="114">
        <f>'Data Entry'!J11</f>
        <v>6</v>
      </c>
      <c r="K12" s="115" t="str">
        <f>'All Minorities'!G11</f>
        <v>**</v>
      </c>
      <c r="L12"/>
      <c r="N12" s="1">
        <f>'Black or African-American'!L11</f>
        <v>40</v>
      </c>
      <c r="O12" s="1">
        <f>Hispanic!L11</f>
        <v>40</v>
      </c>
      <c r="P12" s="1">
        <f>Asian!L11</f>
        <v>40</v>
      </c>
      <c r="Q12" s="1">
        <f>Hawaiian!L11</f>
        <v>139</v>
      </c>
      <c r="R12" s="1" t="e">
        <f>'Am Indian'!L11</f>
        <v>#VALUE!</v>
      </c>
      <c r="S12" s="1">
        <f>'Other - Mixed'!L11</f>
        <v>139</v>
      </c>
      <c r="T12" s="1">
        <f>'All Minorities'!L11</f>
        <v>40</v>
      </c>
    </row>
    <row r="13" spans="2:30" s="1" customFormat="1" ht="15" customHeight="1">
      <c r="B13" s="121" t="s">
        <v>13</v>
      </c>
      <c r="C13" s="103">
        <f>'Data Entry'!C12</f>
        <v>37</v>
      </c>
      <c r="D13" s="108">
        <f>'Data Entry'!D12</f>
        <v>2</v>
      </c>
      <c r="E13" s="109" t="str">
        <f>'Black or African-American'!$G12</f>
        <v>**</v>
      </c>
      <c r="F13" s="110">
        <f>'Data Entry'!E12</f>
        <v>3</v>
      </c>
      <c r="G13" s="109" t="str">
        <f>Hispanic!G12</f>
        <v>**</v>
      </c>
      <c r="H13" s="110">
        <f>'Data Entry'!F12</f>
        <v>0</v>
      </c>
      <c r="I13" s="109" t="str">
        <f>Asian!G12</f>
        <v>**</v>
      </c>
      <c r="J13" s="110">
        <f>'Data Entry'!J12</f>
        <v>6</v>
      </c>
      <c r="K13" s="111" t="str">
        <f>'All Minorities'!G12</f>
        <v>**</v>
      </c>
      <c r="L13"/>
      <c r="N13" s="1">
        <f>'Black or African-American'!L12</f>
        <v>40</v>
      </c>
      <c r="O13" s="1">
        <f>Hispanic!L12</f>
        <v>20</v>
      </c>
      <c r="P13" s="1">
        <f>Asian!L12</f>
        <v>40</v>
      </c>
      <c r="Q13" s="1">
        <f>Hawaiian!L12</f>
        <v>139</v>
      </c>
      <c r="R13" s="1" t="e">
        <f>'Am Indian'!L12</f>
        <v>#VALUE!</v>
      </c>
      <c r="S13" s="1" t="e">
        <f>'Other - Mixed'!L12</f>
        <v>#VALUE!</v>
      </c>
      <c r="T13" s="1">
        <f>'All Minorities'!L12</f>
        <v>20</v>
      </c>
      <c r="W13" s="8"/>
      <c r="X13" s="8"/>
      <c r="Y13" s="8"/>
      <c r="Z13" s="8"/>
      <c r="AA13" s="8"/>
      <c r="AB13" s="8"/>
      <c r="AC13" s="8"/>
      <c r="AD13" s="8"/>
    </row>
    <row r="14" spans="2:30" s="1" customFormat="1" ht="15" customHeight="1">
      <c r="B14" s="121" t="s">
        <v>14</v>
      </c>
      <c r="C14" s="103">
        <f>'Data Entry'!C13</f>
        <v>49</v>
      </c>
      <c r="D14" s="112">
        <f>'Data Entry'!D13</f>
        <v>2</v>
      </c>
      <c r="E14" s="113" t="str">
        <f>'Black or African-American'!$G13</f>
        <v>**</v>
      </c>
      <c r="F14" s="114">
        <f>'Data Entry'!E13</f>
        <v>3</v>
      </c>
      <c r="G14" s="113" t="str">
        <f>Hispanic!G13</f>
        <v>**</v>
      </c>
      <c r="H14" s="114">
        <f>'Data Entry'!F13</f>
        <v>0</v>
      </c>
      <c r="I14" s="113" t="str">
        <f>Asian!G13</f>
        <v>--</v>
      </c>
      <c r="J14" s="114">
        <f>'Data Entry'!J13</f>
        <v>6</v>
      </c>
      <c r="K14" s="115" t="str">
        <f>'All Minorities'!G13</f>
        <v>**</v>
      </c>
      <c r="L14"/>
      <c r="N14" s="1">
        <f>'Black or African-American'!L13</f>
        <v>40</v>
      </c>
      <c r="O14" s="1">
        <f>Hispanic!L13</f>
        <v>40</v>
      </c>
      <c r="P14" s="1" t="e">
        <f>Asian!L13</f>
        <v>#VALUE!</v>
      </c>
      <c r="Q14" s="1">
        <f>Hawaiian!L13</f>
        <v>139</v>
      </c>
      <c r="R14" s="1" t="e">
        <f>'Am Indian'!L13</f>
        <v>#VALUE!</v>
      </c>
      <c r="S14" s="1" t="e">
        <f>'Other - Mixed'!L13</f>
        <v>#VALUE!</v>
      </c>
      <c r="T14" s="1">
        <f>'All Minorities'!L13</f>
        <v>40</v>
      </c>
      <c r="W14" s="8"/>
      <c r="X14" s="8"/>
      <c r="Y14" s="8"/>
      <c r="Z14" s="8"/>
      <c r="AA14" s="8"/>
      <c r="AB14" s="8"/>
      <c r="AC14" s="8"/>
      <c r="AD14" s="8"/>
    </row>
    <row r="15" spans="2:30" s="1" customFormat="1" ht="33">
      <c r="B15" s="126" t="s">
        <v>123</v>
      </c>
      <c r="C15" s="103">
        <f>'Data Entry'!C14</f>
        <v>10</v>
      </c>
      <c r="D15" s="108">
        <f>'Data Entry'!D14</f>
        <v>0</v>
      </c>
      <c r="E15" s="109" t="str">
        <f>'Black or African-American'!$G14</f>
        <v>**</v>
      </c>
      <c r="F15" s="110">
        <f>'Data Entry'!E14</f>
        <v>1</v>
      </c>
      <c r="G15" s="109" t="str">
        <f>Hispanic!G14</f>
        <v>**</v>
      </c>
      <c r="H15" s="110">
        <f>'Data Entry'!F14</f>
        <v>0</v>
      </c>
      <c r="I15" s="109" t="str">
        <f>Asian!G14</f>
        <v>--</v>
      </c>
      <c r="J15" s="110">
        <f>'Data Entry'!J14</f>
        <v>1</v>
      </c>
      <c r="K15" s="111" t="str">
        <f>'All Minorities'!G14</f>
        <v>**</v>
      </c>
      <c r="L15"/>
      <c r="N15" s="1">
        <f>'Black or African-American'!L14</f>
        <v>40</v>
      </c>
      <c r="O15" s="1">
        <f>Hispanic!L14</f>
        <v>40</v>
      </c>
      <c r="P15" s="1" t="e">
        <f>Asian!L14</f>
        <v>#VALUE!</v>
      </c>
      <c r="Q15" s="1">
        <f>Hawaiian!L14</f>
        <v>139</v>
      </c>
      <c r="R15" s="1" t="e">
        <f>'Am Indian'!L14</f>
        <v>#VALUE!</v>
      </c>
      <c r="S15" s="1" t="e">
        <f>'Other - Mixed'!L14</f>
        <v>#VALUE!</v>
      </c>
      <c r="T15" s="1">
        <f>'All Minorities'!L14</f>
        <v>40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Livingston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17767</v>
      </c>
      <c r="D6" s="34"/>
      <c r="E6" s="33">
        <f>'Data Entry'!D6</f>
        <v>203</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38</v>
      </c>
      <c r="D7" s="34">
        <f>IF((AND(C66&gt;0,C7&gt;0)),(C7/C66),0)</f>
        <v>2.1387966454663139</v>
      </c>
      <c r="E7" s="33">
        <f>'Data Entry'!D7</f>
        <v>5</v>
      </c>
      <c r="F7" s="34">
        <f>IF((AND($E$7&gt;0,$D$66&gt;0)),($E$7/$D$66),0)</f>
        <v>24.630541871921181</v>
      </c>
      <c r="G7" s="39" t="str">
        <f>IF(L$6=100,"*",IF(M7=FALSE,"--",IF(K7=20,"**",($F7/$D7))))</f>
        <v>**</v>
      </c>
      <c r="H7" s="40"/>
      <c r="I7" s="41"/>
      <c r="J7" s="40">
        <f>IF((ABS($U7)&gt;Defaults!D$7),1,2)</f>
        <v>1</v>
      </c>
      <c r="K7" s="39">
        <f>IF((AND(N7&gt;Defaults!B$12,(N7+O7)&gt;Defaults!B$13, P7 &gt; Defaults!B$12, (P7+Q7) &gt; Defaults!B$13)),1,20)</f>
        <v>20</v>
      </c>
      <c r="L7" s="1">
        <f>(J7*K7+L$6)-1</f>
        <v>20</v>
      </c>
      <c r="M7" s="1" t="b">
        <f t="shared" ref="M7:M15" si="0">(ISNUMBER(J7))</f>
        <v>1</v>
      </c>
      <c r="N7" s="42">
        <f t="shared" ref="N7:N15" si="1">E7</f>
        <v>5</v>
      </c>
      <c r="O7" s="42">
        <f>E6-E7</f>
        <v>198</v>
      </c>
      <c r="P7" s="42">
        <f t="shared" ref="P7:P15" si="2">C7</f>
        <v>38</v>
      </c>
      <c r="Q7" s="42">
        <f>C6-C7</f>
        <v>17729</v>
      </c>
      <c r="R7" s="42">
        <f t="shared" ref="R7:R15" si="3">SUM(N7:Q7)</f>
        <v>17970</v>
      </c>
      <c r="S7" s="30">
        <f t="shared" ref="S7:S15" si="4">R7*((((N7*Q7)-(O7*P7))^2))</f>
        <v>118253681038770</v>
      </c>
      <c r="T7" s="30">
        <f t="shared" ref="T7:T15" si="5">(N7+O7)*(P7+Q7)*(N7+P7)*(O7+Q7)</f>
        <v>2780265139561</v>
      </c>
      <c r="U7" s="31">
        <f t="shared" ref="U7:U15" si="6">IF((S7&gt;0),S7/T7,"- -")</f>
        <v>42.533238775004783</v>
      </c>
    </row>
    <row r="8" spans="2:21" ht="18" customHeight="1">
      <c r="B8" s="32" t="str">
        <f>'Data Entry'!A8</f>
        <v>3. Refer to Juvenile Court</v>
      </c>
      <c r="C8" s="33">
        <f>'Data Entry'!C8</f>
        <v>111</v>
      </c>
      <c r="D8" s="34">
        <f>IF((AND(C67&gt;0,C8&gt;0)),(C8/C67),0)</f>
        <v>292.10526315789474</v>
      </c>
      <c r="E8" s="33">
        <f>'Data Entry'!D8</f>
        <v>3</v>
      </c>
      <c r="F8" s="34">
        <f>IF((AND($E$8&gt;0,$D$67&gt;0)),($E8/$D67),0)</f>
        <v>60</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3</v>
      </c>
      <c r="O8" s="42">
        <f>((D67*L67)-E8)+0.05</f>
        <v>2.0499999999999998</v>
      </c>
      <c r="P8" s="42">
        <f t="shared" si="2"/>
        <v>111</v>
      </c>
      <c r="Q8" s="42">
        <f>(C$67*L67)-C8</f>
        <v>-73</v>
      </c>
      <c r="R8" s="42">
        <f t="shared" si="3"/>
        <v>43.05</v>
      </c>
      <c r="S8" s="30">
        <f t="shared" si="4"/>
        <v>8584467.1526249982</v>
      </c>
      <c r="T8" s="30">
        <f t="shared" si="5"/>
        <v>-1552144.7700000003</v>
      </c>
      <c r="U8" s="31">
        <f t="shared" si="6"/>
        <v>-5.5307129325475204</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3</v>
      </c>
      <c r="P9" s="42">
        <f t="shared" si="2"/>
        <v>0</v>
      </c>
      <c r="Q9" s="42">
        <f>(C$68*L68)-C9</f>
        <v>111.00000000000001</v>
      </c>
      <c r="R9" s="42">
        <f t="shared" si="3"/>
        <v>114.00000000000001</v>
      </c>
      <c r="S9" s="30">
        <f t="shared" si="4"/>
        <v>0</v>
      </c>
      <c r="T9" s="30">
        <f t="shared" si="5"/>
        <v>0</v>
      </c>
      <c r="U9" s="31" t="str">
        <f t="shared" si="6"/>
        <v>- -</v>
      </c>
    </row>
    <row r="10" spans="2:21" ht="18" customHeight="1">
      <c r="B10" s="32" t="str">
        <f>'Data Entry'!A10</f>
        <v>5. Cases Involving Secure Detention</v>
      </c>
      <c r="C10" s="33">
        <f>'Data Entry'!C10</f>
        <v>5</v>
      </c>
      <c r="D10" s="34">
        <f>IF(((AND(C68&gt;0,C10&gt;0))),(C10/(C68)),0)</f>
        <v>4.5045045045045038</v>
      </c>
      <c r="E10" s="33">
        <f>'Data Entry'!D10</f>
        <v>0</v>
      </c>
      <c r="F10" s="34">
        <f>IF(((AND($E$10&gt;0,$D$68&gt;0))),($E$10/($D$68)),0)</f>
        <v>0</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0</v>
      </c>
      <c r="O10" s="42">
        <f>(D$68*L68)-E10</f>
        <v>3</v>
      </c>
      <c r="P10" s="42">
        <f t="shared" si="2"/>
        <v>5</v>
      </c>
      <c r="Q10" s="42">
        <f>(C$68*L68)-C10</f>
        <v>106.00000000000001</v>
      </c>
      <c r="R10" s="42">
        <f t="shared" si="3"/>
        <v>114.00000000000001</v>
      </c>
      <c r="S10" s="30">
        <f t="shared" si="4"/>
        <v>25650.000000000004</v>
      </c>
      <c r="T10" s="30">
        <f t="shared" si="5"/>
        <v>181485.00000000006</v>
      </c>
      <c r="U10" s="31">
        <f t="shared" si="6"/>
        <v>0.1413339945450037</v>
      </c>
    </row>
    <row r="11" spans="2:21" ht="18" customHeight="1">
      <c r="B11" s="32" t="str">
        <f>'Data Entry'!A11</f>
        <v>6. Cases Petitioned (Charge Filed)</v>
      </c>
      <c r="C11" s="33">
        <f>'Data Entry'!C11</f>
        <v>85</v>
      </c>
      <c r="D11" s="34">
        <f>IF(((AND(C68&gt;0,C11&gt;0))),(C11/(C68)),0)</f>
        <v>76.576576576576571</v>
      </c>
      <c r="E11" s="33">
        <f>'Data Entry'!D11</f>
        <v>2</v>
      </c>
      <c r="F11" s="34">
        <f>IF(((AND($E$11&gt;0,$D$68&gt;0))),($E$11/($D$68)),0)</f>
        <v>66.666666666666671</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2</v>
      </c>
      <c r="O11" s="42">
        <f>(D$68*L68)-E11</f>
        <v>1</v>
      </c>
      <c r="P11" s="42">
        <f t="shared" si="2"/>
        <v>85</v>
      </c>
      <c r="Q11" s="42">
        <f>(C$68*L68)-C11</f>
        <v>26.000000000000014</v>
      </c>
      <c r="R11" s="42">
        <f t="shared" si="3"/>
        <v>114.00000000000001</v>
      </c>
      <c r="S11" s="30">
        <f t="shared" si="4"/>
        <v>124145.99999999981</v>
      </c>
      <c r="T11" s="30">
        <f t="shared" si="5"/>
        <v>782217.00000000047</v>
      </c>
      <c r="U11" s="31">
        <f t="shared" si="6"/>
        <v>0.1587104345725032</v>
      </c>
    </row>
    <row r="12" spans="2:21" ht="18" customHeight="1">
      <c r="B12" s="32" t="str">
        <f>'Data Entry'!A12</f>
        <v>7. Cases Resulting in Delinquent Findings</v>
      </c>
      <c r="C12" s="33">
        <f>'Data Entry'!C12</f>
        <v>37</v>
      </c>
      <c r="D12" s="34">
        <f>IF(((AND(C69&gt;0,C12&gt;0))),(C12/(C69)),0)</f>
        <v>43.529411764705884</v>
      </c>
      <c r="E12" s="33">
        <f>'Data Entry'!D12</f>
        <v>2</v>
      </c>
      <c r="F12" s="34">
        <f>IF(((AND($D$69&gt;0,$E$12&gt;0))),(E12/(D69)),0)</f>
        <v>100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2</v>
      </c>
      <c r="O12" s="42">
        <f>(D69*L69)-E12</f>
        <v>0</v>
      </c>
      <c r="P12" s="42">
        <f t="shared" si="2"/>
        <v>37</v>
      </c>
      <c r="Q12" s="42">
        <f>(C69*L69)-C12</f>
        <v>48</v>
      </c>
      <c r="R12" s="42">
        <f t="shared" si="3"/>
        <v>87</v>
      </c>
      <c r="S12" s="30">
        <f t="shared" si="4"/>
        <v>801792</v>
      </c>
      <c r="T12" s="30">
        <f t="shared" si="5"/>
        <v>318240</v>
      </c>
      <c r="U12" s="31">
        <f t="shared" si="6"/>
        <v>2.5194570135746606</v>
      </c>
    </row>
    <row r="13" spans="2:21" ht="18" customHeight="1">
      <c r="B13" s="32" t="str">
        <f>'Data Entry'!A13</f>
        <v>8. Cases Resulting in Probation Placement</v>
      </c>
      <c r="C13" s="33">
        <f>'Data Entry'!C13</f>
        <v>49</v>
      </c>
      <c r="D13" s="34">
        <f>IF(((AND(C70&gt;0,C13&gt;0))),(C13/(C70)),0)</f>
        <v>132.43243243243242</v>
      </c>
      <c r="E13" s="33">
        <f>'Data Entry'!D13</f>
        <v>2</v>
      </c>
      <c r="F13" s="34">
        <f>IF(((AND($D$70&gt;0,$E$13&gt;0))),($E$13/($D$70)),0)</f>
        <v>100</v>
      </c>
      <c r="G13" s="39" t="str">
        <f t="shared" si="7"/>
        <v>**</v>
      </c>
      <c r="H13" s="40"/>
      <c r="I13" s="41"/>
      <c r="J13" s="40">
        <f>IF((ABS($U13)&gt;Defaults!D$7),1,2)</f>
        <v>2</v>
      </c>
      <c r="K13" s="39">
        <f>IF((AND(N13&gt;Defaults!B$12,(N13+O13)&gt;Defaults!B$13, P13 &gt; Defaults!B$12, (P13+Q13) &gt; Defaults!B$13)),1,20)</f>
        <v>20</v>
      </c>
      <c r="L13" s="1">
        <f t="shared" si="8"/>
        <v>40</v>
      </c>
      <c r="M13" s="1" t="b">
        <f t="shared" si="0"/>
        <v>1</v>
      </c>
      <c r="N13" s="42">
        <f t="shared" si="1"/>
        <v>2</v>
      </c>
      <c r="O13" s="42">
        <f>(D70*L70)-E13</f>
        <v>0</v>
      </c>
      <c r="P13" s="42">
        <f t="shared" si="2"/>
        <v>49</v>
      </c>
      <c r="Q13" s="42">
        <f>(C70*L70)-C13</f>
        <v>-12</v>
      </c>
      <c r="R13" s="42">
        <f t="shared" si="3"/>
        <v>39</v>
      </c>
      <c r="S13" s="30">
        <f t="shared" si="4"/>
        <v>22464</v>
      </c>
      <c r="T13" s="30">
        <f t="shared" si="5"/>
        <v>-45288</v>
      </c>
      <c r="U13" s="31">
        <f t="shared" si="6"/>
        <v>-0.49602543720190778</v>
      </c>
    </row>
    <row r="14" spans="2:21" ht="30.75" customHeight="1">
      <c r="B14" s="32" t="str">
        <f>'Data Entry'!A14</f>
        <v xml:space="preserve">9. Cases Resulting in Confinement in Secure Juvenile Correctional Facilities </v>
      </c>
      <c r="C14" s="33">
        <f>'Data Entry'!C14</f>
        <v>10</v>
      </c>
      <c r="D14" s="34">
        <f>IF(((AND(C70&gt;0,C14&gt;0))), ((C14/(C70))),0)</f>
        <v>27.027027027027028</v>
      </c>
      <c r="E14" s="33">
        <f>'Data Entry'!D14</f>
        <v>0</v>
      </c>
      <c r="F14" s="34">
        <f>IF(((AND($D$70&gt;0,$E$14&gt;0))), (($E$14/($D$70))),0)</f>
        <v>0</v>
      </c>
      <c r="G14" s="39" t="str">
        <f t="shared" si="7"/>
        <v>**</v>
      </c>
      <c r="H14" s="40"/>
      <c r="I14" s="41"/>
      <c r="J14" s="40">
        <f>IF((ABS($U14)&gt;Defaults!D$7),1,2)</f>
        <v>2</v>
      </c>
      <c r="K14" s="39">
        <f>IF((AND(N14&gt;Defaults!B$12,(N14+O14)&gt;Defaults!B$13, P14 &gt; Defaults!B$12, (P14+Q14) &gt; Defaults!B$13)),1,20)</f>
        <v>20</v>
      </c>
      <c r="L14" s="1">
        <f t="shared" si="8"/>
        <v>40</v>
      </c>
      <c r="M14" s="1" t="b">
        <f t="shared" si="0"/>
        <v>1</v>
      </c>
      <c r="N14" s="42">
        <f t="shared" si="1"/>
        <v>0</v>
      </c>
      <c r="O14" s="42">
        <f>(D70*L70)-E14</f>
        <v>2</v>
      </c>
      <c r="P14" s="42">
        <f t="shared" si="2"/>
        <v>10</v>
      </c>
      <c r="Q14" s="42">
        <f>(C70*L70)-C14</f>
        <v>27</v>
      </c>
      <c r="R14" s="42">
        <f t="shared" si="3"/>
        <v>39</v>
      </c>
      <c r="S14" s="30">
        <f t="shared" si="4"/>
        <v>15600</v>
      </c>
      <c r="T14" s="30">
        <f t="shared" si="5"/>
        <v>21460</v>
      </c>
      <c r="U14" s="31">
        <f t="shared" si="6"/>
        <v>0.72693383038210624</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2</v>
      </c>
      <c r="P15" s="42">
        <f t="shared" si="2"/>
        <v>0</v>
      </c>
      <c r="Q15" s="42">
        <f>(C69*L69)-C15</f>
        <v>85</v>
      </c>
      <c r="R15" s="42">
        <f t="shared" si="3"/>
        <v>87</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17.766999999999999</v>
      </c>
      <c r="D42" s="56">
        <f>E6/1000</f>
        <v>0.20300000000000001</v>
      </c>
      <c r="E42" s="56">
        <f>MAX(C42:D42)</f>
        <v>17.766999999999999</v>
      </c>
      <c r="G42" s="1" t="str">
        <f>B42</f>
        <v>per 1000 youth</v>
      </c>
      <c r="L42" s="57">
        <v>1000</v>
      </c>
      <c r="M42" s="57"/>
      <c r="R42" s="49"/>
    </row>
    <row r="43" spans="2:18" ht="15" hidden="1" customHeight="1">
      <c r="B43" s="49" t="s">
        <v>87</v>
      </c>
      <c r="C43" s="56">
        <f>C7/100</f>
        <v>0.38</v>
      </c>
      <c r="D43" s="56">
        <f>E7/100</f>
        <v>0.05</v>
      </c>
      <c r="E43" s="56">
        <f>MAX(C43:D43,0)</f>
        <v>0.38</v>
      </c>
      <c r="G43" s="1" t="str">
        <f>B43</f>
        <v>per 100 arrests</v>
      </c>
      <c r="L43" s="57">
        <v>100</v>
      </c>
      <c r="M43" s="57"/>
      <c r="R43" s="49"/>
    </row>
    <row r="44" spans="2:18" ht="15" hidden="1" customHeight="1">
      <c r="B44" s="49" t="s">
        <v>88</v>
      </c>
      <c r="C44" s="56">
        <f>C8/100</f>
        <v>1.1100000000000001</v>
      </c>
      <c r="D44" s="56">
        <f>E8/100</f>
        <v>0.03</v>
      </c>
      <c r="E44" s="56">
        <f>MAX(C44:D44,0)</f>
        <v>1.1100000000000001</v>
      </c>
      <c r="G44" s="1" t="str">
        <f>B44</f>
        <v>per 100 referrals</v>
      </c>
      <c r="L44" s="57">
        <v>100</v>
      </c>
      <c r="M44" s="57"/>
      <c r="R44" s="49"/>
    </row>
    <row r="45" spans="2:18" ht="15" hidden="1" customHeight="1">
      <c r="B45" s="49" t="s">
        <v>89</v>
      </c>
      <c r="C45" s="49">
        <f>C11/100</f>
        <v>0.85</v>
      </c>
      <c r="D45" s="49">
        <f>E11/100</f>
        <v>0.02</v>
      </c>
      <c r="E45" s="56">
        <f>MAX(C45:D45,0)</f>
        <v>0.85</v>
      </c>
      <c r="G45" s="1" t="str">
        <f>B45</f>
        <v>per 100 youth petitioned</v>
      </c>
      <c r="L45" s="57">
        <v>100</v>
      </c>
      <c r="M45" s="57"/>
      <c r="R45" s="49"/>
    </row>
    <row r="46" spans="2:18" ht="15" hidden="1" customHeight="1">
      <c r="B46" s="49" t="s">
        <v>90</v>
      </c>
      <c r="C46" s="49">
        <f>C12/100</f>
        <v>0.37</v>
      </c>
      <c r="D46" s="49">
        <f>E12/100</f>
        <v>0.02</v>
      </c>
      <c r="E46" s="56">
        <f>MAX(C46:D46)</f>
        <v>0.37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17.766999999999999</v>
      </c>
      <c r="D48" s="56">
        <f>D42</f>
        <v>0.20300000000000001</v>
      </c>
      <c r="E48" s="56">
        <f>MAX(C48:D48)</f>
        <v>17.766999999999999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0.38</v>
      </c>
      <c r="D49" s="49">
        <f t="shared" si="9"/>
        <v>0.05</v>
      </c>
      <c r="E49" s="49">
        <f>MAX(C49:D49)</f>
        <v>0.38</v>
      </c>
      <c r="G49" s="1" t="str">
        <f>G43</f>
        <v>per 100 arrests</v>
      </c>
      <c r="L49" s="58">
        <f>IF(($E43&gt;0),L43,L42)</f>
        <v>100</v>
      </c>
      <c r="M49" s="58"/>
      <c r="N49" s="21"/>
      <c r="O49" s="21"/>
      <c r="P49" s="21"/>
      <c r="Q49" s="21"/>
      <c r="R49" s="21"/>
    </row>
    <row r="50" spans="2:18" ht="15" hidden="1" customHeight="1">
      <c r="B50" s="49" t="str">
        <f t="shared" si="9"/>
        <v>per 100 referrals</v>
      </c>
      <c r="C50" s="49">
        <f t="shared" si="9"/>
        <v>1.1100000000000001</v>
      </c>
      <c r="D50" s="49">
        <f t="shared" si="9"/>
        <v>0.03</v>
      </c>
      <c r="E50" s="49">
        <f>MAX(C50:D50)</f>
        <v>1.1100000000000001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0.85</v>
      </c>
      <c r="D51" s="49">
        <f>IF(($E45&gt;0),D45,D44)</f>
        <v>0.02</v>
      </c>
      <c r="E51" s="49">
        <f>MAX(C51:D51)</f>
        <v>0.85</v>
      </c>
      <c r="G51" s="1" t="str">
        <f>G45</f>
        <v>per 100 youth petitioned</v>
      </c>
      <c r="L51" s="58">
        <f>IF(($E45&gt;0),L45,L44)</f>
        <v>100</v>
      </c>
      <c r="M51" s="58"/>
    </row>
    <row r="52" spans="2:18" ht="15" hidden="1" customHeight="1">
      <c r="B52" s="49" t="str">
        <f>IF(($E46&gt;0),B46,B45)</f>
        <v>per 100 youth found delinquent</v>
      </c>
      <c r="C52" s="49">
        <f>IF(($E46&gt;0),C46,C45)</f>
        <v>0.37</v>
      </c>
      <c r="D52" s="49">
        <f>IF(($E46&gt;0),D46,D45)</f>
        <v>0.02</v>
      </c>
      <c r="E52" s="56">
        <f>MAX(C52:D52)</f>
        <v>0.37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17.766999999999999</v>
      </c>
      <c r="D54" s="56">
        <f>D48</f>
        <v>0.20300000000000001</v>
      </c>
      <c r="E54" s="56">
        <f>MAX(C54:D54)</f>
        <v>17.766999999999999</v>
      </c>
      <c r="G54" s="1" t="str">
        <f>G48</f>
        <v>per 1000 youth</v>
      </c>
      <c r="L54" s="58">
        <f>L48</f>
        <v>1000</v>
      </c>
      <c r="M54" s="58"/>
    </row>
    <row r="55" spans="2:18" ht="15" hidden="1" customHeight="1">
      <c r="B55" s="49" t="str">
        <f t="shared" ref="B55:D56" si="10">IF(($E49&gt;0),B49,B48)</f>
        <v>per 100 arrests</v>
      </c>
      <c r="C55" s="49">
        <f t="shared" si="10"/>
        <v>0.38</v>
      </c>
      <c r="D55" s="49">
        <f t="shared" si="10"/>
        <v>0.05</v>
      </c>
      <c r="E55" s="49">
        <f>MAX(C55:D55)</f>
        <v>0.38</v>
      </c>
      <c r="G55" s="1" t="str">
        <f>G49</f>
        <v>per 100 arrests</v>
      </c>
      <c r="L55" s="58">
        <f>IF(($E49&gt;0),L49,L48)</f>
        <v>100</v>
      </c>
      <c r="M55" s="58"/>
    </row>
    <row r="56" spans="2:18" ht="15" hidden="1" customHeight="1">
      <c r="B56" s="49" t="str">
        <f t="shared" si="10"/>
        <v>per 100 referrals</v>
      </c>
      <c r="C56" s="49">
        <f t="shared" si="10"/>
        <v>1.1100000000000001</v>
      </c>
      <c r="D56" s="49">
        <f t="shared" si="10"/>
        <v>0.03</v>
      </c>
      <c r="E56" s="49">
        <f>MAX(C56:D56)</f>
        <v>1.1100000000000001</v>
      </c>
      <c r="G56" s="1" t="str">
        <f>G50</f>
        <v>per 100 referrals</v>
      </c>
      <c r="L56" s="58">
        <f>IF(($E50&gt;0),L50,L49)</f>
        <v>100</v>
      </c>
      <c r="M56" s="58"/>
    </row>
    <row r="57" spans="2:18" ht="15" hidden="1" customHeight="1">
      <c r="B57" s="49" t="str">
        <f>IF(($E51&gt;0),B51,B49)</f>
        <v>per 100 youth petitioned</v>
      </c>
      <c r="C57" s="49">
        <f>IF(($E51&gt;0),C51,C50)</f>
        <v>0.85</v>
      </c>
      <c r="D57" s="49">
        <f>IF(($E51&gt;0),D51,D50)</f>
        <v>0.02</v>
      </c>
      <c r="E57" s="49">
        <f>MAX(C57:D57)</f>
        <v>0.85</v>
      </c>
      <c r="G57" s="1" t="str">
        <f>G51</f>
        <v>per 100 youth petitioned</v>
      </c>
      <c r="L57" s="58">
        <f>IF(($E51&gt;0),L51,L50)</f>
        <v>100</v>
      </c>
      <c r="M57" s="58"/>
    </row>
    <row r="58" spans="2:18" ht="15" hidden="1" customHeight="1">
      <c r="B58" s="49" t="str">
        <f>IF(($E52&gt;0),B52,B51)</f>
        <v>per 100 youth found delinquent</v>
      </c>
      <c r="C58" s="49">
        <f>IF(($E52&gt;0),C52,C51)</f>
        <v>0.37</v>
      </c>
      <c r="D58" s="49">
        <f>IF(($E52&gt;0),D52,D51)</f>
        <v>0.02</v>
      </c>
      <c r="E58" s="56">
        <f>MAX(C58:D58)</f>
        <v>0.37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17.766999999999999</v>
      </c>
      <c r="D60" s="56">
        <f>D54</f>
        <v>0.20300000000000001</v>
      </c>
      <c r="E60" s="56">
        <f>MAX(C60:D60)</f>
        <v>17.766999999999999</v>
      </c>
      <c r="G60" s="1" t="str">
        <f>G54</f>
        <v>per 1000 youth</v>
      </c>
      <c r="L60" s="58">
        <f>L54</f>
        <v>1000</v>
      </c>
      <c r="M60" s="58"/>
    </row>
    <row r="61" spans="2:18" ht="15" hidden="1" customHeight="1">
      <c r="B61" s="49" t="str">
        <f t="shared" ref="B61:D62" si="11">IF(($E55&gt;0),B55,B54)</f>
        <v>per 100 arrests</v>
      </c>
      <c r="C61" s="49">
        <f t="shared" si="11"/>
        <v>0.38</v>
      </c>
      <c r="D61" s="49">
        <f t="shared" si="11"/>
        <v>0.05</v>
      </c>
      <c r="E61" s="49">
        <f>MAX(C61:D61)</f>
        <v>0.38</v>
      </c>
      <c r="G61" s="1" t="str">
        <f>G55</f>
        <v>per 100 arrests</v>
      </c>
      <c r="L61" s="58">
        <f>IF(($E55&gt;0),L55,L54)</f>
        <v>100</v>
      </c>
      <c r="M61" s="58"/>
    </row>
    <row r="62" spans="2:18" ht="15" hidden="1" customHeight="1">
      <c r="B62" s="49" t="str">
        <f t="shared" si="11"/>
        <v>per 100 referrals</v>
      </c>
      <c r="C62" s="49">
        <f t="shared" si="11"/>
        <v>1.1100000000000001</v>
      </c>
      <c r="D62" s="49">
        <f t="shared" si="11"/>
        <v>0.03</v>
      </c>
      <c r="E62" s="49">
        <f>MAX(C62:D62)</f>
        <v>1.1100000000000001</v>
      </c>
      <c r="G62" s="1" t="str">
        <f>G56</f>
        <v>per 100 referrals</v>
      </c>
      <c r="L62" s="58">
        <f>IF(($E56&gt;0),L56,L55)</f>
        <v>100</v>
      </c>
      <c r="M62" s="58"/>
    </row>
    <row r="63" spans="2:18" ht="15" hidden="1" customHeight="1">
      <c r="B63" s="49" t="str">
        <f>IF(($E57&gt;0),B57,B55)</f>
        <v>per 100 youth petitioned</v>
      </c>
      <c r="C63" s="49">
        <f>IF(($E57&gt;0),C57,C56)</f>
        <v>0.85</v>
      </c>
      <c r="D63" s="49">
        <f>IF(($E57&gt;0),D57,D56)</f>
        <v>0.02</v>
      </c>
      <c r="E63" s="49">
        <f>MAX(C63:D63)</f>
        <v>0.85</v>
      </c>
      <c r="G63" s="1" t="str">
        <f>G57</f>
        <v>per 100 youth petitioned</v>
      </c>
      <c r="L63" s="58">
        <f>IF(($E57&gt;0),L57,L56)</f>
        <v>100</v>
      </c>
      <c r="M63" s="58"/>
    </row>
    <row r="64" spans="2:18" ht="15" hidden="1" customHeight="1">
      <c r="B64" s="49" t="str">
        <f>IF(($E58&gt;0),B58,B57)</f>
        <v>per 100 youth found delinquent</v>
      </c>
      <c r="C64" s="49">
        <f>IF(($E58&gt;0),C58,C57)</f>
        <v>0.37</v>
      </c>
      <c r="D64" s="49">
        <f>IF(($E58&gt;0),D58,D57)</f>
        <v>0.02</v>
      </c>
      <c r="E64" s="56">
        <f>MAX(C64:D64)</f>
        <v>0.37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17.766999999999999</v>
      </c>
      <c r="D66" s="56">
        <f>D60</f>
        <v>0.20300000000000001</v>
      </c>
      <c r="E66" s="56">
        <f>MAX(C66:D66)</f>
        <v>17.766999999999999</v>
      </c>
      <c r="G66" s="1" t="str">
        <f>G60</f>
        <v>per 1000 youth</v>
      </c>
      <c r="L66" s="58">
        <f>L60</f>
        <v>1000</v>
      </c>
      <c r="M66" s="58">
        <f>IF((B66=G66),1,2)</f>
        <v>1</v>
      </c>
    </row>
    <row r="67" spans="2:13" ht="15" hidden="1" customHeight="1">
      <c r="B67" s="49" t="str">
        <f t="shared" ref="B67:D68" si="12">IF(($E61&gt;0),B61,B60)</f>
        <v>per 100 arrests</v>
      </c>
      <c r="C67" s="49">
        <f t="shared" si="12"/>
        <v>0.38</v>
      </c>
      <c r="D67" s="49">
        <f t="shared" si="12"/>
        <v>0.05</v>
      </c>
      <c r="E67" s="49">
        <f>MAX(C67:D67)</f>
        <v>0.38</v>
      </c>
      <c r="G67" s="1" t="str">
        <f>G61</f>
        <v>per 100 arrests</v>
      </c>
      <c r="L67" s="58">
        <f>IF(($E61&gt;0),L61,L60)</f>
        <v>100</v>
      </c>
      <c r="M67" s="58">
        <f>IF((B67=G67),1,2)</f>
        <v>1</v>
      </c>
    </row>
    <row r="68" spans="2:13" ht="15" hidden="1" customHeight="1">
      <c r="B68" s="49" t="str">
        <f t="shared" si="12"/>
        <v>per 100 referrals</v>
      </c>
      <c r="C68" s="49">
        <f t="shared" si="12"/>
        <v>1.1100000000000001</v>
      </c>
      <c r="D68" s="49">
        <f t="shared" si="12"/>
        <v>0.03</v>
      </c>
      <c r="E68" s="49">
        <f>MAX(C68:D68)</f>
        <v>1.1100000000000001</v>
      </c>
      <c r="G68" s="1" t="str">
        <f>G62</f>
        <v>per 100 referrals</v>
      </c>
      <c r="L68" s="58">
        <f>IF(($E62&gt;0),L62,L61)</f>
        <v>100</v>
      </c>
      <c r="M68" s="58">
        <f>IF((B68=G68),1,2)</f>
        <v>1</v>
      </c>
    </row>
    <row r="69" spans="2:13" ht="15" hidden="1" customHeight="1">
      <c r="B69" s="49" t="str">
        <f>IF(($E63&gt;0),B63,B61)</f>
        <v>per 100 youth petitioned</v>
      </c>
      <c r="C69" s="49">
        <f>IF(($E63&gt;0),C63,C62)</f>
        <v>0.85</v>
      </c>
      <c r="D69" s="49">
        <f>IF(($E63&gt;0),D63,D62)</f>
        <v>0.02</v>
      </c>
      <c r="E69" s="49">
        <f>MAX(C69:D69)</f>
        <v>0.85</v>
      </c>
      <c r="G69" s="1" t="str">
        <f>G63</f>
        <v>per 100 youth petitioned</v>
      </c>
      <c r="L69" s="58">
        <f>IF(($E63&gt;0),L63,L62)</f>
        <v>100</v>
      </c>
      <c r="M69" s="58">
        <f>IF((B69=G69),1,2)</f>
        <v>1</v>
      </c>
    </row>
    <row r="70" spans="2:13" ht="15" hidden="1" customHeight="1">
      <c r="B70" s="49" t="str">
        <f>IF(($E64&gt;0),B64,B63)</f>
        <v>per 100 youth found delinquent</v>
      </c>
      <c r="C70" s="49">
        <f>IF(($E64&gt;0),C64,C63)</f>
        <v>0.37</v>
      </c>
      <c r="D70" s="49">
        <f>IF(($E64&gt;0),D64,D63)</f>
        <v>0.02</v>
      </c>
      <c r="E70" s="56">
        <f>MAX(C70:D70)</f>
        <v>0.37</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Livingston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17767</v>
      </c>
      <c r="D6" s="34"/>
      <c r="E6" s="33">
        <f>'Data Entry'!F6</f>
        <v>290</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38</v>
      </c>
      <c r="D7" s="34">
        <f>IF((AND(C66&gt;0,C7&gt;0)),(C7/C66),0)</f>
        <v>2.1387966454663139</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290</v>
      </c>
      <c r="P7" s="42">
        <f t="shared" ref="P7:P15" si="4">C7</f>
        <v>38</v>
      </c>
      <c r="Q7" s="42">
        <f>C6-C7</f>
        <v>17729</v>
      </c>
      <c r="R7" s="42">
        <f t="shared" ref="R7:R15" si="5">SUM(N7:Q7)</f>
        <v>18057</v>
      </c>
      <c r="S7" s="30">
        <f t="shared" ref="S7:S15" si="6">R7*((((N7*Q7)-(O7*P7))^2))</f>
        <v>2192849302800</v>
      </c>
      <c r="T7" s="30">
        <f t="shared" ref="T7:T15" si="7">(N7+O7)*(P7+Q7)*(N7+P7)*(O7+Q7)</f>
        <v>3527982174460</v>
      </c>
      <c r="U7" s="31">
        <f t="shared" ref="U7:U15" si="8">IF((S7&gt;0),S7/T7,"- -")</f>
        <v>0.6215590653134867</v>
      </c>
    </row>
    <row r="8" spans="2:21" ht="18" customHeight="1">
      <c r="B8" s="32" t="str">
        <f>'Data Entry'!A8</f>
        <v>3. Refer to Juvenile Court</v>
      </c>
      <c r="C8" s="33">
        <f>'Data Entry'!C8</f>
        <v>111</v>
      </c>
      <c r="D8" s="34">
        <f>IF((AND(C67&gt;0,C8&gt;0)),(C8/C67),0)</f>
        <v>292.10526315789474</v>
      </c>
      <c r="E8" s="33">
        <f>'Data Entry'!F8</f>
        <v>1</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v>
      </c>
      <c r="O8" s="42">
        <f>((D67*L67)-E8)+0.05</f>
        <v>-0.95</v>
      </c>
      <c r="P8" s="42">
        <f t="shared" si="4"/>
        <v>111</v>
      </c>
      <c r="Q8" s="42">
        <f>(C$67*L67)-C8</f>
        <v>-73</v>
      </c>
      <c r="R8" s="42">
        <f t="shared" si="5"/>
        <v>38.049999999999997</v>
      </c>
      <c r="S8" s="30">
        <f t="shared" si="6"/>
        <v>40066.745124999972</v>
      </c>
      <c r="T8" s="30">
        <f t="shared" si="7"/>
        <v>-15736.560000000014</v>
      </c>
      <c r="U8" s="31">
        <f t="shared" si="8"/>
        <v>-2.5460929914161632</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111.00000000000001</v>
      </c>
      <c r="R9" s="42">
        <f t="shared" si="5"/>
        <v>112.00000000000001</v>
      </c>
      <c r="S9" s="30">
        <f t="shared" si="6"/>
        <v>0</v>
      </c>
      <c r="T9" s="30">
        <f t="shared" si="7"/>
        <v>0</v>
      </c>
      <c r="U9" s="31" t="str">
        <f t="shared" si="8"/>
        <v>- -</v>
      </c>
    </row>
    <row r="10" spans="2:21" ht="18" customHeight="1">
      <c r="B10" s="32" t="str">
        <f>'Data Entry'!A10</f>
        <v>5. Cases Involving Secure Detention</v>
      </c>
      <c r="C10" s="33">
        <f>'Data Entry'!C10</f>
        <v>5</v>
      </c>
      <c r="D10" s="34">
        <f>IF(((AND(C68&gt;0,C10&gt;0))),(C10/(C68)),0)</f>
        <v>4.5045045045045038</v>
      </c>
      <c r="E10" s="33">
        <f>'Data Entry'!F10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1</v>
      </c>
      <c r="P10" s="42">
        <f t="shared" si="4"/>
        <v>5</v>
      </c>
      <c r="Q10" s="42">
        <f>(C$68*L68)-C10</f>
        <v>106.00000000000001</v>
      </c>
      <c r="R10" s="42">
        <f t="shared" si="5"/>
        <v>112.00000000000001</v>
      </c>
      <c r="S10" s="30">
        <f t="shared" si="6"/>
        <v>2800.0000000000005</v>
      </c>
      <c r="T10" s="30">
        <f t="shared" si="7"/>
        <v>59385.000000000022</v>
      </c>
      <c r="U10" s="31">
        <f t="shared" si="8"/>
        <v>4.7149953692009756E-2</v>
      </c>
    </row>
    <row r="11" spans="2:21" ht="18" customHeight="1">
      <c r="B11" s="32" t="str">
        <f>'Data Entry'!A11</f>
        <v>6. Cases Petitioned (Charge Filed)</v>
      </c>
      <c r="C11" s="33">
        <f>'Data Entry'!C11</f>
        <v>85</v>
      </c>
      <c r="D11" s="34">
        <f>IF(((AND(C68&gt;0,C11&gt;0))),(C11/(C68)),0)</f>
        <v>76.576576576576571</v>
      </c>
      <c r="E11" s="33">
        <f>'Data Entry'!F11</f>
        <v>1</v>
      </c>
      <c r="F11" s="34">
        <f>IF(((AND($E$11&gt;0,$D$68&gt;0))),($E$11/($D$68)),0)</f>
        <v>100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v>
      </c>
      <c r="O11" s="42">
        <f>(D$68*L68)-E11</f>
        <v>0</v>
      </c>
      <c r="P11" s="42">
        <f t="shared" si="4"/>
        <v>85</v>
      </c>
      <c r="Q11" s="42">
        <f>(C$68*L68)-C11</f>
        <v>26.000000000000014</v>
      </c>
      <c r="R11" s="42">
        <f t="shared" si="5"/>
        <v>112.00000000000001</v>
      </c>
      <c r="S11" s="30">
        <f t="shared" si="6"/>
        <v>75712.000000000087</v>
      </c>
      <c r="T11" s="30">
        <f t="shared" si="7"/>
        <v>248196.00000000017</v>
      </c>
      <c r="U11" s="31">
        <f t="shared" si="8"/>
        <v>0.30504923528179356</v>
      </c>
    </row>
    <row r="12" spans="2:21" ht="18" customHeight="1">
      <c r="B12" s="32" t="str">
        <f>'Data Entry'!A12</f>
        <v>7. Cases Resulting in Delinquent Findings</v>
      </c>
      <c r="C12" s="33">
        <f>'Data Entry'!C12</f>
        <v>37</v>
      </c>
      <c r="D12" s="34">
        <f>IF(((AND(C69&gt;0,C12&gt;0))),(C12/(C69)),0)</f>
        <v>43.529411764705884</v>
      </c>
      <c r="E12" s="33">
        <f>'Data Entry'!F12</f>
        <v>0</v>
      </c>
      <c r="F12" s="34">
        <f>IF(((AND($D$69&gt;0,$E$12&gt;0))),(E12/(D69)),0)</f>
        <v>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0</v>
      </c>
      <c r="O12" s="42">
        <f>(D69*L69)-E12</f>
        <v>1</v>
      </c>
      <c r="P12" s="42">
        <f t="shared" si="4"/>
        <v>37</v>
      </c>
      <c r="Q12" s="42">
        <f>(C69*L69)-C12</f>
        <v>48</v>
      </c>
      <c r="R12" s="42">
        <f t="shared" si="5"/>
        <v>86</v>
      </c>
      <c r="S12" s="30">
        <f t="shared" si="6"/>
        <v>117734</v>
      </c>
      <c r="T12" s="30">
        <f t="shared" si="7"/>
        <v>154105</v>
      </c>
      <c r="U12" s="31">
        <f t="shared" si="8"/>
        <v>0.76398559423769508</v>
      </c>
    </row>
    <row r="13" spans="2:21" ht="18" customHeight="1">
      <c r="B13" s="32" t="str">
        <f>'Data Entry'!A13</f>
        <v>8. Cases Resulting in Probation Placement</v>
      </c>
      <c r="C13" s="33">
        <f>'Data Entry'!C13</f>
        <v>49</v>
      </c>
      <c r="D13" s="34">
        <f>IF(((AND(C70&gt;0,C13&gt;0))),(C13/(C70)),0)</f>
        <v>132.43243243243242</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49</v>
      </c>
      <c r="Q13" s="42">
        <f>(C70*L70)-C13</f>
        <v>-12</v>
      </c>
      <c r="R13" s="42">
        <f t="shared" si="5"/>
        <v>37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10</v>
      </c>
      <c r="D14" s="34">
        <f>IF(((AND(C70&gt;0,C14&gt;0))), ((C14/(C70))),0)</f>
        <v>27.027027027027028</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10</v>
      </c>
      <c r="Q14" s="42">
        <f>(C70*L70)-C14</f>
        <v>27</v>
      </c>
      <c r="R14" s="42">
        <f t="shared" si="5"/>
        <v>37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85</v>
      </c>
      <c r="R15" s="42">
        <f t="shared" si="5"/>
        <v>86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17.766999999999999</v>
      </c>
      <c r="D42" s="56">
        <f>E6/1000</f>
        <v>0.28999999999999998</v>
      </c>
      <c r="E42" s="56">
        <f>MAX(C42:D42)</f>
        <v>17.766999999999999</v>
      </c>
      <c r="G42" s="1" t="str">
        <f>B42</f>
        <v>per 1000 youth</v>
      </c>
      <c r="L42" s="57">
        <v>1000</v>
      </c>
      <c r="M42" s="57"/>
      <c r="R42" s="49"/>
    </row>
    <row r="43" spans="2:18" ht="15" hidden="1" customHeight="1">
      <c r="B43" s="49" t="s">
        <v>87</v>
      </c>
      <c r="C43" s="56">
        <f>C7/100</f>
        <v>0.38</v>
      </c>
      <c r="D43" s="56">
        <f>E7/100</f>
        <v>0</v>
      </c>
      <c r="E43" s="56">
        <f>MAX(C43:D43,0)</f>
        <v>0.38</v>
      </c>
      <c r="G43" s="1" t="str">
        <f>B43</f>
        <v>per 100 arrests</v>
      </c>
      <c r="L43" s="57">
        <v>100</v>
      </c>
      <c r="M43" s="57"/>
      <c r="R43" s="49"/>
    </row>
    <row r="44" spans="2:18" ht="15" hidden="1" customHeight="1">
      <c r="B44" s="49" t="s">
        <v>88</v>
      </c>
      <c r="C44" s="56">
        <f>C8/100</f>
        <v>1.1100000000000001</v>
      </c>
      <c r="D44" s="56">
        <f>E8/100</f>
        <v>0.01</v>
      </c>
      <c r="E44" s="56">
        <f>MAX(C44:D44,0)</f>
        <v>1.1100000000000001</v>
      </c>
      <c r="G44" s="1" t="str">
        <f>B44</f>
        <v>per 100 referrals</v>
      </c>
      <c r="L44" s="57">
        <v>100</v>
      </c>
      <c r="M44" s="57"/>
      <c r="R44" s="49"/>
    </row>
    <row r="45" spans="2:18" ht="15" hidden="1" customHeight="1">
      <c r="B45" s="49" t="s">
        <v>89</v>
      </c>
      <c r="C45" s="49">
        <f>C11/100</f>
        <v>0.85</v>
      </c>
      <c r="D45" s="49">
        <f>E11/100</f>
        <v>0.01</v>
      </c>
      <c r="E45" s="56">
        <f>MAX(C45:D45,0)</f>
        <v>0.85</v>
      </c>
      <c r="G45" s="1" t="str">
        <f>B45</f>
        <v>per 100 youth petitioned</v>
      </c>
      <c r="L45" s="57">
        <v>100</v>
      </c>
      <c r="M45" s="57"/>
      <c r="R45" s="49"/>
    </row>
    <row r="46" spans="2:18" ht="15" hidden="1" customHeight="1">
      <c r="B46" s="49" t="s">
        <v>90</v>
      </c>
      <c r="C46" s="49">
        <f>C12/100</f>
        <v>0.37</v>
      </c>
      <c r="D46" s="49">
        <f>E12/100</f>
        <v>0</v>
      </c>
      <c r="E46" s="56">
        <f>MAX(C46:D46)</f>
        <v>0.37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17.766999999999999</v>
      </c>
      <c r="D48" s="56">
        <f>D42</f>
        <v>0.28999999999999998</v>
      </c>
      <c r="E48" s="56">
        <f>MAX(C48:D48)</f>
        <v>17.766999999999999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0.38</v>
      </c>
      <c r="D49" s="49">
        <f t="shared" si="9"/>
        <v>0</v>
      </c>
      <c r="E49" s="49">
        <f>MAX(C49:D49)</f>
        <v>0.38</v>
      </c>
      <c r="G49" s="1" t="str">
        <f>G43</f>
        <v>per 100 arrests</v>
      </c>
      <c r="L49" s="58">
        <f>IF(($E43&gt;0),L43,L42)</f>
        <v>100</v>
      </c>
      <c r="M49" s="58"/>
      <c r="N49" s="21"/>
      <c r="O49" s="21"/>
      <c r="P49" s="21"/>
      <c r="Q49" s="21"/>
      <c r="R49" s="21"/>
    </row>
    <row r="50" spans="2:18" ht="15" hidden="1" customHeight="1">
      <c r="B50" s="49" t="str">
        <f t="shared" si="9"/>
        <v>per 100 referrals</v>
      </c>
      <c r="C50" s="49">
        <f t="shared" si="9"/>
        <v>1.1100000000000001</v>
      </c>
      <c r="D50" s="49">
        <f t="shared" si="9"/>
        <v>0.01</v>
      </c>
      <c r="E50" s="49">
        <f>MAX(C50:D50)</f>
        <v>1.1100000000000001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0.85</v>
      </c>
      <c r="D51" s="49">
        <f>IF(($E45&gt;0),D45,D44)</f>
        <v>0.01</v>
      </c>
      <c r="E51" s="49">
        <f>MAX(C51:D51)</f>
        <v>0.85</v>
      </c>
      <c r="G51" s="1" t="str">
        <f>G45</f>
        <v>per 100 youth petitioned</v>
      </c>
      <c r="L51" s="58">
        <f>IF(($E45&gt;0),L45,L44)</f>
        <v>100</v>
      </c>
      <c r="M51" s="58"/>
    </row>
    <row r="52" spans="2:18" ht="15" hidden="1" customHeight="1">
      <c r="B52" s="49" t="str">
        <f>IF(($E46&gt;0),B46,B45)</f>
        <v>per 100 youth found delinquent</v>
      </c>
      <c r="C52" s="49">
        <f>IF(($E46&gt;0),C46,C45)</f>
        <v>0.37</v>
      </c>
      <c r="D52" s="49">
        <f>IF(($E46&gt;0),D46,D45)</f>
        <v>0</v>
      </c>
      <c r="E52" s="56">
        <f>MAX(C52:D52)</f>
        <v>0.37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17.766999999999999</v>
      </c>
      <c r="D54" s="56">
        <f>D48</f>
        <v>0.28999999999999998</v>
      </c>
      <c r="E54" s="56">
        <f>MAX(C54:D54)</f>
        <v>17.766999999999999</v>
      </c>
      <c r="G54" s="1" t="str">
        <f>G48</f>
        <v>per 1000 youth</v>
      </c>
      <c r="L54" s="58">
        <f>L48</f>
        <v>1000</v>
      </c>
      <c r="M54" s="58"/>
    </row>
    <row r="55" spans="2:18" ht="15" hidden="1" customHeight="1">
      <c r="B55" s="49" t="str">
        <f t="shared" ref="B55:D56" si="10">IF(($E49&gt;0),B49,B48)</f>
        <v>per 100 arrests</v>
      </c>
      <c r="C55" s="49">
        <f t="shared" si="10"/>
        <v>0.38</v>
      </c>
      <c r="D55" s="49">
        <f t="shared" si="10"/>
        <v>0</v>
      </c>
      <c r="E55" s="49">
        <f>MAX(C55:D55)</f>
        <v>0.38</v>
      </c>
      <c r="G55" s="1" t="str">
        <f>G49</f>
        <v>per 100 arrests</v>
      </c>
      <c r="L55" s="58">
        <f>IF(($E49&gt;0),L49,L48)</f>
        <v>100</v>
      </c>
      <c r="M55" s="58"/>
    </row>
    <row r="56" spans="2:18" ht="15" hidden="1" customHeight="1">
      <c r="B56" s="49" t="str">
        <f t="shared" si="10"/>
        <v>per 100 referrals</v>
      </c>
      <c r="C56" s="49">
        <f t="shared" si="10"/>
        <v>1.1100000000000001</v>
      </c>
      <c r="D56" s="49">
        <f t="shared" si="10"/>
        <v>0.01</v>
      </c>
      <c r="E56" s="49">
        <f>MAX(C56:D56)</f>
        <v>1.1100000000000001</v>
      </c>
      <c r="G56" s="1" t="str">
        <f>G50</f>
        <v>per 100 referrals</v>
      </c>
      <c r="L56" s="58">
        <f>IF(($E50&gt;0),L50,L49)</f>
        <v>100</v>
      </c>
      <c r="M56" s="58"/>
    </row>
    <row r="57" spans="2:18" ht="15" hidden="1" customHeight="1">
      <c r="B57" s="49" t="str">
        <f>IF(($E51&gt;0),B51,B49)</f>
        <v>per 100 youth petitioned</v>
      </c>
      <c r="C57" s="49">
        <f>IF(($E51&gt;0),C51,C50)</f>
        <v>0.85</v>
      </c>
      <c r="D57" s="49">
        <f>IF(($E51&gt;0),D51,D50)</f>
        <v>0.01</v>
      </c>
      <c r="E57" s="49">
        <f>MAX(C57:D57)</f>
        <v>0.85</v>
      </c>
      <c r="G57" s="1" t="str">
        <f>G51</f>
        <v>per 100 youth petitioned</v>
      </c>
      <c r="L57" s="58">
        <f>IF(($E51&gt;0),L51,L50)</f>
        <v>100</v>
      </c>
      <c r="M57" s="58"/>
    </row>
    <row r="58" spans="2:18" ht="15" hidden="1" customHeight="1">
      <c r="B58" s="49" t="str">
        <f>IF(($E52&gt;0),B52,B51)</f>
        <v>per 100 youth found delinquent</v>
      </c>
      <c r="C58" s="49">
        <f>IF(($E52&gt;0),C52,C51)</f>
        <v>0.37</v>
      </c>
      <c r="D58" s="49">
        <f>IF(($E52&gt;0),D52,D51)</f>
        <v>0</v>
      </c>
      <c r="E58" s="56">
        <f>MAX(C58:D58)</f>
        <v>0.37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17.766999999999999</v>
      </c>
      <c r="D60" s="56">
        <f>D54</f>
        <v>0.28999999999999998</v>
      </c>
      <c r="E60" s="56">
        <f>MAX(C60:D60)</f>
        <v>17.766999999999999</v>
      </c>
      <c r="G60" s="1" t="str">
        <f>G54</f>
        <v>per 1000 youth</v>
      </c>
      <c r="L60" s="58">
        <f>L54</f>
        <v>1000</v>
      </c>
      <c r="M60" s="58"/>
    </row>
    <row r="61" spans="2:18" ht="15" hidden="1" customHeight="1">
      <c r="B61" s="49" t="str">
        <f t="shared" ref="B61:D62" si="11">IF(($E55&gt;0),B55,B54)</f>
        <v>per 100 arrests</v>
      </c>
      <c r="C61" s="49">
        <f t="shared" si="11"/>
        <v>0.38</v>
      </c>
      <c r="D61" s="49">
        <f t="shared" si="11"/>
        <v>0</v>
      </c>
      <c r="E61" s="49">
        <f>MAX(C61:D61)</f>
        <v>0.38</v>
      </c>
      <c r="G61" s="1" t="str">
        <f>G55</f>
        <v>per 100 arrests</v>
      </c>
      <c r="L61" s="58">
        <f>IF(($E55&gt;0),L55,L54)</f>
        <v>100</v>
      </c>
      <c r="M61" s="58"/>
    </row>
    <row r="62" spans="2:18" ht="15" hidden="1" customHeight="1">
      <c r="B62" s="49" t="str">
        <f t="shared" si="11"/>
        <v>per 100 referrals</v>
      </c>
      <c r="C62" s="49">
        <f t="shared" si="11"/>
        <v>1.1100000000000001</v>
      </c>
      <c r="D62" s="49">
        <f t="shared" si="11"/>
        <v>0.01</v>
      </c>
      <c r="E62" s="49">
        <f>MAX(C62:D62)</f>
        <v>1.1100000000000001</v>
      </c>
      <c r="G62" s="1" t="str">
        <f>G56</f>
        <v>per 100 referrals</v>
      </c>
      <c r="L62" s="58">
        <f>IF(($E56&gt;0),L56,L55)</f>
        <v>100</v>
      </c>
      <c r="M62" s="58"/>
    </row>
    <row r="63" spans="2:18" ht="15" hidden="1" customHeight="1">
      <c r="B63" s="49" t="str">
        <f>IF(($E57&gt;0),B57,B55)</f>
        <v>per 100 youth petitioned</v>
      </c>
      <c r="C63" s="49">
        <f>IF(($E57&gt;0),C57,C56)</f>
        <v>0.85</v>
      </c>
      <c r="D63" s="49">
        <f>IF(($E57&gt;0),D57,D56)</f>
        <v>0.01</v>
      </c>
      <c r="E63" s="49">
        <f>MAX(C63:D63)</f>
        <v>0.85</v>
      </c>
      <c r="G63" s="1" t="str">
        <f>G57</f>
        <v>per 100 youth petitioned</v>
      </c>
      <c r="L63" s="58">
        <f>IF(($E57&gt;0),L57,L56)</f>
        <v>100</v>
      </c>
      <c r="M63" s="58"/>
    </row>
    <row r="64" spans="2:18" ht="15" hidden="1" customHeight="1">
      <c r="B64" s="49" t="str">
        <f>IF(($E58&gt;0),B58,B57)</f>
        <v>per 100 youth found delinquent</v>
      </c>
      <c r="C64" s="49">
        <f>IF(($E58&gt;0),C58,C57)</f>
        <v>0.37</v>
      </c>
      <c r="D64" s="49">
        <f>IF(($E58&gt;0),D58,D57)</f>
        <v>0</v>
      </c>
      <c r="E64" s="56">
        <f>MAX(C64:D64)</f>
        <v>0.37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17.766999999999999</v>
      </c>
      <c r="D66" s="56">
        <f>D60</f>
        <v>0.28999999999999998</v>
      </c>
      <c r="E66" s="56">
        <f>MAX(C66:D66)</f>
        <v>17.766999999999999</v>
      </c>
      <c r="G66" s="1" t="str">
        <f>G60</f>
        <v>per 1000 youth</v>
      </c>
      <c r="L66" s="58">
        <f>L60</f>
        <v>1000</v>
      </c>
      <c r="M66" s="58">
        <f>IF((B66=G66),1,2)</f>
        <v>1</v>
      </c>
    </row>
    <row r="67" spans="2:13" ht="15" hidden="1" customHeight="1">
      <c r="B67" s="49" t="str">
        <f t="shared" ref="B67:D68" si="12">IF(($E61&gt;0),B61,B60)</f>
        <v>per 100 arrests</v>
      </c>
      <c r="C67" s="49">
        <f t="shared" si="12"/>
        <v>0.38</v>
      </c>
      <c r="D67" s="49">
        <f t="shared" si="12"/>
        <v>0</v>
      </c>
      <c r="E67" s="49">
        <f>MAX(C67:D67)</f>
        <v>0.38</v>
      </c>
      <c r="G67" s="1" t="str">
        <f>G61</f>
        <v>per 100 arrests</v>
      </c>
      <c r="L67" s="58">
        <f>IF(($E61&gt;0),L61,L60)</f>
        <v>100</v>
      </c>
      <c r="M67" s="58">
        <f>IF((B67=G67),1,2)</f>
        <v>1</v>
      </c>
    </row>
    <row r="68" spans="2:13" ht="15" hidden="1" customHeight="1">
      <c r="B68" s="49" t="str">
        <f t="shared" si="12"/>
        <v>per 100 referrals</v>
      </c>
      <c r="C68" s="49">
        <f t="shared" si="12"/>
        <v>1.1100000000000001</v>
      </c>
      <c r="D68" s="49">
        <f t="shared" si="12"/>
        <v>0.01</v>
      </c>
      <c r="E68" s="49">
        <f>MAX(C68:D68)</f>
        <v>1.1100000000000001</v>
      </c>
      <c r="G68" s="1" t="str">
        <f>G62</f>
        <v>per 100 referrals</v>
      </c>
      <c r="L68" s="58">
        <f>IF(($E62&gt;0),L62,L61)</f>
        <v>100</v>
      </c>
      <c r="M68" s="58">
        <f>IF((B68=G68),1,2)</f>
        <v>1</v>
      </c>
    </row>
    <row r="69" spans="2:13" ht="15" hidden="1" customHeight="1">
      <c r="B69" s="49" t="str">
        <f>IF(($E63&gt;0),B63,B61)</f>
        <v>per 100 youth petitioned</v>
      </c>
      <c r="C69" s="49">
        <f>IF(($E63&gt;0),C63,C62)</f>
        <v>0.85</v>
      </c>
      <c r="D69" s="49">
        <f>IF(($E63&gt;0),D63,D62)</f>
        <v>0.01</v>
      </c>
      <c r="E69" s="49">
        <f>MAX(C69:D69)</f>
        <v>0.85</v>
      </c>
      <c r="G69" s="1" t="str">
        <f>G63</f>
        <v>per 100 youth petitioned</v>
      </c>
      <c r="L69" s="58">
        <f>IF(($E63&gt;0),L63,L62)</f>
        <v>100</v>
      </c>
      <c r="M69" s="58">
        <f>IF((B69=G69),1,2)</f>
        <v>1</v>
      </c>
    </row>
    <row r="70" spans="2:13" ht="15" hidden="1" customHeight="1">
      <c r="B70" s="49" t="str">
        <f>IF(($E64&gt;0),B64,B63)</f>
        <v>per 100 youth found delinquent</v>
      </c>
      <c r="C70" s="49">
        <f>IF(($E64&gt;0),C64,C63)</f>
        <v>0.37</v>
      </c>
      <c r="D70" s="49">
        <f>IF(($E64&gt;0),D64,D63)</f>
        <v>0</v>
      </c>
      <c r="E70" s="56">
        <f>MAX(C70:D70)</f>
        <v>0.37</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Livingston</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17767</v>
      </c>
      <c r="D6" s="34"/>
      <c r="E6" s="33">
        <f>'Data Entry'!E6</f>
        <v>798</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38</v>
      </c>
      <c r="D7" s="34">
        <f>IF((AND(C66&gt;0,C7&gt;0)),(C7/C66),0)</f>
        <v>2.1387966454663139</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798</v>
      </c>
      <c r="P7" s="42">
        <f t="shared" ref="P7:P15" si="4">C7</f>
        <v>38</v>
      </c>
      <c r="Q7" s="42">
        <f>C6-C7</f>
        <v>17729</v>
      </c>
      <c r="R7" s="42">
        <f t="shared" ref="R7:R15" si="5">SUM(N7:Q7)</f>
        <v>18565</v>
      </c>
      <c r="S7" s="30">
        <f t="shared" ref="S7:S15" si="6">R7*((((N7*Q7)-(O7*P7))^2))</f>
        <v>17071352479440</v>
      </c>
      <c r="T7" s="30">
        <f t="shared" ref="T7:T15" si="7">(N7+O7)*(P7+Q7)*(N7+P7)*(O7+Q7)</f>
        <v>9981727093716</v>
      </c>
      <c r="U7" s="31">
        <f t="shared" ref="U7:U15" si="8">IF((S7&gt;0),S7/T7,"- -")</f>
        <v>1.7102603907281011</v>
      </c>
    </row>
    <row r="8" spans="2:21" ht="18" customHeight="1">
      <c r="B8" s="32" t="str">
        <f>'Data Entry'!A8</f>
        <v>3. Refer to Juvenile Court</v>
      </c>
      <c r="C8" s="33">
        <f>'Data Entry'!C8</f>
        <v>111</v>
      </c>
      <c r="D8" s="34">
        <f>IF((AND(C67&gt;0,C8&gt;0)),(C8/C67),0)</f>
        <v>292.10526315789474</v>
      </c>
      <c r="E8" s="33">
        <f>'Data Entry'!E8</f>
        <v>4</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4</v>
      </c>
      <c r="O8" s="42">
        <f>((D67*L67)-E8)+0.05</f>
        <v>-3.95</v>
      </c>
      <c r="P8" s="42">
        <f t="shared" si="4"/>
        <v>111</v>
      </c>
      <c r="Q8" s="42">
        <f>(C$67*L67)-C8</f>
        <v>-73</v>
      </c>
      <c r="R8" s="42">
        <f t="shared" si="5"/>
        <v>38.049999999999997</v>
      </c>
      <c r="S8" s="30">
        <f t="shared" si="6"/>
        <v>816081.27512500039</v>
      </c>
      <c r="T8" s="30">
        <f t="shared" si="7"/>
        <v>-16813.574999999943</v>
      </c>
      <c r="U8" s="31">
        <f t="shared" si="8"/>
        <v>-48.537046709281235</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4</v>
      </c>
      <c r="P9" s="42">
        <f t="shared" si="4"/>
        <v>0</v>
      </c>
      <c r="Q9" s="42">
        <f>(C$68*L68)-C9</f>
        <v>111.00000000000001</v>
      </c>
      <c r="R9" s="42">
        <f t="shared" si="5"/>
        <v>115.00000000000001</v>
      </c>
      <c r="S9" s="30">
        <f t="shared" si="6"/>
        <v>0</v>
      </c>
      <c r="T9" s="30">
        <f t="shared" si="7"/>
        <v>0</v>
      </c>
      <c r="U9" s="31" t="str">
        <f t="shared" si="8"/>
        <v>- -</v>
      </c>
    </row>
    <row r="10" spans="2:21" ht="18" customHeight="1">
      <c r="B10" s="32" t="str">
        <f>'Data Entry'!A10</f>
        <v>5. Cases Involving Secure Detention</v>
      </c>
      <c r="C10" s="33">
        <f>'Data Entry'!C10</f>
        <v>5</v>
      </c>
      <c r="D10" s="34">
        <f>IF(((AND(C68&gt;0,C10&gt;0))),(C10/(C68)),0)</f>
        <v>4.5045045045045038</v>
      </c>
      <c r="E10" s="33">
        <f>'Data Entry'!E10</f>
        <v>1</v>
      </c>
      <c r="F10" s="34">
        <f>IF(((AND($E$10&gt;0,$D$68&gt;0))),($E$10/($D$68)),0)</f>
        <v>25</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1</v>
      </c>
      <c r="O10" s="42">
        <f>(D$68*L68)-E10</f>
        <v>3</v>
      </c>
      <c r="P10" s="42">
        <f t="shared" si="4"/>
        <v>5</v>
      </c>
      <c r="Q10" s="42">
        <f>(C$68*L68)-C10</f>
        <v>106.00000000000001</v>
      </c>
      <c r="R10" s="42">
        <f t="shared" si="5"/>
        <v>115.00000000000001</v>
      </c>
      <c r="S10" s="30">
        <f t="shared" si="6"/>
        <v>952315.00000000035</v>
      </c>
      <c r="T10" s="30">
        <f t="shared" si="7"/>
        <v>290376.00000000012</v>
      </c>
      <c r="U10" s="31">
        <f t="shared" si="8"/>
        <v>3.2795926660605557</v>
      </c>
    </row>
    <row r="11" spans="2:21" ht="18" customHeight="1">
      <c r="B11" s="32" t="str">
        <f>'Data Entry'!A11</f>
        <v>6. Cases Petitioned (Charge Filed)</v>
      </c>
      <c r="C11" s="33">
        <f>'Data Entry'!C11</f>
        <v>85</v>
      </c>
      <c r="D11" s="34">
        <f>IF(((AND(C68&gt;0,C11&gt;0))),(C11/(C68)),0)</f>
        <v>76.576576576576571</v>
      </c>
      <c r="E11" s="33">
        <f>'Data Entry'!E11</f>
        <v>2</v>
      </c>
      <c r="F11" s="34">
        <f>IF(((AND($E$11&gt;0,$D$68&gt;0))),($E$11/($D$68)),0)</f>
        <v>50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2</v>
      </c>
      <c r="O11" s="42">
        <f>(D$68*L68)-E11</f>
        <v>2</v>
      </c>
      <c r="P11" s="42">
        <f t="shared" si="4"/>
        <v>85</v>
      </c>
      <c r="Q11" s="42">
        <f>(C$68*L68)-C11</f>
        <v>26.000000000000014</v>
      </c>
      <c r="R11" s="42">
        <f t="shared" si="5"/>
        <v>115.00000000000001</v>
      </c>
      <c r="S11" s="30">
        <f t="shared" si="6"/>
        <v>1601259.9999999993</v>
      </c>
      <c r="T11" s="30">
        <f t="shared" si="7"/>
        <v>1081584.0000000007</v>
      </c>
      <c r="U11" s="31">
        <f t="shared" si="8"/>
        <v>1.4804767822009186</v>
      </c>
    </row>
    <row r="12" spans="2:21" ht="18" customHeight="1">
      <c r="B12" s="32" t="str">
        <f>'Data Entry'!A12</f>
        <v>7. Cases Resulting in Delinquent Findings</v>
      </c>
      <c r="C12" s="33">
        <f>'Data Entry'!C12</f>
        <v>37</v>
      </c>
      <c r="D12" s="34">
        <f>IF(((AND(C69&gt;0,C12&gt;0))),(C12/(C69)),0)</f>
        <v>43.529411764705884</v>
      </c>
      <c r="E12" s="33">
        <f>'Data Entry'!E12</f>
        <v>3</v>
      </c>
      <c r="F12" s="34">
        <f>IF(((AND($D$69&gt;0,$E$12&gt;0))),(E12/(D69)),0)</f>
        <v>150</v>
      </c>
      <c r="G12" s="39" t="str">
        <f t="shared" si="0"/>
        <v>**</v>
      </c>
      <c r="H12" s="40"/>
      <c r="I12" s="41"/>
      <c r="J12" s="40">
        <f>IF((ABS($U12)&gt;Defaults!D$7),1,2)</f>
        <v>1</v>
      </c>
      <c r="K12" s="39">
        <f>IF((AND(N12&gt;Defaults!B$12,(N12+O12)&gt;Defaults!B$13, P12 &gt; Defaults!B$12, (P12+Q12) &gt; Defaults!B$13)),1,20)</f>
        <v>20</v>
      </c>
      <c r="L12" s="1">
        <f t="shared" si="1"/>
        <v>20</v>
      </c>
      <c r="M12" s="1" t="b">
        <f t="shared" si="2"/>
        <v>1</v>
      </c>
      <c r="N12" s="42">
        <f t="shared" si="3"/>
        <v>3</v>
      </c>
      <c r="O12" s="42">
        <f>(D69*L69)-E12</f>
        <v>-1</v>
      </c>
      <c r="P12" s="42">
        <f t="shared" si="4"/>
        <v>37</v>
      </c>
      <c r="Q12" s="42">
        <f>(C69*L69)-C12</f>
        <v>48</v>
      </c>
      <c r="R12" s="42">
        <f t="shared" si="5"/>
        <v>87</v>
      </c>
      <c r="S12" s="30">
        <f t="shared" si="6"/>
        <v>2850207</v>
      </c>
      <c r="T12" s="30">
        <f t="shared" si="7"/>
        <v>319600</v>
      </c>
      <c r="U12" s="31">
        <f t="shared" si="8"/>
        <v>8.9180444305381723</v>
      </c>
    </row>
    <row r="13" spans="2:21" ht="18" customHeight="1">
      <c r="B13" s="32" t="str">
        <f>'Data Entry'!A13</f>
        <v>8. Cases Resulting in Probation Placement</v>
      </c>
      <c r="C13" s="33">
        <f>'Data Entry'!C13</f>
        <v>49</v>
      </c>
      <c r="D13" s="34">
        <f>IF(((AND(C70&gt;0,C13&gt;0))),(C13/(C70)),0)</f>
        <v>132.43243243243242</v>
      </c>
      <c r="E13" s="33">
        <f>'Data Entry'!E13</f>
        <v>3</v>
      </c>
      <c r="F13" s="34">
        <f>IF(((AND($D$70&gt;0,$E$13&gt;0))),($E$13/($D$70)),0)</f>
        <v>100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3</v>
      </c>
      <c r="O13" s="42">
        <f>(D70*L70)-E13</f>
        <v>0</v>
      </c>
      <c r="P13" s="42">
        <f t="shared" si="4"/>
        <v>49</v>
      </c>
      <c r="Q13" s="42">
        <f>(C70*L70)-C13</f>
        <v>-12</v>
      </c>
      <c r="R13" s="42">
        <f t="shared" si="5"/>
        <v>40</v>
      </c>
      <c r="S13" s="30">
        <f t="shared" si="6"/>
        <v>51840</v>
      </c>
      <c r="T13" s="30">
        <f t="shared" si="7"/>
        <v>-69264</v>
      </c>
      <c r="U13" s="31">
        <f t="shared" si="8"/>
        <v>-0.74844074844074848</v>
      </c>
    </row>
    <row r="14" spans="2:21" ht="30.75" customHeight="1">
      <c r="B14" s="32" t="str">
        <f>'Data Entry'!A14</f>
        <v xml:space="preserve">9. Cases Resulting in Confinement in Secure Juvenile Correctional Facilities </v>
      </c>
      <c r="C14" s="33">
        <f>'Data Entry'!C14</f>
        <v>10</v>
      </c>
      <c r="D14" s="34">
        <f>IF(((AND(C70&gt;0,C14&gt;0))), ((C14/(C70))),0)</f>
        <v>27.027027027027028</v>
      </c>
      <c r="E14" s="33">
        <f>'Data Entry'!E14</f>
        <v>1</v>
      </c>
      <c r="F14" s="34">
        <f>IF(((AND($D$70&gt;0,$E$14&gt;0))), (($E$14/($D$70))),0)</f>
        <v>33.333333333333336</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1</v>
      </c>
      <c r="O14" s="42">
        <f>(D70*L70)-E14</f>
        <v>2</v>
      </c>
      <c r="P14" s="42">
        <f t="shared" si="4"/>
        <v>10</v>
      </c>
      <c r="Q14" s="42">
        <f>(C70*L70)-C14</f>
        <v>27</v>
      </c>
      <c r="R14" s="42">
        <f t="shared" si="5"/>
        <v>40</v>
      </c>
      <c r="S14" s="30">
        <f t="shared" si="6"/>
        <v>1960</v>
      </c>
      <c r="T14" s="30">
        <f t="shared" si="7"/>
        <v>35409</v>
      </c>
      <c r="U14" s="31">
        <f t="shared" si="8"/>
        <v>5.5353158801434661E-2</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85</v>
      </c>
      <c r="R15" s="42">
        <f t="shared" si="5"/>
        <v>87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17.766999999999999</v>
      </c>
      <c r="D42" s="56">
        <f>E6/1000</f>
        <v>0.79800000000000004</v>
      </c>
      <c r="E42" s="56">
        <f>MAX(C42:D42)</f>
        <v>17.766999999999999</v>
      </c>
      <c r="G42" s="1" t="str">
        <f>B42</f>
        <v>per 1000 youth</v>
      </c>
      <c r="L42" s="57">
        <v>1000</v>
      </c>
      <c r="M42" s="57"/>
      <c r="R42" s="49"/>
    </row>
    <row r="43" spans="2:18" ht="15" hidden="1" customHeight="1">
      <c r="B43" s="49" t="s">
        <v>87</v>
      </c>
      <c r="C43" s="56">
        <f>C7/100</f>
        <v>0.38</v>
      </c>
      <c r="D43" s="56">
        <f>E7/100</f>
        <v>0</v>
      </c>
      <c r="E43" s="56">
        <f>MAX(C43:D43,0)</f>
        <v>0.38</v>
      </c>
      <c r="G43" s="1" t="str">
        <f>B43</f>
        <v>per 100 arrests</v>
      </c>
      <c r="L43" s="57">
        <v>100</v>
      </c>
      <c r="M43" s="57"/>
      <c r="R43" s="49"/>
    </row>
    <row r="44" spans="2:18" ht="15" hidden="1" customHeight="1">
      <c r="B44" s="49" t="s">
        <v>88</v>
      </c>
      <c r="C44" s="56">
        <f>C8/100</f>
        <v>1.1100000000000001</v>
      </c>
      <c r="D44" s="56">
        <f>E8/100</f>
        <v>0.04</v>
      </c>
      <c r="E44" s="56">
        <f>MAX(C44:D44,0)</f>
        <v>1.1100000000000001</v>
      </c>
      <c r="G44" s="1" t="str">
        <f>B44</f>
        <v>per 100 referrals</v>
      </c>
      <c r="L44" s="57">
        <v>100</v>
      </c>
      <c r="M44" s="57"/>
      <c r="R44" s="49"/>
    </row>
    <row r="45" spans="2:18" ht="15" hidden="1" customHeight="1">
      <c r="B45" s="49" t="s">
        <v>89</v>
      </c>
      <c r="C45" s="49">
        <f>C11/100</f>
        <v>0.85</v>
      </c>
      <c r="D45" s="49">
        <f>E11/100</f>
        <v>0.02</v>
      </c>
      <c r="E45" s="56">
        <f>MAX(C45:D45,0)</f>
        <v>0.85</v>
      </c>
      <c r="G45" s="1" t="str">
        <f>B45</f>
        <v>per 100 youth petitioned</v>
      </c>
      <c r="L45" s="57">
        <v>100</v>
      </c>
      <c r="M45" s="57"/>
      <c r="R45" s="49"/>
    </row>
    <row r="46" spans="2:18" ht="15" hidden="1" customHeight="1">
      <c r="B46" s="49" t="s">
        <v>90</v>
      </c>
      <c r="C46" s="49">
        <f>C12/100</f>
        <v>0.37</v>
      </c>
      <c r="D46" s="49">
        <f>E12/100</f>
        <v>0.03</v>
      </c>
      <c r="E46" s="56">
        <f>MAX(C46:D46)</f>
        <v>0.37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17.766999999999999</v>
      </c>
      <c r="D48" s="56">
        <f>D42</f>
        <v>0.79800000000000004</v>
      </c>
      <c r="E48" s="56">
        <f>MAX(C48:D48)</f>
        <v>17.766999999999999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0.38</v>
      </c>
      <c r="D49" s="49">
        <f t="shared" si="9"/>
        <v>0</v>
      </c>
      <c r="E49" s="49">
        <f>MAX(C49:D49)</f>
        <v>0.38</v>
      </c>
      <c r="G49" s="1" t="str">
        <f>G43</f>
        <v>per 100 arrests</v>
      </c>
      <c r="L49" s="58">
        <f>IF(($E43&gt;0),L43,L42)</f>
        <v>100</v>
      </c>
      <c r="M49" s="58"/>
      <c r="N49" s="21"/>
      <c r="O49" s="21"/>
      <c r="P49" s="21"/>
      <c r="Q49" s="21"/>
      <c r="R49" s="21"/>
    </row>
    <row r="50" spans="2:18" ht="15" hidden="1" customHeight="1">
      <c r="B50" s="49" t="str">
        <f t="shared" si="9"/>
        <v>per 100 referrals</v>
      </c>
      <c r="C50" s="49">
        <f t="shared" si="9"/>
        <v>1.1100000000000001</v>
      </c>
      <c r="D50" s="49">
        <f t="shared" si="9"/>
        <v>0.04</v>
      </c>
      <c r="E50" s="49">
        <f>MAX(C50:D50)</f>
        <v>1.1100000000000001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0.85</v>
      </c>
      <c r="D51" s="49">
        <f>IF(($E45&gt;0),D45,D44)</f>
        <v>0.02</v>
      </c>
      <c r="E51" s="49">
        <f>MAX(C51:D51)</f>
        <v>0.85</v>
      </c>
      <c r="G51" s="1" t="str">
        <f>G45</f>
        <v>per 100 youth petitioned</v>
      </c>
      <c r="L51" s="58">
        <f>IF(($E45&gt;0),L45,L44)</f>
        <v>100</v>
      </c>
      <c r="M51" s="58"/>
    </row>
    <row r="52" spans="2:18" ht="15" hidden="1" customHeight="1">
      <c r="B52" s="49" t="str">
        <f>IF(($E46&gt;0),B46,B45)</f>
        <v>per 100 youth found delinquent</v>
      </c>
      <c r="C52" s="49">
        <f>IF(($E46&gt;0),C46,C45)</f>
        <v>0.37</v>
      </c>
      <c r="D52" s="49">
        <f>IF(($E46&gt;0),D46,D45)</f>
        <v>0.03</v>
      </c>
      <c r="E52" s="56">
        <f>MAX(C52:D52)</f>
        <v>0.37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17.766999999999999</v>
      </c>
      <c r="D54" s="56">
        <f>D48</f>
        <v>0.79800000000000004</v>
      </c>
      <c r="E54" s="56">
        <f>MAX(C54:D54)</f>
        <v>17.766999999999999</v>
      </c>
      <c r="G54" s="1" t="str">
        <f>G48</f>
        <v>per 1000 youth</v>
      </c>
      <c r="L54" s="58">
        <f>L48</f>
        <v>1000</v>
      </c>
      <c r="M54" s="58"/>
    </row>
    <row r="55" spans="2:18" ht="15" hidden="1" customHeight="1">
      <c r="B55" s="49" t="str">
        <f t="shared" ref="B55:D56" si="10">IF(($E49&gt;0),B49,B48)</f>
        <v>per 100 arrests</v>
      </c>
      <c r="C55" s="49">
        <f t="shared" si="10"/>
        <v>0.38</v>
      </c>
      <c r="D55" s="49">
        <f t="shared" si="10"/>
        <v>0</v>
      </c>
      <c r="E55" s="49">
        <f>MAX(C55:D55)</f>
        <v>0.38</v>
      </c>
      <c r="G55" s="1" t="str">
        <f>G49</f>
        <v>per 100 arrests</v>
      </c>
      <c r="L55" s="58">
        <f>IF(($E49&gt;0),L49,L48)</f>
        <v>100</v>
      </c>
      <c r="M55" s="58"/>
    </row>
    <row r="56" spans="2:18" ht="15" hidden="1" customHeight="1">
      <c r="B56" s="49" t="str">
        <f t="shared" si="10"/>
        <v>per 100 referrals</v>
      </c>
      <c r="C56" s="49">
        <f t="shared" si="10"/>
        <v>1.1100000000000001</v>
      </c>
      <c r="D56" s="49">
        <f t="shared" si="10"/>
        <v>0.04</v>
      </c>
      <c r="E56" s="49">
        <f>MAX(C56:D56)</f>
        <v>1.1100000000000001</v>
      </c>
      <c r="G56" s="1" t="str">
        <f>G50</f>
        <v>per 100 referrals</v>
      </c>
      <c r="L56" s="58">
        <f>IF(($E50&gt;0),L50,L49)</f>
        <v>100</v>
      </c>
      <c r="M56" s="58"/>
    </row>
    <row r="57" spans="2:18" ht="15" hidden="1" customHeight="1">
      <c r="B57" s="49" t="str">
        <f>IF(($E51&gt;0),B51,B49)</f>
        <v>per 100 youth petitioned</v>
      </c>
      <c r="C57" s="49">
        <f>IF(($E51&gt;0),C51,C50)</f>
        <v>0.85</v>
      </c>
      <c r="D57" s="49">
        <f>IF(($E51&gt;0),D51,D50)</f>
        <v>0.02</v>
      </c>
      <c r="E57" s="49">
        <f>MAX(C57:D57)</f>
        <v>0.85</v>
      </c>
      <c r="G57" s="1" t="str">
        <f>G51</f>
        <v>per 100 youth petitioned</v>
      </c>
      <c r="L57" s="58">
        <f>IF(($E51&gt;0),L51,L50)</f>
        <v>100</v>
      </c>
      <c r="M57" s="58"/>
    </row>
    <row r="58" spans="2:18" ht="15" hidden="1" customHeight="1">
      <c r="B58" s="49" t="str">
        <f>IF(($E52&gt;0),B52,B51)</f>
        <v>per 100 youth found delinquent</v>
      </c>
      <c r="C58" s="49">
        <f>IF(($E52&gt;0),C52,C51)</f>
        <v>0.37</v>
      </c>
      <c r="D58" s="49">
        <f>IF(($E52&gt;0),D52,D51)</f>
        <v>0.03</v>
      </c>
      <c r="E58" s="56">
        <f>MAX(C58:D58)</f>
        <v>0.37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17.766999999999999</v>
      </c>
      <c r="D60" s="56">
        <f>D54</f>
        <v>0.79800000000000004</v>
      </c>
      <c r="E60" s="56">
        <f>MAX(C60:D60)</f>
        <v>17.766999999999999</v>
      </c>
      <c r="G60" s="1" t="str">
        <f>G54</f>
        <v>per 1000 youth</v>
      </c>
      <c r="L60" s="58">
        <f>L54</f>
        <v>1000</v>
      </c>
      <c r="M60" s="58"/>
    </row>
    <row r="61" spans="2:18" ht="15" hidden="1" customHeight="1">
      <c r="B61" s="49" t="str">
        <f t="shared" ref="B61:D62" si="11">IF(($E55&gt;0),B55,B54)</f>
        <v>per 100 arrests</v>
      </c>
      <c r="C61" s="49">
        <f t="shared" si="11"/>
        <v>0.38</v>
      </c>
      <c r="D61" s="49">
        <f t="shared" si="11"/>
        <v>0</v>
      </c>
      <c r="E61" s="49">
        <f>MAX(C61:D61)</f>
        <v>0.38</v>
      </c>
      <c r="G61" s="1" t="str">
        <f>G55</f>
        <v>per 100 arrests</v>
      </c>
      <c r="L61" s="58">
        <f>IF(($E55&gt;0),L55,L54)</f>
        <v>100</v>
      </c>
      <c r="M61" s="58"/>
    </row>
    <row r="62" spans="2:18" ht="15" hidden="1" customHeight="1">
      <c r="B62" s="49" t="str">
        <f t="shared" si="11"/>
        <v>per 100 referrals</v>
      </c>
      <c r="C62" s="49">
        <f t="shared" si="11"/>
        <v>1.1100000000000001</v>
      </c>
      <c r="D62" s="49">
        <f t="shared" si="11"/>
        <v>0.04</v>
      </c>
      <c r="E62" s="49">
        <f>MAX(C62:D62)</f>
        <v>1.1100000000000001</v>
      </c>
      <c r="G62" s="1" t="str">
        <f>G56</f>
        <v>per 100 referrals</v>
      </c>
      <c r="L62" s="58">
        <f>IF(($E56&gt;0),L56,L55)</f>
        <v>100</v>
      </c>
      <c r="M62" s="58"/>
    </row>
    <row r="63" spans="2:18" ht="15" hidden="1" customHeight="1">
      <c r="B63" s="49" t="str">
        <f>IF(($E57&gt;0),B57,B55)</f>
        <v>per 100 youth petitioned</v>
      </c>
      <c r="C63" s="49">
        <f>IF(($E57&gt;0),C57,C56)</f>
        <v>0.85</v>
      </c>
      <c r="D63" s="49">
        <f>IF(($E57&gt;0),D57,D56)</f>
        <v>0.02</v>
      </c>
      <c r="E63" s="49">
        <f>MAX(C63:D63)</f>
        <v>0.85</v>
      </c>
      <c r="G63" s="1" t="str">
        <f>G57</f>
        <v>per 100 youth petitioned</v>
      </c>
      <c r="L63" s="58">
        <f>IF(($E57&gt;0),L57,L56)</f>
        <v>100</v>
      </c>
      <c r="M63" s="58"/>
    </row>
    <row r="64" spans="2:18" ht="15" hidden="1" customHeight="1">
      <c r="B64" s="49" t="str">
        <f>IF(($E58&gt;0),B58,B57)</f>
        <v>per 100 youth found delinquent</v>
      </c>
      <c r="C64" s="49">
        <f>IF(($E58&gt;0),C58,C57)</f>
        <v>0.37</v>
      </c>
      <c r="D64" s="49">
        <f>IF(($E58&gt;0),D58,D57)</f>
        <v>0.03</v>
      </c>
      <c r="E64" s="56">
        <f>MAX(C64:D64)</f>
        <v>0.37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17.766999999999999</v>
      </c>
      <c r="D66" s="56">
        <f>D60</f>
        <v>0.79800000000000004</v>
      </c>
      <c r="E66" s="56">
        <f>MAX(C66:D66)</f>
        <v>17.766999999999999</v>
      </c>
      <c r="G66" s="1" t="str">
        <f>G60</f>
        <v>per 1000 youth</v>
      </c>
      <c r="L66" s="58">
        <f>L60</f>
        <v>1000</v>
      </c>
      <c r="M66" s="58">
        <f>IF((B66=G66),1,2)</f>
        <v>1</v>
      </c>
    </row>
    <row r="67" spans="2:13" ht="15" hidden="1" customHeight="1">
      <c r="B67" s="49" t="str">
        <f t="shared" ref="B67:D68" si="12">IF(($E61&gt;0),B61,B60)</f>
        <v>per 100 arrests</v>
      </c>
      <c r="C67" s="49">
        <f t="shared" si="12"/>
        <v>0.38</v>
      </c>
      <c r="D67" s="49">
        <f t="shared" si="12"/>
        <v>0</v>
      </c>
      <c r="E67" s="49">
        <f>MAX(C67:D67)</f>
        <v>0.38</v>
      </c>
      <c r="G67" s="1" t="str">
        <f>G61</f>
        <v>per 100 arrests</v>
      </c>
      <c r="L67" s="58">
        <f>IF(($E61&gt;0),L61,L60)</f>
        <v>100</v>
      </c>
      <c r="M67" s="58">
        <f>IF((B67=G67),1,2)</f>
        <v>1</v>
      </c>
    </row>
    <row r="68" spans="2:13" ht="15" hidden="1" customHeight="1">
      <c r="B68" s="49" t="str">
        <f t="shared" si="12"/>
        <v>per 100 referrals</v>
      </c>
      <c r="C68" s="49">
        <f t="shared" si="12"/>
        <v>1.1100000000000001</v>
      </c>
      <c r="D68" s="49">
        <f t="shared" si="12"/>
        <v>0.04</v>
      </c>
      <c r="E68" s="49">
        <f>MAX(C68:D68)</f>
        <v>1.1100000000000001</v>
      </c>
      <c r="G68" s="1" t="str">
        <f>G62</f>
        <v>per 100 referrals</v>
      </c>
      <c r="L68" s="58">
        <f>IF(($E62&gt;0),L62,L61)</f>
        <v>100</v>
      </c>
      <c r="M68" s="58">
        <f>IF((B68=G68),1,2)</f>
        <v>1</v>
      </c>
    </row>
    <row r="69" spans="2:13" ht="15" hidden="1" customHeight="1">
      <c r="B69" s="49" t="str">
        <f>IF(($E63&gt;0),B63,B61)</f>
        <v>per 100 youth petitioned</v>
      </c>
      <c r="C69" s="49">
        <f>IF(($E63&gt;0),C63,C62)</f>
        <v>0.85</v>
      </c>
      <c r="D69" s="49">
        <f>IF(($E63&gt;0),D63,D62)</f>
        <v>0.02</v>
      </c>
      <c r="E69" s="49">
        <f>MAX(C69:D69)</f>
        <v>0.85</v>
      </c>
      <c r="G69" s="1" t="str">
        <f>G63</f>
        <v>per 100 youth petitioned</v>
      </c>
      <c r="L69" s="58">
        <f>IF(($E63&gt;0),L63,L62)</f>
        <v>100</v>
      </c>
      <c r="M69" s="58">
        <f>IF((B69=G69),1,2)</f>
        <v>1</v>
      </c>
    </row>
    <row r="70" spans="2:13" ht="15" hidden="1" customHeight="1">
      <c r="B70" s="49" t="str">
        <f>IF(($E64&gt;0),B64,B63)</f>
        <v>per 100 youth found delinquent</v>
      </c>
      <c r="C70" s="49">
        <f>IF(($E64&gt;0),C64,C63)</f>
        <v>0.37</v>
      </c>
      <c r="D70" s="49">
        <f>IF(($E64&gt;0),D64,D63)</f>
        <v>0.03</v>
      </c>
      <c r="E70" s="56">
        <f>MAX(C70:D70)</f>
        <v>0.37</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Livingston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17767</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38</v>
      </c>
      <c r="D7" s="34">
        <f>IF((AND(C66&gt;0,C7&gt;0)),(C7/C66),0)</f>
        <v>2.1387966454663139</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38</v>
      </c>
      <c r="Q7" s="42">
        <f>C6-C7</f>
        <v>17729</v>
      </c>
      <c r="R7" s="42">
        <f t="shared" ref="R7:R15" si="5">SUM(N7:Q7)</f>
        <v>17767</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111</v>
      </c>
      <c r="D8" s="34">
        <f>IF((AND(C67&gt;0,C8&gt;0)),(C8/C67),0)</f>
        <v>292.10526315789474</v>
      </c>
      <c r="E8" s="33">
        <f>'Data Entry'!G8</f>
        <v>1</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1</v>
      </c>
      <c r="O8" s="42">
        <f>((D67*L67)-E8)+0.05</f>
        <v>-0.95</v>
      </c>
      <c r="P8" s="42">
        <f t="shared" si="4"/>
        <v>111</v>
      </c>
      <c r="Q8" s="42">
        <f>(C$67*L67)-C8</f>
        <v>-73</v>
      </c>
      <c r="R8" s="42">
        <f t="shared" si="5"/>
        <v>38.049999999999997</v>
      </c>
      <c r="S8" s="30">
        <f t="shared" si="6"/>
        <v>40066.745124999972</v>
      </c>
      <c r="T8" s="30">
        <f t="shared" si="7"/>
        <v>-15736.560000000014</v>
      </c>
      <c r="U8" s="31">
        <f t="shared" si="8"/>
        <v>-2.5460929914161632</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111.00000000000001</v>
      </c>
      <c r="R9" s="42">
        <f t="shared" si="5"/>
        <v>112.00000000000001</v>
      </c>
      <c r="S9" s="30">
        <f t="shared" si="6"/>
        <v>0</v>
      </c>
      <c r="T9" s="30">
        <f t="shared" si="7"/>
        <v>0</v>
      </c>
      <c r="U9" s="31" t="str">
        <f t="shared" si="8"/>
        <v>- -</v>
      </c>
    </row>
    <row r="10" spans="2:21" ht="18" customHeight="1">
      <c r="B10" s="32" t="str">
        <f>'Data Entry'!A10</f>
        <v>5. Cases Involving Secure Detention</v>
      </c>
      <c r="C10" s="33">
        <f>'Data Entry'!C10</f>
        <v>5</v>
      </c>
      <c r="D10" s="34">
        <f>IF(((AND(C68&gt;0,C10&gt;0))),(C10/(C68)),0)</f>
        <v>4.5045045045045038</v>
      </c>
      <c r="E10" s="33">
        <f>'Data Entry'!G10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1</v>
      </c>
      <c r="P10" s="42">
        <f t="shared" si="4"/>
        <v>5</v>
      </c>
      <c r="Q10" s="42">
        <f>(C$68*L68)-C10</f>
        <v>106.00000000000001</v>
      </c>
      <c r="R10" s="42">
        <f t="shared" si="5"/>
        <v>112.00000000000001</v>
      </c>
      <c r="S10" s="30">
        <f t="shared" si="6"/>
        <v>2800.0000000000005</v>
      </c>
      <c r="T10" s="30">
        <f t="shared" si="7"/>
        <v>59385.000000000022</v>
      </c>
      <c r="U10" s="31">
        <f t="shared" si="8"/>
        <v>4.7149953692009756E-2</v>
      </c>
    </row>
    <row r="11" spans="2:21" ht="18" customHeight="1">
      <c r="B11" s="32" t="str">
        <f>'Data Entry'!A11</f>
        <v>6. Cases Petitioned (Charge Filed)</v>
      </c>
      <c r="C11" s="33">
        <f>'Data Entry'!C11</f>
        <v>85</v>
      </c>
      <c r="D11" s="34">
        <f>IF(((AND(C68&gt;0,C11&gt;0))),(C11/(C68)),0)</f>
        <v>76.576576576576571</v>
      </c>
      <c r="E11" s="33">
        <f>'Data Entry'!G11</f>
        <v>1</v>
      </c>
      <c r="F11" s="34">
        <f>IF(((AND($E$11&gt;0,$D$68&gt;0))),($E$11/($D$68)),0)</f>
        <v>100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1</v>
      </c>
      <c r="O11" s="42">
        <f>(D$68*L68)-E11</f>
        <v>0</v>
      </c>
      <c r="P11" s="42">
        <f t="shared" si="4"/>
        <v>85</v>
      </c>
      <c r="Q11" s="42">
        <f>(C$68*L68)-C11</f>
        <v>26.000000000000014</v>
      </c>
      <c r="R11" s="42">
        <f t="shared" si="5"/>
        <v>112.00000000000001</v>
      </c>
      <c r="S11" s="30">
        <f t="shared" si="6"/>
        <v>75712.000000000087</v>
      </c>
      <c r="T11" s="30">
        <f t="shared" si="7"/>
        <v>248196.00000000017</v>
      </c>
      <c r="U11" s="31">
        <f t="shared" si="8"/>
        <v>0.30504923528179356</v>
      </c>
    </row>
    <row r="12" spans="2:21" ht="18" customHeight="1">
      <c r="B12" s="32" t="str">
        <f>'Data Entry'!A12</f>
        <v>7. Cases Resulting in Delinquent Findings</v>
      </c>
      <c r="C12" s="33">
        <f>'Data Entry'!C12</f>
        <v>37</v>
      </c>
      <c r="D12" s="34">
        <f>IF(((AND(C69&gt;0,C12&gt;0))),(C12/(C69)),0)</f>
        <v>43.529411764705884</v>
      </c>
      <c r="E12" s="33">
        <f>'Data Entry'!G12</f>
        <v>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1</v>
      </c>
      <c r="O12" s="42">
        <f>(D69*L69)-E12</f>
        <v>0</v>
      </c>
      <c r="P12" s="42">
        <f t="shared" si="4"/>
        <v>37</v>
      </c>
      <c r="Q12" s="42">
        <f>(C69*L69)-C12</f>
        <v>48</v>
      </c>
      <c r="R12" s="42">
        <f t="shared" si="5"/>
        <v>86</v>
      </c>
      <c r="S12" s="30">
        <f t="shared" si="6"/>
        <v>198144</v>
      </c>
      <c r="T12" s="30">
        <f t="shared" si="7"/>
        <v>155040</v>
      </c>
      <c r="U12" s="31">
        <f t="shared" si="8"/>
        <v>1.2780185758513931</v>
      </c>
    </row>
    <row r="13" spans="2:21" ht="18" customHeight="1">
      <c r="B13" s="32" t="str">
        <f>'Data Entry'!A13</f>
        <v>8. Cases Resulting in Probation Placement</v>
      </c>
      <c r="C13" s="33">
        <f>'Data Entry'!C13</f>
        <v>49</v>
      </c>
      <c r="D13" s="34">
        <f>IF(((AND(C70&gt;0,C13&gt;0))),(C13/(C70)),0)</f>
        <v>132.43243243243242</v>
      </c>
      <c r="E13" s="33">
        <f>'Data Entry'!G13</f>
        <v>1</v>
      </c>
      <c r="F13" s="34">
        <f>IF(((AND($D$70&gt;0,$E$13&gt;0))),($E$13/($D$70)),0)</f>
        <v>100</v>
      </c>
      <c r="G13" s="39" t="str">
        <f t="shared" si="0"/>
        <v>*</v>
      </c>
      <c r="H13" s="40"/>
      <c r="I13" s="41"/>
      <c r="J13" s="40">
        <f>IF((ABS($U13)&gt;Defaults!D$7),1,2)</f>
        <v>2</v>
      </c>
      <c r="K13" s="39">
        <f>IF((AND(N13&gt;Defaults!B$12,(N13+O13)&gt;Defaults!B$13, P13 &gt; Defaults!B$12, (P13+Q13) &gt; Defaults!B$13)),1,20)</f>
        <v>20</v>
      </c>
      <c r="L13" s="1">
        <f t="shared" si="1"/>
        <v>139</v>
      </c>
      <c r="M13" s="1" t="b">
        <f t="shared" si="2"/>
        <v>1</v>
      </c>
      <c r="N13" s="42">
        <f t="shared" si="3"/>
        <v>1</v>
      </c>
      <c r="O13" s="42">
        <f>(D70*L70)-E13</f>
        <v>0</v>
      </c>
      <c r="P13" s="42">
        <f t="shared" si="4"/>
        <v>49</v>
      </c>
      <c r="Q13" s="42">
        <f>(C70*L70)-C13</f>
        <v>-12</v>
      </c>
      <c r="R13" s="42">
        <f t="shared" si="5"/>
        <v>38</v>
      </c>
      <c r="S13" s="30">
        <f t="shared" si="6"/>
        <v>5472</v>
      </c>
      <c r="T13" s="30">
        <f t="shared" si="7"/>
        <v>-22200</v>
      </c>
      <c r="U13" s="31">
        <f t="shared" si="8"/>
        <v>-0.24648648648648649</v>
      </c>
    </row>
    <row r="14" spans="2:21" ht="30.75" customHeight="1">
      <c r="B14" s="32" t="str">
        <f>'Data Entry'!A14</f>
        <v xml:space="preserve">9. Cases Resulting in Confinement in Secure Juvenile Correctional Facilities </v>
      </c>
      <c r="C14" s="33">
        <f>'Data Entry'!C14</f>
        <v>10</v>
      </c>
      <c r="D14" s="34">
        <f>IF(((AND(C70&gt;0,C14&gt;0))), ((C14/(C70))),0)</f>
        <v>27.027027027027028</v>
      </c>
      <c r="E14" s="33">
        <f>'Data Entry'!G14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0</v>
      </c>
      <c r="O14" s="42">
        <f>(D70*L70)-E14</f>
        <v>1</v>
      </c>
      <c r="P14" s="42">
        <f t="shared" si="4"/>
        <v>10</v>
      </c>
      <c r="Q14" s="42">
        <f>(C70*L70)-C14</f>
        <v>27</v>
      </c>
      <c r="R14" s="42">
        <f t="shared" si="5"/>
        <v>38</v>
      </c>
      <c r="S14" s="30">
        <f t="shared" si="6"/>
        <v>3800</v>
      </c>
      <c r="T14" s="30">
        <f t="shared" si="7"/>
        <v>10360</v>
      </c>
      <c r="U14" s="31">
        <f t="shared" si="8"/>
        <v>0.36679536679536678</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85</v>
      </c>
      <c r="R15" s="42">
        <f t="shared" si="5"/>
        <v>86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17.766999999999999</v>
      </c>
      <c r="D42" s="56">
        <f>E6/1000</f>
        <v>0</v>
      </c>
      <c r="E42" s="56">
        <f>MAX(C42:D42)</f>
        <v>17.766999999999999</v>
      </c>
      <c r="G42" s="1" t="str">
        <f>B42</f>
        <v>per 1000 youth</v>
      </c>
      <c r="L42" s="57">
        <v>1000</v>
      </c>
      <c r="M42" s="57"/>
      <c r="R42" s="49"/>
    </row>
    <row r="43" spans="2:18" ht="15" hidden="1" customHeight="1">
      <c r="B43" s="49" t="s">
        <v>87</v>
      </c>
      <c r="C43" s="56">
        <f>C7/100</f>
        <v>0.38</v>
      </c>
      <c r="D43" s="56">
        <f>E7/100</f>
        <v>0</v>
      </c>
      <c r="E43" s="56">
        <f>MAX(C43:D43,0)</f>
        <v>0.38</v>
      </c>
      <c r="G43" s="1" t="str">
        <f>B43</f>
        <v>per 100 arrests</v>
      </c>
      <c r="L43" s="57">
        <v>100</v>
      </c>
      <c r="M43" s="57"/>
      <c r="R43" s="49"/>
    </row>
    <row r="44" spans="2:18" ht="15" hidden="1" customHeight="1">
      <c r="B44" s="49" t="s">
        <v>88</v>
      </c>
      <c r="C44" s="56">
        <f>C8/100</f>
        <v>1.1100000000000001</v>
      </c>
      <c r="D44" s="56">
        <f>E8/100</f>
        <v>0.01</v>
      </c>
      <c r="E44" s="56">
        <f>MAX(C44:D44,0)</f>
        <v>1.1100000000000001</v>
      </c>
      <c r="G44" s="1" t="str">
        <f>B44</f>
        <v>per 100 referrals</v>
      </c>
      <c r="L44" s="57">
        <v>100</v>
      </c>
      <c r="M44" s="57"/>
      <c r="R44" s="49"/>
    </row>
    <row r="45" spans="2:18" ht="15" hidden="1" customHeight="1">
      <c r="B45" s="49" t="s">
        <v>89</v>
      </c>
      <c r="C45" s="49">
        <f>C11/100</f>
        <v>0.85</v>
      </c>
      <c r="D45" s="49">
        <f>E11/100</f>
        <v>0.01</v>
      </c>
      <c r="E45" s="56">
        <f>MAX(C45:D45,0)</f>
        <v>0.85</v>
      </c>
      <c r="G45" s="1" t="str">
        <f>B45</f>
        <v>per 100 youth petitioned</v>
      </c>
      <c r="L45" s="57">
        <v>100</v>
      </c>
      <c r="M45" s="57"/>
      <c r="R45" s="49"/>
    </row>
    <row r="46" spans="2:18" ht="15" hidden="1" customHeight="1">
      <c r="B46" s="49" t="s">
        <v>90</v>
      </c>
      <c r="C46" s="49">
        <f>C12/100</f>
        <v>0.37</v>
      </c>
      <c r="D46" s="49">
        <f>E12/100</f>
        <v>0.01</v>
      </c>
      <c r="E46" s="56">
        <f>MAX(C46:D46)</f>
        <v>0.37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17.766999999999999</v>
      </c>
      <c r="D48" s="56">
        <f>D42</f>
        <v>0</v>
      </c>
      <c r="E48" s="56">
        <f>MAX(C48:D48)</f>
        <v>17.766999999999999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0.38</v>
      </c>
      <c r="D49" s="49">
        <f t="shared" si="9"/>
        <v>0</v>
      </c>
      <c r="E49" s="49">
        <f>MAX(C49:D49)</f>
        <v>0.38</v>
      </c>
      <c r="G49" s="1" t="str">
        <f>G43</f>
        <v>per 100 arrests</v>
      </c>
      <c r="L49" s="58">
        <f>IF(($E43&gt;0),L43,L42)</f>
        <v>100</v>
      </c>
      <c r="M49" s="58"/>
      <c r="N49" s="21"/>
      <c r="O49" s="21"/>
      <c r="P49" s="21"/>
      <c r="Q49" s="21"/>
      <c r="R49" s="21"/>
    </row>
    <row r="50" spans="2:18" ht="15" hidden="1" customHeight="1">
      <c r="B50" s="49" t="str">
        <f t="shared" si="9"/>
        <v>per 100 referrals</v>
      </c>
      <c r="C50" s="49">
        <f t="shared" si="9"/>
        <v>1.1100000000000001</v>
      </c>
      <c r="D50" s="49">
        <f t="shared" si="9"/>
        <v>0.01</v>
      </c>
      <c r="E50" s="49">
        <f>MAX(C50:D50)</f>
        <v>1.1100000000000001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0.85</v>
      </c>
      <c r="D51" s="49">
        <f>IF(($E45&gt;0),D45,D44)</f>
        <v>0.01</v>
      </c>
      <c r="E51" s="49">
        <f>MAX(C51:D51)</f>
        <v>0.85</v>
      </c>
      <c r="G51" s="1" t="str">
        <f>G45</f>
        <v>per 100 youth petitioned</v>
      </c>
      <c r="L51" s="58">
        <f>IF(($E45&gt;0),L45,L44)</f>
        <v>100</v>
      </c>
      <c r="M51" s="58"/>
    </row>
    <row r="52" spans="2:18" ht="15" hidden="1" customHeight="1">
      <c r="B52" s="49" t="str">
        <f>IF(($E46&gt;0),B46,B45)</f>
        <v>per 100 youth found delinquent</v>
      </c>
      <c r="C52" s="49">
        <f>IF(($E46&gt;0),C46,C45)</f>
        <v>0.37</v>
      </c>
      <c r="D52" s="49">
        <f>IF(($E46&gt;0),D46,D45)</f>
        <v>0.01</v>
      </c>
      <c r="E52" s="56">
        <f>MAX(C52:D52)</f>
        <v>0.37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17.766999999999999</v>
      </c>
      <c r="D54" s="56">
        <f>D48</f>
        <v>0</v>
      </c>
      <c r="E54" s="56">
        <f>MAX(C54:D54)</f>
        <v>17.766999999999999</v>
      </c>
      <c r="G54" s="1" t="str">
        <f>G48</f>
        <v>per 1000 youth</v>
      </c>
      <c r="L54" s="58">
        <f>L48</f>
        <v>1000</v>
      </c>
      <c r="M54" s="58"/>
    </row>
    <row r="55" spans="2:18" ht="15" hidden="1" customHeight="1">
      <c r="B55" s="49" t="str">
        <f t="shared" ref="B55:D56" si="10">IF(($E49&gt;0),B49,B48)</f>
        <v>per 100 arrests</v>
      </c>
      <c r="C55" s="49">
        <f t="shared" si="10"/>
        <v>0.38</v>
      </c>
      <c r="D55" s="49">
        <f t="shared" si="10"/>
        <v>0</v>
      </c>
      <c r="E55" s="49">
        <f>MAX(C55:D55)</f>
        <v>0.38</v>
      </c>
      <c r="G55" s="1" t="str">
        <f>G49</f>
        <v>per 100 arrests</v>
      </c>
      <c r="L55" s="58">
        <f>IF(($E49&gt;0),L49,L48)</f>
        <v>100</v>
      </c>
      <c r="M55" s="58"/>
    </row>
    <row r="56" spans="2:18" ht="15" hidden="1" customHeight="1">
      <c r="B56" s="49" t="str">
        <f t="shared" si="10"/>
        <v>per 100 referrals</v>
      </c>
      <c r="C56" s="49">
        <f t="shared" si="10"/>
        <v>1.1100000000000001</v>
      </c>
      <c r="D56" s="49">
        <f t="shared" si="10"/>
        <v>0.01</v>
      </c>
      <c r="E56" s="49">
        <f>MAX(C56:D56)</f>
        <v>1.1100000000000001</v>
      </c>
      <c r="G56" s="1" t="str">
        <f>G50</f>
        <v>per 100 referrals</v>
      </c>
      <c r="L56" s="58">
        <f>IF(($E50&gt;0),L50,L49)</f>
        <v>100</v>
      </c>
      <c r="M56" s="58"/>
    </row>
    <row r="57" spans="2:18" ht="15" hidden="1" customHeight="1">
      <c r="B57" s="49" t="str">
        <f>IF(($E51&gt;0),B51,B49)</f>
        <v>per 100 youth petitioned</v>
      </c>
      <c r="C57" s="49">
        <f>IF(($E51&gt;0),C51,C50)</f>
        <v>0.85</v>
      </c>
      <c r="D57" s="49">
        <f>IF(($E51&gt;0),D51,D50)</f>
        <v>0.01</v>
      </c>
      <c r="E57" s="49">
        <f>MAX(C57:D57)</f>
        <v>0.85</v>
      </c>
      <c r="G57" s="1" t="str">
        <f>G51</f>
        <v>per 100 youth petitioned</v>
      </c>
      <c r="L57" s="58">
        <f>IF(($E51&gt;0),L51,L50)</f>
        <v>100</v>
      </c>
      <c r="M57" s="58"/>
    </row>
    <row r="58" spans="2:18" ht="15" hidden="1" customHeight="1">
      <c r="B58" s="49" t="str">
        <f>IF(($E52&gt;0),B52,B51)</f>
        <v>per 100 youth found delinquent</v>
      </c>
      <c r="C58" s="49">
        <f>IF(($E52&gt;0),C52,C51)</f>
        <v>0.37</v>
      </c>
      <c r="D58" s="49">
        <f>IF(($E52&gt;0),D52,D51)</f>
        <v>0.01</v>
      </c>
      <c r="E58" s="56">
        <f>MAX(C58:D58)</f>
        <v>0.37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17.766999999999999</v>
      </c>
      <c r="D60" s="56">
        <f>D54</f>
        <v>0</v>
      </c>
      <c r="E60" s="56">
        <f>MAX(C60:D60)</f>
        <v>17.766999999999999</v>
      </c>
      <c r="G60" s="1" t="str">
        <f>G54</f>
        <v>per 1000 youth</v>
      </c>
      <c r="L60" s="58">
        <f>L54</f>
        <v>1000</v>
      </c>
      <c r="M60" s="58"/>
    </row>
    <row r="61" spans="2:18" ht="15" hidden="1" customHeight="1">
      <c r="B61" s="49" t="str">
        <f t="shared" ref="B61:D62" si="11">IF(($E55&gt;0),B55,B54)</f>
        <v>per 100 arrests</v>
      </c>
      <c r="C61" s="49">
        <f t="shared" si="11"/>
        <v>0.38</v>
      </c>
      <c r="D61" s="49">
        <f t="shared" si="11"/>
        <v>0</v>
      </c>
      <c r="E61" s="49">
        <f>MAX(C61:D61)</f>
        <v>0.38</v>
      </c>
      <c r="G61" s="1" t="str">
        <f>G55</f>
        <v>per 100 arrests</v>
      </c>
      <c r="L61" s="58">
        <f>IF(($E55&gt;0),L55,L54)</f>
        <v>100</v>
      </c>
      <c r="M61" s="58"/>
    </row>
    <row r="62" spans="2:18" ht="15" hidden="1" customHeight="1">
      <c r="B62" s="49" t="str">
        <f t="shared" si="11"/>
        <v>per 100 referrals</v>
      </c>
      <c r="C62" s="49">
        <f t="shared" si="11"/>
        <v>1.1100000000000001</v>
      </c>
      <c r="D62" s="49">
        <f t="shared" si="11"/>
        <v>0.01</v>
      </c>
      <c r="E62" s="49">
        <f>MAX(C62:D62)</f>
        <v>1.1100000000000001</v>
      </c>
      <c r="G62" s="1" t="str">
        <f>G56</f>
        <v>per 100 referrals</v>
      </c>
      <c r="L62" s="58">
        <f>IF(($E56&gt;0),L56,L55)</f>
        <v>100</v>
      </c>
      <c r="M62" s="58"/>
    </row>
    <row r="63" spans="2:18" ht="15" hidden="1" customHeight="1">
      <c r="B63" s="49" t="str">
        <f>IF(($E57&gt;0),B57,B55)</f>
        <v>per 100 youth petitioned</v>
      </c>
      <c r="C63" s="49">
        <f>IF(($E57&gt;0),C57,C56)</f>
        <v>0.85</v>
      </c>
      <c r="D63" s="49">
        <f>IF(($E57&gt;0),D57,D56)</f>
        <v>0.01</v>
      </c>
      <c r="E63" s="49">
        <f>MAX(C63:D63)</f>
        <v>0.85</v>
      </c>
      <c r="G63" s="1" t="str">
        <f>G57</f>
        <v>per 100 youth petitioned</v>
      </c>
      <c r="L63" s="58">
        <f>IF(($E57&gt;0),L57,L56)</f>
        <v>100</v>
      </c>
      <c r="M63" s="58"/>
    </row>
    <row r="64" spans="2:18" ht="15" hidden="1" customHeight="1">
      <c r="B64" s="49" t="str">
        <f>IF(($E58&gt;0),B58,B57)</f>
        <v>per 100 youth found delinquent</v>
      </c>
      <c r="C64" s="49">
        <f>IF(($E58&gt;0),C58,C57)</f>
        <v>0.37</v>
      </c>
      <c r="D64" s="49">
        <f>IF(($E58&gt;0),D58,D57)</f>
        <v>0.01</v>
      </c>
      <c r="E64" s="56">
        <f>MAX(C64:D64)</f>
        <v>0.37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17.766999999999999</v>
      </c>
      <c r="D66" s="56">
        <f>D60</f>
        <v>0</v>
      </c>
      <c r="E66" s="56">
        <f>MAX(C66:D66)</f>
        <v>17.766999999999999</v>
      </c>
      <c r="G66" s="1" t="str">
        <f>G60</f>
        <v>per 1000 youth</v>
      </c>
      <c r="L66" s="58">
        <f>L60</f>
        <v>1000</v>
      </c>
      <c r="M66" s="58">
        <f>IF((B66=G66),1,2)</f>
        <v>1</v>
      </c>
    </row>
    <row r="67" spans="2:13" ht="15" hidden="1" customHeight="1">
      <c r="B67" s="49" t="str">
        <f t="shared" ref="B67:D68" si="12">IF(($E61&gt;0),B61,B60)</f>
        <v>per 100 arrests</v>
      </c>
      <c r="C67" s="49">
        <f t="shared" si="12"/>
        <v>0.38</v>
      </c>
      <c r="D67" s="49">
        <f t="shared" si="12"/>
        <v>0</v>
      </c>
      <c r="E67" s="49">
        <f>MAX(C67:D67)</f>
        <v>0.38</v>
      </c>
      <c r="G67" s="1" t="str">
        <f>G61</f>
        <v>per 100 arrests</v>
      </c>
      <c r="L67" s="58">
        <f>IF(($E61&gt;0),L61,L60)</f>
        <v>100</v>
      </c>
      <c r="M67" s="58">
        <f>IF((B67=G67),1,2)</f>
        <v>1</v>
      </c>
    </row>
    <row r="68" spans="2:13" ht="15" hidden="1" customHeight="1">
      <c r="B68" s="49" t="str">
        <f t="shared" si="12"/>
        <v>per 100 referrals</v>
      </c>
      <c r="C68" s="49">
        <f t="shared" si="12"/>
        <v>1.1100000000000001</v>
      </c>
      <c r="D68" s="49">
        <f t="shared" si="12"/>
        <v>0.01</v>
      </c>
      <c r="E68" s="49">
        <f>MAX(C68:D68)</f>
        <v>1.1100000000000001</v>
      </c>
      <c r="G68" s="1" t="str">
        <f>G62</f>
        <v>per 100 referrals</v>
      </c>
      <c r="L68" s="58">
        <f>IF(($E62&gt;0),L62,L61)</f>
        <v>100</v>
      </c>
      <c r="M68" s="58">
        <f>IF((B68=G68),1,2)</f>
        <v>1</v>
      </c>
    </row>
    <row r="69" spans="2:13" ht="15" hidden="1" customHeight="1">
      <c r="B69" s="49" t="str">
        <f>IF(($E63&gt;0),B63,B61)</f>
        <v>per 100 youth petitioned</v>
      </c>
      <c r="C69" s="49">
        <f>IF(($E63&gt;0),C63,C62)</f>
        <v>0.85</v>
      </c>
      <c r="D69" s="49">
        <f>IF(($E63&gt;0),D63,D62)</f>
        <v>0.01</v>
      </c>
      <c r="E69" s="49">
        <f>MAX(C69:D69)</f>
        <v>0.85</v>
      </c>
      <c r="G69" s="1" t="str">
        <f>G63</f>
        <v>per 100 youth petitioned</v>
      </c>
      <c r="L69" s="58">
        <f>IF(($E63&gt;0),L63,L62)</f>
        <v>100</v>
      </c>
      <c r="M69" s="58">
        <f>IF((B69=G69),1,2)</f>
        <v>1</v>
      </c>
    </row>
    <row r="70" spans="2:13" ht="15" hidden="1" customHeight="1">
      <c r="B70" s="49" t="str">
        <f>IF(($E64&gt;0),B64,B63)</f>
        <v>per 100 youth found delinquent</v>
      </c>
      <c r="C70" s="49">
        <f>IF(($E64&gt;0),C64,C63)</f>
        <v>0.37</v>
      </c>
      <c r="D70" s="49">
        <f>IF(($E64&gt;0),D64,D63)</f>
        <v>0.01</v>
      </c>
      <c r="E70" s="56">
        <f>MAX(C70:D70)</f>
        <v>0.37</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Livingston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17767</v>
      </c>
      <c r="D6" s="34"/>
      <c r="E6" s="33">
        <f>'Data Entry'!H6</f>
        <v>91</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38</v>
      </c>
      <c r="D7" s="34">
        <f>IF((AND(C66&gt;0,C7&gt;0)),(C7/C66),0)</f>
        <v>2.1387966454663139</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91</v>
      </c>
      <c r="P7" s="42">
        <f t="shared" ref="P7:P15" si="4">C7</f>
        <v>38</v>
      </c>
      <c r="Q7" s="42">
        <f>C6-C7</f>
        <v>17729</v>
      </c>
      <c r="R7" s="42">
        <f t="shared" ref="R7:R15" si="5">SUM(N7:Q7)</f>
        <v>17858</v>
      </c>
      <c r="S7" s="30">
        <f t="shared" ref="S7:S15" si="6">R7*((((N7*Q7)-(O7*P7))^2))</f>
        <v>213541749512</v>
      </c>
      <c r="T7" s="30">
        <f t="shared" ref="T7:T15" si="7">(N7+O7)*(P7+Q7)*(N7+P7)*(O7+Q7)</f>
        <v>1094830256520</v>
      </c>
      <c r="U7" s="31">
        <f t="shared" ref="U7:U15" si="8">IF((S7&gt;0),S7/T7,"- -")</f>
        <v>0.19504553170713279</v>
      </c>
    </row>
    <row r="8" spans="2:21" ht="18" customHeight="1">
      <c r="B8" s="32" t="str">
        <f>'Data Entry'!A8</f>
        <v>3. Refer to Juvenile Court</v>
      </c>
      <c r="C8" s="33">
        <f>'Data Entry'!C8</f>
        <v>111</v>
      </c>
      <c r="D8" s="34">
        <f>IF((AND(C67&gt;0,C8&gt;0)),(C8/C67),0)</f>
        <v>292.10526315789474</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111</v>
      </c>
      <c r="Q8" s="42">
        <f>(C$67*L67)-C8</f>
        <v>-73</v>
      </c>
      <c r="R8" s="42">
        <f t="shared" si="5"/>
        <v>38.049999999999997</v>
      </c>
      <c r="S8" s="30">
        <f t="shared" si="6"/>
        <v>1172.0351250000003</v>
      </c>
      <c r="T8" s="30">
        <f t="shared" si="7"/>
        <v>-15385.155000000001</v>
      </c>
      <c r="U8" s="31">
        <f t="shared" si="8"/>
        <v>-7.6179611125139809E-2</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111.00000000000001</v>
      </c>
      <c r="R9" s="42">
        <f t="shared" si="5"/>
        <v>111.00000000000001</v>
      </c>
      <c r="S9" s="30">
        <f t="shared" si="6"/>
        <v>0</v>
      </c>
      <c r="T9" s="30">
        <f t="shared" si="7"/>
        <v>0</v>
      </c>
      <c r="U9" s="31" t="str">
        <f t="shared" si="8"/>
        <v>- -</v>
      </c>
    </row>
    <row r="10" spans="2:21" ht="18" customHeight="1">
      <c r="B10" s="32" t="str">
        <f>'Data Entry'!A10</f>
        <v>5. Cases Involving Secure Detention</v>
      </c>
      <c r="C10" s="33">
        <f>'Data Entry'!C10</f>
        <v>5</v>
      </c>
      <c r="D10" s="34">
        <f>IF(((AND(C68&gt;0,C10&gt;0))),(C10/(C68)),0)</f>
        <v>4.5045045045045038</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5</v>
      </c>
      <c r="Q10" s="42">
        <f>(C$68*L68)-C10</f>
        <v>106.00000000000001</v>
      </c>
      <c r="R10" s="42">
        <f t="shared" si="5"/>
        <v>111.00000000000001</v>
      </c>
      <c r="S10" s="30">
        <f t="shared" si="6"/>
        <v>0</v>
      </c>
      <c r="T10" s="30">
        <f t="shared" si="7"/>
        <v>0</v>
      </c>
      <c r="U10" s="31" t="str">
        <f t="shared" si="8"/>
        <v>- -</v>
      </c>
    </row>
    <row r="11" spans="2:21" ht="18" customHeight="1">
      <c r="B11" s="32" t="str">
        <f>'Data Entry'!A11</f>
        <v>6. Cases Petitioned (Charge Filed)</v>
      </c>
      <c r="C11" s="33">
        <f>'Data Entry'!C11</f>
        <v>85</v>
      </c>
      <c r="D11" s="34">
        <f>IF(((AND(C68&gt;0,C11&gt;0))),(C11/(C68)),0)</f>
        <v>76.576576576576571</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85</v>
      </c>
      <c r="Q11" s="42">
        <f>(C$68*L68)-C11</f>
        <v>26.000000000000014</v>
      </c>
      <c r="R11" s="42">
        <f t="shared" si="5"/>
        <v>111.00000000000001</v>
      </c>
      <c r="S11" s="30">
        <f t="shared" si="6"/>
        <v>0</v>
      </c>
      <c r="T11" s="30">
        <f t="shared" si="7"/>
        <v>0</v>
      </c>
      <c r="U11" s="31" t="str">
        <f t="shared" si="8"/>
        <v>- -</v>
      </c>
    </row>
    <row r="12" spans="2:21" ht="18" customHeight="1">
      <c r="B12" s="32" t="str">
        <f>'Data Entry'!A12</f>
        <v>7. Cases Resulting in Delinquent Findings</v>
      </c>
      <c r="C12" s="33">
        <f>'Data Entry'!C12</f>
        <v>37</v>
      </c>
      <c r="D12" s="34">
        <f>IF(((AND(C69&gt;0,C12&gt;0))),(C12/(C69)),0)</f>
        <v>43.529411764705884</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37</v>
      </c>
      <c r="Q12" s="42">
        <f>(C69*L69)-C12</f>
        <v>48</v>
      </c>
      <c r="R12" s="42">
        <f t="shared" si="5"/>
        <v>85</v>
      </c>
      <c r="S12" s="30">
        <f t="shared" si="6"/>
        <v>0</v>
      </c>
      <c r="T12" s="30">
        <f t="shared" si="7"/>
        <v>0</v>
      </c>
      <c r="U12" s="31" t="str">
        <f t="shared" si="8"/>
        <v>- -</v>
      </c>
    </row>
    <row r="13" spans="2:21" ht="18" customHeight="1">
      <c r="B13" s="32" t="str">
        <f>'Data Entry'!A13</f>
        <v>8. Cases Resulting in Probation Placement</v>
      </c>
      <c r="C13" s="33">
        <f>'Data Entry'!C13</f>
        <v>49</v>
      </c>
      <c r="D13" s="34">
        <f>IF(((AND(C70&gt;0,C13&gt;0))),(C13/(C70)),0)</f>
        <v>132.43243243243242</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49</v>
      </c>
      <c r="Q13" s="42">
        <f>(C70*L70)-C13</f>
        <v>-12</v>
      </c>
      <c r="R13" s="42">
        <f t="shared" si="5"/>
        <v>37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10</v>
      </c>
      <c r="D14" s="34">
        <f>IF(((AND(C70&gt;0,C14&gt;0))), ((C14/(C70))),0)</f>
        <v>27.027027027027028</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10</v>
      </c>
      <c r="Q14" s="42">
        <f>(C70*L70)-C14</f>
        <v>27</v>
      </c>
      <c r="R14" s="42">
        <f t="shared" si="5"/>
        <v>37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85</v>
      </c>
      <c r="R15" s="42">
        <f t="shared" si="5"/>
        <v>85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17.766999999999999</v>
      </c>
      <c r="D42" s="56">
        <f>E6/1000</f>
        <v>9.0999999999999998E-2</v>
      </c>
      <c r="E42" s="56">
        <f>MAX(C42:D42)</f>
        <v>17.766999999999999</v>
      </c>
      <c r="G42" s="1" t="str">
        <f>B42</f>
        <v>per 1000 youth</v>
      </c>
      <c r="L42" s="57">
        <v>1000</v>
      </c>
      <c r="M42" s="57"/>
      <c r="R42" s="49"/>
    </row>
    <row r="43" spans="2:18" ht="15" hidden="1" customHeight="1">
      <c r="B43" s="49" t="s">
        <v>87</v>
      </c>
      <c r="C43" s="56">
        <f>C7/100</f>
        <v>0.38</v>
      </c>
      <c r="D43" s="56">
        <f>E7/100</f>
        <v>0</v>
      </c>
      <c r="E43" s="56">
        <f>MAX(C43:D43,0)</f>
        <v>0.38</v>
      </c>
      <c r="G43" s="1" t="str">
        <f>B43</f>
        <v>per 100 arrests</v>
      </c>
      <c r="L43" s="57">
        <v>100</v>
      </c>
      <c r="M43" s="57"/>
      <c r="R43" s="49"/>
    </row>
    <row r="44" spans="2:18" ht="15" hidden="1" customHeight="1">
      <c r="B44" s="49" t="s">
        <v>88</v>
      </c>
      <c r="C44" s="56">
        <f>C8/100</f>
        <v>1.1100000000000001</v>
      </c>
      <c r="D44" s="56">
        <f>E8/100</f>
        <v>0</v>
      </c>
      <c r="E44" s="56">
        <f>MAX(C44:D44,0)</f>
        <v>1.1100000000000001</v>
      </c>
      <c r="G44" s="1" t="str">
        <f>B44</f>
        <v>per 100 referrals</v>
      </c>
      <c r="L44" s="57">
        <v>100</v>
      </c>
      <c r="M44" s="57"/>
      <c r="R44" s="49"/>
    </row>
    <row r="45" spans="2:18" ht="15" hidden="1" customHeight="1">
      <c r="B45" s="49" t="s">
        <v>89</v>
      </c>
      <c r="C45" s="49">
        <f>C11/100</f>
        <v>0.85</v>
      </c>
      <c r="D45" s="49">
        <f>E11/100</f>
        <v>0</v>
      </c>
      <c r="E45" s="56">
        <f>MAX(C45:D45,0)</f>
        <v>0.85</v>
      </c>
      <c r="G45" s="1" t="str">
        <f>B45</f>
        <v>per 100 youth petitioned</v>
      </c>
      <c r="L45" s="57">
        <v>100</v>
      </c>
      <c r="M45" s="57"/>
      <c r="R45" s="49"/>
    </row>
    <row r="46" spans="2:18" ht="15" hidden="1" customHeight="1">
      <c r="B46" s="49" t="s">
        <v>90</v>
      </c>
      <c r="C46" s="49">
        <f>C12/100</f>
        <v>0.37</v>
      </c>
      <c r="D46" s="49">
        <f>E12/100</f>
        <v>0</v>
      </c>
      <c r="E46" s="56">
        <f>MAX(C46:D46)</f>
        <v>0.37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17.766999999999999</v>
      </c>
      <c r="D48" s="56">
        <f>D42</f>
        <v>9.0999999999999998E-2</v>
      </c>
      <c r="E48" s="56">
        <f>MAX(C48:D48)</f>
        <v>17.766999999999999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0.38</v>
      </c>
      <c r="D49" s="49">
        <f t="shared" si="9"/>
        <v>0</v>
      </c>
      <c r="E49" s="49">
        <f>MAX(C49:D49)</f>
        <v>0.38</v>
      </c>
      <c r="G49" s="1" t="str">
        <f>G43</f>
        <v>per 100 arrests</v>
      </c>
      <c r="L49" s="58">
        <f>IF(($E43&gt;0),L43,L42)</f>
        <v>100</v>
      </c>
      <c r="M49" s="58"/>
      <c r="N49" s="21"/>
      <c r="O49" s="21"/>
      <c r="P49" s="21"/>
      <c r="Q49" s="21"/>
      <c r="R49" s="21"/>
    </row>
    <row r="50" spans="2:18" ht="15" hidden="1" customHeight="1">
      <c r="B50" s="49" t="str">
        <f t="shared" si="9"/>
        <v>per 100 referrals</v>
      </c>
      <c r="C50" s="49">
        <f t="shared" si="9"/>
        <v>1.1100000000000001</v>
      </c>
      <c r="D50" s="49">
        <f t="shared" si="9"/>
        <v>0</v>
      </c>
      <c r="E50" s="49">
        <f>MAX(C50:D50)</f>
        <v>1.1100000000000001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0.85</v>
      </c>
      <c r="D51" s="49">
        <f>IF(($E45&gt;0),D45,D44)</f>
        <v>0</v>
      </c>
      <c r="E51" s="49">
        <f>MAX(C51:D51)</f>
        <v>0.85</v>
      </c>
      <c r="G51" s="1" t="str">
        <f>G45</f>
        <v>per 100 youth petitioned</v>
      </c>
      <c r="L51" s="58">
        <f>IF(($E45&gt;0),L45,L44)</f>
        <v>100</v>
      </c>
      <c r="M51" s="58"/>
    </row>
    <row r="52" spans="2:18" ht="15" hidden="1" customHeight="1">
      <c r="B52" s="49" t="str">
        <f>IF(($E46&gt;0),B46,B45)</f>
        <v>per 100 youth found delinquent</v>
      </c>
      <c r="C52" s="49">
        <f>IF(($E46&gt;0),C46,C45)</f>
        <v>0.37</v>
      </c>
      <c r="D52" s="49">
        <f>IF(($E46&gt;0),D46,D45)</f>
        <v>0</v>
      </c>
      <c r="E52" s="56">
        <f>MAX(C52:D52)</f>
        <v>0.37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17.766999999999999</v>
      </c>
      <c r="D54" s="56">
        <f>D48</f>
        <v>9.0999999999999998E-2</v>
      </c>
      <c r="E54" s="56">
        <f>MAX(C54:D54)</f>
        <v>17.766999999999999</v>
      </c>
      <c r="G54" s="1" t="str">
        <f>G48</f>
        <v>per 1000 youth</v>
      </c>
      <c r="L54" s="58">
        <f>L48</f>
        <v>1000</v>
      </c>
      <c r="M54" s="58"/>
    </row>
    <row r="55" spans="2:18" ht="15" hidden="1" customHeight="1">
      <c r="B55" s="49" t="str">
        <f t="shared" ref="B55:D56" si="10">IF(($E49&gt;0),B49,B48)</f>
        <v>per 100 arrests</v>
      </c>
      <c r="C55" s="49">
        <f t="shared" si="10"/>
        <v>0.38</v>
      </c>
      <c r="D55" s="49">
        <f t="shared" si="10"/>
        <v>0</v>
      </c>
      <c r="E55" s="49">
        <f>MAX(C55:D55)</f>
        <v>0.38</v>
      </c>
      <c r="G55" s="1" t="str">
        <f>G49</f>
        <v>per 100 arrests</v>
      </c>
      <c r="L55" s="58">
        <f>IF(($E49&gt;0),L49,L48)</f>
        <v>100</v>
      </c>
      <c r="M55" s="58"/>
    </row>
    <row r="56" spans="2:18" ht="15" hidden="1" customHeight="1">
      <c r="B56" s="49" t="str">
        <f t="shared" si="10"/>
        <v>per 100 referrals</v>
      </c>
      <c r="C56" s="49">
        <f t="shared" si="10"/>
        <v>1.1100000000000001</v>
      </c>
      <c r="D56" s="49">
        <f t="shared" si="10"/>
        <v>0</v>
      </c>
      <c r="E56" s="49">
        <f>MAX(C56:D56)</f>
        <v>1.1100000000000001</v>
      </c>
      <c r="G56" s="1" t="str">
        <f>G50</f>
        <v>per 100 referrals</v>
      </c>
      <c r="L56" s="58">
        <f>IF(($E50&gt;0),L50,L49)</f>
        <v>100</v>
      </c>
      <c r="M56" s="58"/>
    </row>
    <row r="57" spans="2:18" ht="15" hidden="1" customHeight="1">
      <c r="B57" s="49" t="str">
        <f>IF(($E51&gt;0),B51,B49)</f>
        <v>per 100 youth petitioned</v>
      </c>
      <c r="C57" s="49">
        <f>IF(($E51&gt;0),C51,C50)</f>
        <v>0.85</v>
      </c>
      <c r="D57" s="49">
        <f>IF(($E51&gt;0),D51,D50)</f>
        <v>0</v>
      </c>
      <c r="E57" s="49">
        <f>MAX(C57:D57)</f>
        <v>0.85</v>
      </c>
      <c r="G57" s="1" t="str">
        <f>G51</f>
        <v>per 100 youth petitioned</v>
      </c>
      <c r="L57" s="58">
        <f>IF(($E51&gt;0),L51,L50)</f>
        <v>100</v>
      </c>
      <c r="M57" s="58"/>
    </row>
    <row r="58" spans="2:18" ht="15" hidden="1" customHeight="1">
      <c r="B58" s="49" t="str">
        <f>IF(($E52&gt;0),B52,B51)</f>
        <v>per 100 youth found delinquent</v>
      </c>
      <c r="C58" s="49">
        <f>IF(($E52&gt;0),C52,C51)</f>
        <v>0.37</v>
      </c>
      <c r="D58" s="49">
        <f>IF(($E52&gt;0),D52,D51)</f>
        <v>0</v>
      </c>
      <c r="E58" s="56">
        <f>MAX(C58:D58)</f>
        <v>0.37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17.766999999999999</v>
      </c>
      <c r="D60" s="56">
        <f>D54</f>
        <v>9.0999999999999998E-2</v>
      </c>
      <c r="E60" s="56">
        <f>MAX(C60:D60)</f>
        <v>17.766999999999999</v>
      </c>
      <c r="G60" s="1" t="str">
        <f>G54</f>
        <v>per 1000 youth</v>
      </c>
      <c r="L60" s="58">
        <f>L54</f>
        <v>1000</v>
      </c>
      <c r="M60" s="58"/>
    </row>
    <row r="61" spans="2:18" ht="15" hidden="1" customHeight="1">
      <c r="B61" s="49" t="str">
        <f t="shared" ref="B61:D62" si="11">IF(($E55&gt;0),B55,B54)</f>
        <v>per 100 arrests</v>
      </c>
      <c r="C61" s="49">
        <f t="shared" si="11"/>
        <v>0.38</v>
      </c>
      <c r="D61" s="49">
        <f t="shared" si="11"/>
        <v>0</v>
      </c>
      <c r="E61" s="49">
        <f>MAX(C61:D61)</f>
        <v>0.38</v>
      </c>
      <c r="G61" s="1" t="str">
        <f>G55</f>
        <v>per 100 arrests</v>
      </c>
      <c r="L61" s="58">
        <f>IF(($E55&gt;0),L55,L54)</f>
        <v>100</v>
      </c>
      <c r="M61" s="58"/>
    </row>
    <row r="62" spans="2:18" ht="15" hidden="1" customHeight="1">
      <c r="B62" s="49" t="str">
        <f t="shared" si="11"/>
        <v>per 100 referrals</v>
      </c>
      <c r="C62" s="49">
        <f t="shared" si="11"/>
        <v>1.1100000000000001</v>
      </c>
      <c r="D62" s="49">
        <f t="shared" si="11"/>
        <v>0</v>
      </c>
      <c r="E62" s="49">
        <f>MAX(C62:D62)</f>
        <v>1.1100000000000001</v>
      </c>
      <c r="G62" s="1" t="str">
        <f>G56</f>
        <v>per 100 referrals</v>
      </c>
      <c r="L62" s="58">
        <f>IF(($E56&gt;0),L56,L55)</f>
        <v>100</v>
      </c>
      <c r="M62" s="58"/>
    </row>
    <row r="63" spans="2:18" ht="15" hidden="1" customHeight="1">
      <c r="B63" s="49" t="str">
        <f>IF(($E57&gt;0),B57,B55)</f>
        <v>per 100 youth petitioned</v>
      </c>
      <c r="C63" s="49">
        <f>IF(($E57&gt;0),C57,C56)</f>
        <v>0.85</v>
      </c>
      <c r="D63" s="49">
        <f>IF(($E57&gt;0),D57,D56)</f>
        <v>0</v>
      </c>
      <c r="E63" s="49">
        <f>MAX(C63:D63)</f>
        <v>0.85</v>
      </c>
      <c r="G63" s="1" t="str">
        <f>G57</f>
        <v>per 100 youth petitioned</v>
      </c>
      <c r="L63" s="58">
        <f>IF(($E57&gt;0),L57,L56)</f>
        <v>100</v>
      </c>
      <c r="M63" s="58"/>
    </row>
    <row r="64" spans="2:18" ht="15" hidden="1" customHeight="1">
      <c r="B64" s="49" t="str">
        <f>IF(($E58&gt;0),B58,B57)</f>
        <v>per 100 youth found delinquent</v>
      </c>
      <c r="C64" s="49">
        <f>IF(($E58&gt;0),C58,C57)</f>
        <v>0.37</v>
      </c>
      <c r="D64" s="49">
        <f>IF(($E58&gt;0),D58,D57)</f>
        <v>0</v>
      </c>
      <c r="E64" s="56">
        <f>MAX(C64:D64)</f>
        <v>0.37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17.766999999999999</v>
      </c>
      <c r="D66" s="56">
        <f>D60</f>
        <v>9.0999999999999998E-2</v>
      </c>
      <c r="E66" s="56">
        <f>MAX(C66:D66)</f>
        <v>17.766999999999999</v>
      </c>
      <c r="G66" s="1" t="str">
        <f>G60</f>
        <v>per 1000 youth</v>
      </c>
      <c r="L66" s="58">
        <f>L60</f>
        <v>1000</v>
      </c>
      <c r="M66" s="58">
        <f>IF((B66=G66),1,2)</f>
        <v>1</v>
      </c>
    </row>
    <row r="67" spans="2:13" ht="15" hidden="1" customHeight="1">
      <c r="B67" s="49" t="str">
        <f t="shared" ref="B67:D68" si="12">IF(($E61&gt;0),B61,B60)</f>
        <v>per 100 arrests</v>
      </c>
      <c r="C67" s="49">
        <f t="shared" si="12"/>
        <v>0.38</v>
      </c>
      <c r="D67" s="49">
        <f t="shared" si="12"/>
        <v>0</v>
      </c>
      <c r="E67" s="49">
        <f>MAX(C67:D67)</f>
        <v>0.38</v>
      </c>
      <c r="G67" s="1" t="str">
        <f>G61</f>
        <v>per 100 arrests</v>
      </c>
      <c r="L67" s="58">
        <f>IF(($E61&gt;0),L61,L60)</f>
        <v>100</v>
      </c>
      <c r="M67" s="58">
        <f>IF((B67=G67),1,2)</f>
        <v>1</v>
      </c>
    </row>
    <row r="68" spans="2:13" ht="15" hidden="1" customHeight="1">
      <c r="B68" s="49" t="str">
        <f t="shared" si="12"/>
        <v>per 100 referrals</v>
      </c>
      <c r="C68" s="49">
        <f t="shared" si="12"/>
        <v>1.1100000000000001</v>
      </c>
      <c r="D68" s="49">
        <f t="shared" si="12"/>
        <v>0</v>
      </c>
      <c r="E68" s="49">
        <f>MAX(C68:D68)</f>
        <v>1.1100000000000001</v>
      </c>
      <c r="G68" s="1" t="str">
        <f>G62</f>
        <v>per 100 referrals</v>
      </c>
      <c r="L68" s="58">
        <f>IF(($E62&gt;0),L62,L61)</f>
        <v>100</v>
      </c>
      <c r="M68" s="58">
        <f>IF((B68=G68),1,2)</f>
        <v>1</v>
      </c>
    </row>
    <row r="69" spans="2:13" ht="15" hidden="1" customHeight="1">
      <c r="B69" s="49" t="str">
        <f>IF(($E63&gt;0),B63,B61)</f>
        <v>per 100 youth petitioned</v>
      </c>
      <c r="C69" s="49">
        <f>IF(($E63&gt;0),C63,C62)</f>
        <v>0.85</v>
      </c>
      <c r="D69" s="49">
        <f>IF(($E63&gt;0),D63,D62)</f>
        <v>0</v>
      </c>
      <c r="E69" s="49">
        <f>MAX(C69:D69)</f>
        <v>0.85</v>
      </c>
      <c r="G69" s="1" t="str">
        <f>G63</f>
        <v>per 100 youth petitioned</v>
      </c>
      <c r="L69" s="58">
        <f>IF(($E63&gt;0),L63,L62)</f>
        <v>100</v>
      </c>
      <c r="M69" s="58">
        <f>IF((B69=G69),1,2)</f>
        <v>1</v>
      </c>
    </row>
    <row r="70" spans="2:13" ht="15" hidden="1" customHeight="1">
      <c r="B70" s="49" t="str">
        <f>IF(($E64&gt;0),B64,B63)</f>
        <v>per 100 youth found delinquent</v>
      </c>
      <c r="C70" s="49">
        <f>IF(($E64&gt;0),C64,C63)</f>
        <v>0.37</v>
      </c>
      <c r="D70" s="49">
        <f>IF(($E64&gt;0),D64,D63)</f>
        <v>0</v>
      </c>
      <c r="E70" s="56">
        <f>MAX(C70:D70)</f>
        <v>0.37</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U47JMPN4QEAR-1806752177-35365</_dlc_DocId>
    <_dlc_DocIdUrl xmlns="ac3811b5-0f3e-49e2-ba69-f2ffa0c782af">
      <Url>https://michiganphi.sharepoint.com/sites/CMDMC/_layouts/15/DocIdRedir.aspx?ID=U47JMPN4QEAR-1806752177-35365</Url>
      <Description>U47JMPN4QEAR-1806752177-35365</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9F89DE8-4854-439F-A06E-2D4783598EE2}"/>
</file>

<file path=customXml/itemProps2.xml><?xml version="1.0" encoding="utf-8"?>
<ds:datastoreItem xmlns:ds="http://schemas.openxmlformats.org/officeDocument/2006/customXml" ds:itemID="{364C2084-A7C1-4D35-87FB-29884C9EB4BE}">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3.xml><?xml version="1.0" encoding="utf-8"?>
<ds:datastoreItem xmlns:ds="http://schemas.openxmlformats.org/officeDocument/2006/customXml" ds:itemID="{605332DF-9FF7-410D-AAB1-81E92B1EAF40}">
  <ds:schemaRefs>
    <ds:schemaRef ds:uri="http://schemas.microsoft.com/sharepoint/v3/contenttype/forms"/>
  </ds:schemaRefs>
</ds:datastoreItem>
</file>

<file path=customXml/itemProps4.xml><?xml version="1.0" encoding="utf-8"?>
<ds:datastoreItem xmlns:ds="http://schemas.openxmlformats.org/officeDocument/2006/customXml" ds:itemID="{E9C3212A-4613-478F-94A1-B893AD42D62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e51bf3aa-403f-4c19-b9a1-bec4e54fe043</vt:lpwstr>
  </property>
</Properties>
</file>