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6" documentId="8_{92FD2327-4440-48E4-9FB1-E2A2151807F3}" xr6:coauthVersionLast="47" xr6:coauthVersionMax="47" xr10:uidLastSave="{08A7E329-7D62-402D-8474-B7625F099BD0}"/>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8" i="3" s="1"/>
  <c r="G54" i="3" s="1"/>
  <c r="G60" i="3" s="1"/>
  <c r="G66" i="3" s="1"/>
  <c r="G43" i="3"/>
  <c r="G49" i="3"/>
  <c r="G55" i="3"/>
  <c r="G61" i="3" s="1"/>
  <c r="G67" i="3" s="1"/>
  <c r="G44" i="3"/>
  <c r="G50" i="3" s="1"/>
  <c r="G56" i="3" s="1"/>
  <c r="G62" i="3" s="1"/>
  <c r="G68" i="3" s="1"/>
  <c r="G45" i="3"/>
  <c r="G46" i="3"/>
  <c r="L48" i="3"/>
  <c r="L54" i="3" s="1"/>
  <c r="L60" i="3" s="1"/>
  <c r="L66" i="3" s="1"/>
  <c r="G51" i="3"/>
  <c r="G57" i="3" s="1"/>
  <c r="G63" i="3" s="1"/>
  <c r="G69" i="3" s="1"/>
  <c r="G52" i="3"/>
  <c r="G58" i="3" s="1"/>
  <c r="G64" i="3" s="1"/>
  <c r="G70" i="3" s="1"/>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L54" i="8" s="1"/>
  <c r="L60" i="8" s="1"/>
  <c r="L66" i="8" s="1"/>
  <c r="G50" i="8"/>
  <c r="G56" i="8" s="1"/>
  <c r="G62" i="8" s="1"/>
  <c r="G68"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4" l="1"/>
  <c r="F27" i="4"/>
  <c r="F27" i="5"/>
  <c r="M66" i="5"/>
  <c r="F27" i="2"/>
  <c r="M66" i="2"/>
  <c r="F27" i="8"/>
  <c r="M66" i="8"/>
  <c r="M66" i="7"/>
  <c r="F27" i="7"/>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L52" i="7" s="1"/>
  <c r="E44" i="6"/>
  <c r="B50" i="6" s="1"/>
  <c r="E46" i="3"/>
  <c r="L52" i="3" s="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B52" i="3"/>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7" l="1"/>
  <c r="B52" i="7"/>
  <c r="L49" i="7"/>
  <c r="D52" i="3"/>
  <c r="L50" i="6"/>
  <c r="C50" i="6"/>
  <c r="D50" i="6"/>
  <c r="D50" i="5"/>
  <c r="E50" i="5" s="1"/>
  <c r="L56"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C54" i="7"/>
  <c r="E48" i="7"/>
  <c r="E49" i="6"/>
  <c r="E49" i="7"/>
  <c r="E48" i="5"/>
  <c r="C54" i="5"/>
  <c r="C54" i="6"/>
  <c r="E48" i="6"/>
  <c r="B51" i="6"/>
  <c r="D51" i="6"/>
  <c r="C51" i="6"/>
  <c r="L51" i="6"/>
  <c r="E52" i="3" l="1"/>
  <c r="L51" i="2"/>
  <c r="E50" i="6"/>
  <c r="E49" i="5"/>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C64" i="5"/>
  <c r="L64" i="5"/>
  <c r="D64" i="5"/>
  <c r="B56" i="8"/>
  <c r="L56" i="8"/>
  <c r="E58"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E64" i="5"/>
  <c r="Q8" i="13"/>
  <c r="D64" i="8"/>
  <c r="C63" i="3"/>
  <c r="L64" i="8"/>
  <c r="E57" i="8"/>
  <c r="B63" i="8" s="1"/>
  <c r="B64" i="8"/>
  <c r="C64" i="8"/>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B70" i="5"/>
  <c r="F33" i="5" s="1"/>
  <c r="C70" i="5"/>
  <c r="D13" i="5" s="1"/>
  <c r="D70" i="5"/>
  <c r="F14" i="5" s="1"/>
  <c r="L69" i="7"/>
  <c r="C69" i="7"/>
  <c r="D12" i="7" s="1"/>
  <c r="E64" i="8"/>
  <c r="B70" i="8" s="1"/>
  <c r="M70" i="8" s="1"/>
  <c r="E63" i="3"/>
  <c r="C69" i="3" s="1"/>
  <c r="D12" i="3" s="1"/>
  <c r="D70" i="6"/>
  <c r="L63" i="8"/>
  <c r="D63" i="8"/>
  <c r="C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5" l="1"/>
  <c r="D14" i="5"/>
  <c r="Q13" i="5"/>
  <c r="Q14" i="5"/>
  <c r="F34" i="5"/>
  <c r="F13" i="5"/>
  <c r="O14" i="5"/>
  <c r="K14" i="5" s="1"/>
  <c r="Q15" i="7"/>
  <c r="O13" i="5"/>
  <c r="M70" i="5"/>
  <c r="E70" i="6"/>
  <c r="C70" i="8"/>
  <c r="D13" i="8" s="1"/>
  <c r="D15" i="7"/>
  <c r="Q12" i="7"/>
  <c r="D15" i="3"/>
  <c r="B69" i="3"/>
  <c r="M69" i="3" s="1"/>
  <c r="D70" i="8"/>
  <c r="F13" i="8" s="1"/>
  <c r="L70" i="8"/>
  <c r="D69" i="3"/>
  <c r="E69" i="3" s="1"/>
  <c r="L69" i="3"/>
  <c r="Q12" i="3" s="1"/>
  <c r="O14" i="6"/>
  <c r="O13" i="6"/>
  <c r="F14" i="6"/>
  <c r="F13" i="6"/>
  <c r="B69" i="6"/>
  <c r="M69" i="6" s="1"/>
  <c r="E63" i="8"/>
  <c r="D69" i="8" s="1"/>
  <c r="F12" i="8" s="1"/>
  <c r="C69" i="6"/>
  <c r="D12" i="6" s="1"/>
  <c r="D13" i="3"/>
  <c r="D13" i="6"/>
  <c r="O13" i="3"/>
  <c r="F14" i="3"/>
  <c r="E69" i="7"/>
  <c r="Q14" i="3"/>
  <c r="F12" i="7"/>
  <c r="O12" i="7"/>
  <c r="D14" i="6"/>
  <c r="O15" i="7"/>
  <c r="Q13" i="3"/>
  <c r="Q13" i="6"/>
  <c r="Q14" i="6"/>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F8" i="2"/>
  <c r="T14" i="4"/>
  <c r="B70" i="2"/>
  <c r="F33" i="2" s="1"/>
  <c r="D69" i="5"/>
  <c r="O15" i="5" s="1"/>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F34" i="8"/>
  <c r="F33" i="8"/>
  <c r="C70" i="2"/>
  <c r="D14" i="2" s="1"/>
  <c r="T14" i="5"/>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5" l="1"/>
  <c r="S14" i="5" s="1"/>
  <c r="U14" i="5" s="1"/>
  <c r="J14" i="5" s="1"/>
  <c r="M14" i="5" s="1"/>
  <c r="K13" i="5"/>
  <c r="R13" i="5"/>
  <c r="S13" i="5" s="1"/>
  <c r="U13" i="5" s="1"/>
  <c r="J13" i="5" s="1"/>
  <c r="M13" i="5" s="1"/>
  <c r="F35" i="6"/>
  <c r="R15" i="7"/>
  <c r="S15" i="7" s="1"/>
  <c r="U15" i="7" s="1"/>
  <c r="J15" i="7" s="1"/>
  <c r="M15" i="7" s="1"/>
  <c r="D14" i="8"/>
  <c r="F14" i="8"/>
  <c r="Q13" i="8"/>
  <c r="T13" i="5"/>
  <c r="F35" i="3"/>
  <c r="K13" i="3"/>
  <c r="T14" i="6"/>
  <c r="F15" i="3"/>
  <c r="F12" i="3"/>
  <c r="U14" i="4"/>
  <c r="J14" i="4" s="1"/>
  <c r="M14" i="4" s="1"/>
  <c r="G14" i="4" s="1"/>
  <c r="G15" i="16" s="1"/>
  <c r="G11" i="3"/>
  <c r="E11" i="9" s="1"/>
  <c r="O15" i="6"/>
  <c r="U10" i="3"/>
  <c r="J10" i="3" s="1"/>
  <c r="M10" i="3" s="1"/>
  <c r="G10" i="3" s="1"/>
  <c r="I11" i="16" s="1"/>
  <c r="T12" i="7"/>
  <c r="F32" i="3"/>
  <c r="O13" i="8"/>
  <c r="E70" i="8"/>
  <c r="O15" i="3"/>
  <c r="Q14" i="8"/>
  <c r="O14" i="8"/>
  <c r="U10" i="4"/>
  <c r="J10" i="4" s="1"/>
  <c r="M10" i="4" s="1"/>
  <c r="G10" i="4" s="1"/>
  <c r="G11" i="16" s="1"/>
  <c r="Q15" i="3"/>
  <c r="O12" i="3"/>
  <c r="R12" i="3" s="1"/>
  <c r="S12" i="3" s="1"/>
  <c r="Q12" i="6"/>
  <c r="R13" i="6"/>
  <c r="S13" i="6" s="1"/>
  <c r="U13" i="6" s="1"/>
  <c r="J13" i="6" s="1"/>
  <c r="M13" i="6" s="1"/>
  <c r="G13" i="6" s="1"/>
  <c r="G13" i="9" s="1"/>
  <c r="R14" i="6"/>
  <c r="S14" i="6" s="1"/>
  <c r="U14" i="6" s="1"/>
  <c r="J14" i="6" s="1"/>
  <c r="M14" i="6" s="1"/>
  <c r="G14" i="6" s="1"/>
  <c r="M15" i="13" s="1"/>
  <c r="F32" i="6"/>
  <c r="K15" i="7"/>
  <c r="D15" i="6"/>
  <c r="E69" i="6"/>
  <c r="Q15" i="6"/>
  <c r="R12" i="7"/>
  <c r="S12" i="7" s="1"/>
  <c r="K13" i="6"/>
  <c r="T13" i="6"/>
  <c r="K14" i="6"/>
  <c r="K12" i="7"/>
  <c r="C69" i="8"/>
  <c r="E69" i="8" s="1"/>
  <c r="F15" i="8"/>
  <c r="B69" i="8"/>
  <c r="M69" i="8" s="1"/>
  <c r="L69" i="8"/>
  <c r="O15" i="8" s="1"/>
  <c r="O12" i="6"/>
  <c r="R14" i="3"/>
  <c r="S14" i="3" s="1"/>
  <c r="T13" i="3"/>
  <c r="K14" i="3"/>
  <c r="T14" i="3"/>
  <c r="R13" i="3"/>
  <c r="S13" i="3" s="1"/>
  <c r="T15" i="7"/>
  <c r="F15" i="6"/>
  <c r="L13" i="4"/>
  <c r="O14" i="16" s="1"/>
  <c r="L11" i="4"/>
  <c r="O12" i="16" s="1"/>
  <c r="K8" i="7"/>
  <c r="O13" i="2"/>
  <c r="T8" i="7"/>
  <c r="U8" i="7" s="1"/>
  <c r="J8" i="7" s="1"/>
  <c r="M8" i="7" s="1"/>
  <c r="T13" i="7"/>
  <c r="Q10" i="7"/>
  <c r="F13" i="2"/>
  <c r="Q11" i="7"/>
  <c r="R8" i="6"/>
  <c r="S8" i="6" s="1"/>
  <c r="F14" i="2"/>
  <c r="F10" i="7"/>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D13" i="2"/>
  <c r="E70" i="2"/>
  <c r="Q14" i="2"/>
  <c r="K14" i="2" s="1"/>
  <c r="M13" i="4"/>
  <c r="G13" i="4" s="1"/>
  <c r="G14" i="16" s="1"/>
  <c r="L9" i="4"/>
  <c r="O10" i="16" s="1"/>
  <c r="R13" i="7"/>
  <c r="S13" i="7" s="1"/>
  <c r="Q13" i="2"/>
  <c r="U9" i="3"/>
  <c r="J9" i="3" s="1"/>
  <c r="L9" i="3" s="1"/>
  <c r="K13" i="7"/>
  <c r="T8" i="2"/>
  <c r="U8" i="2" s="1"/>
  <c r="J8" i="2" s="1"/>
  <c r="M11" i="4"/>
  <c r="G11" i="4" s="1"/>
  <c r="T14" i="7"/>
  <c r="U14" i="7" s="1"/>
  <c r="J14" i="7" s="1"/>
  <c r="K14" i="7"/>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N30" i="5" l="1"/>
  <c r="L14" i="5"/>
  <c r="Q15" i="16" s="1"/>
  <c r="L13" i="5"/>
  <c r="Q14" i="16" s="1"/>
  <c r="L10" i="3"/>
  <c r="P11" i="16" s="1"/>
  <c r="L15" i="7"/>
  <c r="S16" i="16" s="1"/>
  <c r="K13" i="8"/>
  <c r="I12" i="16"/>
  <c r="K12" i="3"/>
  <c r="N30" i="4"/>
  <c r="L14" i="4"/>
  <c r="O15" i="16" s="1"/>
  <c r="I12" i="13"/>
  <c r="K12" i="6"/>
  <c r="T15" i="6"/>
  <c r="K15" i="3"/>
  <c r="U12" i="7"/>
  <c r="J12" i="7" s="1"/>
  <c r="M12" i="7" s="1"/>
  <c r="I11" i="13"/>
  <c r="E10" i="9"/>
  <c r="U13" i="7"/>
  <c r="J13" i="7" s="1"/>
  <c r="M13" i="7" s="1"/>
  <c r="T12" i="3"/>
  <c r="R14" i="8"/>
  <c r="S14" i="8" s="1"/>
  <c r="T15" i="3"/>
  <c r="L10" i="4"/>
  <c r="O11" i="16" s="1"/>
  <c r="R13" i="8"/>
  <c r="S13" i="8" s="1"/>
  <c r="U13" i="3"/>
  <c r="J13" i="3" s="1"/>
  <c r="L13" i="3" s="1"/>
  <c r="P14" i="16" s="1"/>
  <c r="T14" i="8"/>
  <c r="T13" i="8"/>
  <c r="U12" i="3"/>
  <c r="J12" i="3" s="1"/>
  <c r="K14" i="8"/>
  <c r="G11" i="13"/>
  <c r="D10" i="9"/>
  <c r="R15" i="3"/>
  <c r="S15" i="3" s="1"/>
  <c r="U15" i="3" s="1"/>
  <c r="J15" i="3" s="1"/>
  <c r="M15" i="3" s="1"/>
  <c r="G15" i="3" s="1"/>
  <c r="I16" i="16" s="1"/>
  <c r="O12" i="8"/>
  <c r="M14" i="13"/>
  <c r="K15" i="6"/>
  <c r="L13" i="6"/>
  <c r="R14" i="16" s="1"/>
  <c r="R15" i="6"/>
  <c r="S15" i="6" s="1"/>
  <c r="U15" i="6" s="1"/>
  <c r="J15" i="6" s="1"/>
  <c r="M15" i="6" s="1"/>
  <c r="G15" i="6" s="1"/>
  <c r="R12" i="6"/>
  <c r="S12" i="6" s="1"/>
  <c r="U12" i="6" s="1"/>
  <c r="J12" i="6" s="1"/>
  <c r="M12" i="6" s="1"/>
  <c r="G12" i="6" s="1"/>
  <c r="U14" i="3"/>
  <c r="J14" i="3" s="1"/>
  <c r="M14" i="3" s="1"/>
  <c r="G14" i="3" s="1"/>
  <c r="E14" i="9" s="1"/>
  <c r="Q15" i="8"/>
  <c r="R15" i="8" s="1"/>
  <c r="S15" i="8" s="1"/>
  <c r="U15" i="8" s="1"/>
  <c r="J15" i="8" s="1"/>
  <c r="D15" i="8"/>
  <c r="Q12" i="8"/>
  <c r="D12" i="8"/>
  <c r="F32" i="8"/>
  <c r="F35" i="8"/>
  <c r="T12" i="6"/>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M9" i="3"/>
  <c r="G9" i="3" s="1"/>
  <c r="I10" i="13" s="1"/>
  <c r="G12" i="13"/>
  <c r="G12" i="16"/>
  <c r="N9" i="9"/>
  <c r="P10" i="16"/>
  <c r="M14" i="7"/>
  <c r="N30" i="7"/>
  <c r="L14" i="7"/>
  <c r="S15" i="16" s="1"/>
  <c r="L8" i="7"/>
  <c r="S9" i="16" s="1"/>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O13" i="9" l="1"/>
  <c r="W14" i="13"/>
  <c r="U15" i="13"/>
  <c r="M14" i="9"/>
  <c r="L12" i="3"/>
  <c r="P13" i="16" s="1"/>
  <c r="M12" i="3"/>
  <c r="G12" i="3" s="1"/>
  <c r="I13" i="16" s="1"/>
  <c r="L12" i="7"/>
  <c r="S13" i="16" s="1"/>
  <c r="L12" i="6"/>
  <c r="R13" i="16" s="1"/>
  <c r="U11" i="7"/>
  <c r="J11" i="7" s="1"/>
  <c r="M11" i="7" s="1"/>
  <c r="U14" i="8"/>
  <c r="J14" i="8" s="1"/>
  <c r="N30" i="8" s="1"/>
  <c r="L13" i="7"/>
  <c r="S14" i="16" s="1"/>
  <c r="U10" i="7"/>
  <c r="J10" i="7" s="1"/>
  <c r="M10" i="7" s="1"/>
  <c r="M10" i="9"/>
  <c r="U11" i="13"/>
  <c r="U13" i="8"/>
  <c r="J13" i="8" s="1"/>
  <c r="M13" i="8" s="1"/>
  <c r="G13" i="8" s="1"/>
  <c r="I13" i="9" s="1"/>
  <c r="L15" i="3"/>
  <c r="P16" i="16" s="1"/>
  <c r="N13" i="9"/>
  <c r="V14" i="13"/>
  <c r="M13" i="3"/>
  <c r="G13" i="3" s="1"/>
  <c r="E13" i="9" s="1"/>
  <c r="R12" i="8"/>
  <c r="S12" i="8" s="1"/>
  <c r="I16" i="13"/>
  <c r="E15" i="9"/>
  <c r="L15" i="6"/>
  <c r="R16" i="16" s="1"/>
  <c r="P13" i="9"/>
  <c r="X14" i="13"/>
  <c r="U14" i="2"/>
  <c r="J14" i="2" s="1"/>
  <c r="M14" i="2" s="1"/>
  <c r="G14" i="2" s="1"/>
  <c r="E15" i="16" s="1"/>
  <c r="U13" i="2"/>
  <c r="J13" i="2" s="1"/>
  <c r="M13" i="2" s="1"/>
  <c r="G13" i="2" s="1"/>
  <c r="E14" i="16" s="1"/>
  <c r="I15" i="16"/>
  <c r="I15" i="13"/>
  <c r="L14" i="3"/>
  <c r="N30" i="3"/>
  <c r="K12" i="8"/>
  <c r="T12" i="8"/>
  <c r="T15" i="8"/>
  <c r="K15" i="8"/>
  <c r="L15" i="8" s="1"/>
  <c r="T16" i="16" s="1"/>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E12" i="9" l="1"/>
  <c r="Q13" i="9"/>
  <c r="I13" i="13"/>
  <c r="L11" i="7"/>
  <c r="S12" i="16" s="1"/>
  <c r="Q12" i="9"/>
  <c r="N15" i="9"/>
  <c r="M14" i="8"/>
  <c r="G14" i="8" s="1"/>
  <c r="K15" i="16" s="1"/>
  <c r="Y13" i="13"/>
  <c r="X13" i="13"/>
  <c r="P12" i="9"/>
  <c r="L14" i="8"/>
  <c r="T15" i="16" s="1"/>
  <c r="V16" i="13"/>
  <c r="Y14" i="13"/>
  <c r="L10" i="7"/>
  <c r="S11" i="16" s="1"/>
  <c r="X16" i="13"/>
  <c r="L13" i="8"/>
  <c r="T14" i="16" s="1"/>
  <c r="U12" i="8"/>
  <c r="J12" i="8" s="1"/>
  <c r="L12" i="8" s="1"/>
  <c r="T13" i="16" s="1"/>
  <c r="Q14" i="13"/>
  <c r="K14" i="16"/>
  <c r="I14" i="16"/>
  <c r="I14" i="13"/>
  <c r="P15" i="9"/>
  <c r="E15" i="13"/>
  <c r="C14" i="9"/>
  <c r="E14" i="13"/>
  <c r="C13" i="9"/>
  <c r="L13" i="2"/>
  <c r="N14" i="16" s="1"/>
  <c r="N30" i="2"/>
  <c r="L14" i="2"/>
  <c r="N15" i="16" s="1"/>
  <c r="P15" i="16"/>
  <c r="N14" i="9"/>
  <c r="V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Y12" i="13"/>
  <c r="D15" i="9"/>
  <c r="G16" i="13"/>
  <c r="M10" i="8"/>
  <c r="G10" i="8" s="1"/>
  <c r="K11" i="16" s="1"/>
  <c r="L10" i="8"/>
  <c r="T11" i="16" s="1"/>
  <c r="L11" i="8"/>
  <c r="T12" i="16" s="1"/>
  <c r="M11" i="8"/>
  <c r="G11" i="8" s="1"/>
  <c r="K12" i="16" s="1"/>
  <c r="Q11" i="9" l="1"/>
  <c r="Y11" i="13"/>
  <c r="I14" i="9"/>
  <c r="Q15" i="13"/>
  <c r="Q10" i="9"/>
  <c r="Z15" i="13"/>
  <c r="R14" i="9"/>
  <c r="M12" i="8"/>
  <c r="G12" i="8" s="1"/>
  <c r="K13" i="16" s="1"/>
  <c r="R13" i="9"/>
  <c r="Z14" i="13"/>
  <c r="T14" i="13"/>
  <c r="L13" i="9"/>
  <c r="L14" i="9"/>
  <c r="T15" i="13"/>
  <c r="Z13" i="13"/>
  <c r="R12" i="9"/>
  <c r="R9" i="9"/>
  <c r="Z10" i="13"/>
  <c r="R10" i="9"/>
  <c r="Z11" i="13"/>
  <c r="I11" i="9"/>
  <c r="Q12" i="13"/>
  <c r="I10" i="9"/>
  <c r="Q11" i="13"/>
  <c r="R11" i="9"/>
  <c r="Z12" i="13"/>
  <c r="Q13" i="13" l="1"/>
  <c r="I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<sst xmlns="http://schemas.openxmlformats.org/spreadsheetml/2006/main" count="654" uniqueCount="141">
  <si>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</si>
  <si>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</si>
  <si>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</si>
  <si>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</si>
  <si>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</si>
  <si>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</si>
  <si>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</si>
  <si>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</si>
  <si>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</si>
  <si>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</si>
  <si>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</si>
  <si>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</si>
  <si>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</si>
  <si>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</si>
  <si>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</si>
  <si>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</si>
  <si>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</si>
  <si>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</si>
  <si>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</si>
  <si>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</si>
  <si>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</si>
  <si>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</si>
  <si>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</si>
  <si>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</si>
  <si>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</si>
  <si>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</si>
  <si>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</si>
  <si>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</si>
  <si>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</si>
  <si>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</si>
  <si>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</si>
  <si>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</si>
  <si>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</si>
  <si>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</si>
  <si>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</si>
  <si>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</si>
  <si>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</si>
  <si>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</si>
  <si>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</si>
  <si>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</si>
  <si>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</si>
  <si>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</si>
  <si>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</si>
  <si>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</si>
  <si>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</si>
  <si>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</si>
  <si>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</si>
  <si>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</si>
  <si>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</si>
  <si>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</si>
  <si>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</si>
  <si>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</si>
  <si>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</si>
  <si>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</si>
  <si>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</si>
  <si>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</si>
  <si>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</si>
  <si>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</si>
  <si>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</si>
  <si>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</si>
  <si>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</si>
  <si>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</si>
  <si>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</si>
  <si>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</si>
  <si>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</si>
  <si>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</si>
  <si>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</si>
  <si>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</si>
  <si>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</si>
  <si>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</si>
  <si>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</si>
  <si>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</si>
  <si>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</si>
  <si>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</si>
  <si>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</si>
  <si>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</si>
  <si>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</si>
  <si>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</si>
  <si>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</si>
  <si>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</si>
  <si>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</si>
  <si>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</si>
  <si>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</si>
  <si>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</si>
  <si>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</si>
  <si>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</si>
  <si>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</si>
  <si>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</si>
  <si>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</si>
  <si>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</si>
  <si>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</si>
  <si>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</si>
  <si>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</si>
  <si>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</si>
  <si>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</si>
  <si>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</si>
  <si>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</si>
  <si>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</si>
  <si>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</si>
  <si>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</si>
  <si>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</si>
  <si>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</si>
  <si>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</si>
  <si>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</si>
  <si>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</si>
  <si>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</si>
  <si>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</si>
  <si>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</si>
  <si>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</si>
  <si>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</si>
  <si>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</si>
  <si>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</si>
  <si>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</si>
  <si>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</si>
  <si>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</si>
  <si>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</si>
  <si>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</si>
  <si>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</si>
  <si>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</si>
  <si>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</si>
  <si>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</si>
  <si>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</si>
  <si>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</si>
  <si>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</si>
  <si>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</si>
  <si>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</si>
  <si>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</si>
  <si>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</si>
  <si>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</si>
  <si>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</si>
  <si>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</si>
  <si>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</si>
  <si>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</si>
  <si>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</si>
  <si>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</si>
  <si>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</si>
  <si>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Livingston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</si>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</sst>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Livingston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N=35</c:v>
                </c:pt>
                <c:pt idx="3">
                  <c:v>Petitions, total N=77</c:v>
                </c:pt>
                <c:pt idx="4">
                  <c:v>Detentions, total N=6</c:v>
                </c:pt>
                <c:pt idx="5">
                  <c:v>Referrals, total N=138</c:v>
                </c:pt>
                <c:pt idx="6">
                  <c:v>Arrests, total N=37</c:v>
                </c:pt>
                <c:pt idx="7">
                  <c:v>Population, total N=19442</c:v>
                </c:pt>
              </c:strCache>
            </c:strRef>
          </c:cat>
          <c:val>
            <c:numRef>
              <c:f>'Stacked 100%'!$B$7:$B$14</c:f>
              <c:numCache>
                <c:formatCode>0%</c:formatCode>
                <c:ptCount val="8"/>
                <c:pt idx="0">
                  <c:v>0</c:v>
                </c:pt>
                <c:pt idx="1">
                  <c:v>0</c:v>
                </c:pt>
                <c:pt idx="2">
                  <c:v>0</c:v>
                </c:pt>
                <c:pt idx="3">
                  <c:v>0</c:v>
                </c:pt>
                <c:pt idx="4">
                  <c:v>0</c:v>
                </c:pt>
                <c:pt idx="5">
                  <c:v>2.1739130434782608E-2</c:v>
                </c:pt>
                <c:pt idx="6">
                  <c:v>0.16216216216216217</c:v>
                </c:pt>
                <c:pt idx="7">
                  <c:v>1.1315708260467031E-2</c:v>
                </c:pt>
              </c:numCache>
            </c:numRef>
          </c:val>
          <c:extLst>
            <c:ext xmlns:c16="http://schemas.microsoft.com/office/drawing/2014/chart" uri="{C3380CC4-5D6E-409C-BE32-E72D297353CC}">
              <c16:uniqueId val="{00000000-66B7-4F84-9B9A-9559428BEFF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N=35</c:v>
                </c:pt>
                <c:pt idx="3">
                  <c:v>Petitions, total N=77</c:v>
                </c:pt>
                <c:pt idx="4">
                  <c:v>Detentions, total N=6</c:v>
                </c:pt>
                <c:pt idx="5">
                  <c:v>Referrals, total N=138</c:v>
                </c:pt>
                <c:pt idx="6">
                  <c:v>Arrests, total N=37</c:v>
                </c:pt>
                <c:pt idx="7">
                  <c:v>Population, total N=19442</c:v>
                </c:pt>
              </c:strCache>
            </c:strRef>
          </c:cat>
          <c:val>
            <c:numRef>
              <c:f>'Stacked 100%'!$C$7:$C$14</c:f>
              <c:numCache>
                <c:formatCode>0%</c:formatCode>
                <c:ptCount val="8"/>
                <c:pt idx="0">
                  <c:v>0</c:v>
                </c:pt>
                <c:pt idx="1">
                  <c:v>0</c:v>
                </c:pt>
                <c:pt idx="2">
                  <c:v>0</c:v>
                </c:pt>
                <c:pt idx="3">
                  <c:v>0</c:v>
                </c:pt>
                <c:pt idx="4">
                  <c:v>0</c:v>
                </c:pt>
                <c:pt idx="5">
                  <c:v>0</c:v>
                </c:pt>
                <c:pt idx="6">
                  <c:v>0</c:v>
                </c:pt>
                <c:pt idx="7">
                  <c:v>3.698179199670816E-2</c:v>
                </c:pt>
              </c:numCache>
            </c:numRef>
          </c:val>
          <c:extLst>
            <c:ext xmlns:c16="http://schemas.microsoft.com/office/drawing/2014/chart" uri="{C3380CC4-5D6E-409C-BE32-E72D297353CC}">
              <c16:uniqueId val="{00000001-66B7-4F84-9B9A-9559428BEFF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c:v>
                </c:pt>
                <c:pt idx="2">
                  <c:v>Delinquent Findings, total N=35</c:v>
                </c:pt>
                <c:pt idx="3">
                  <c:v>Petitions, total N=77</c:v>
                </c:pt>
                <c:pt idx="4">
                  <c:v>Detentions, total N=6</c:v>
                </c:pt>
                <c:pt idx="5">
                  <c:v>Referrals, total N=138</c:v>
                </c:pt>
                <c:pt idx="6">
                  <c:v>Arrests, total N=37</c:v>
                </c:pt>
                <c:pt idx="7">
                  <c:v>Population, total N=19442</c:v>
                </c:pt>
              </c:strCache>
            </c:strRef>
          </c:cat>
          <c:val>
            <c:numRef>
              <c:f>'Stacked 100%'!$H$7:$H$14</c:f>
              <c:numCache>
                <c:formatCode>0%</c:formatCode>
                <c:ptCount val="8"/>
                <c:pt idx="0">
                  <c:v>0</c:v>
                </c:pt>
                <c:pt idx="1">
                  <c:v>0.125</c:v>
                </c:pt>
                <c:pt idx="2">
                  <c:v>8.1632653061224482E-4</c:v>
                </c:pt>
                <c:pt idx="3">
                  <c:v>5.0598751897453192E-4</c:v>
                </c:pt>
                <c:pt idx="4">
                  <c:v>5.5555555555555552E-2</c:v>
                </c:pt>
                <c:pt idx="5">
                  <c:v>1.575299306868305E-4</c:v>
                </c:pt>
                <c:pt idx="6">
                  <c:v>0</c:v>
                </c:pt>
                <c:pt idx="7">
                  <c:v>8.624535665317475E-7</c:v>
                </c:pt>
              </c:numCache>
            </c:numRef>
          </c:val>
          <c:extLst>
            <c:ext xmlns:c16="http://schemas.microsoft.com/office/drawing/2014/chart" uri="{C3380CC4-5D6E-409C-BE32-E72D297353CC}">
              <c16:uniqueId val="{00000002-66B7-4F84-9B9A-9559428BEFF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N=35</c:v>
                </c:pt>
                <c:pt idx="3">
                  <c:v>Petitions, total N=77</c:v>
                </c:pt>
                <c:pt idx="4">
                  <c:v>Detentions, total N=6</c:v>
                </c:pt>
                <c:pt idx="5">
                  <c:v>Referrals, total N=138</c:v>
                </c:pt>
                <c:pt idx="6">
                  <c:v>Arrests, total N=37</c:v>
                </c:pt>
                <c:pt idx="7">
                  <c:v>Population, total N=19442</c:v>
                </c:pt>
              </c:strCache>
            </c:strRef>
          </c:cat>
          <c:val>
            <c:numRef>
              <c:f>'Stacked 100%'!$I$7:$I$14</c:f>
              <c:numCache>
                <c:formatCode>0%</c:formatCode>
                <c:ptCount val="8"/>
                <c:pt idx="0">
                  <c:v>0</c:v>
                </c:pt>
                <c:pt idx="1">
                  <c:v>0.5</c:v>
                </c:pt>
                <c:pt idx="2">
                  <c:v>0.97142857142857142</c:v>
                </c:pt>
                <c:pt idx="3">
                  <c:v>0.96103896103896103</c:v>
                </c:pt>
                <c:pt idx="4">
                  <c:v>0.66666666666666663</c:v>
                </c:pt>
                <c:pt idx="5">
                  <c:v>0.95652173913043481</c:v>
                </c:pt>
                <c:pt idx="6">
                  <c:v>0.72972972972972971</c:v>
                </c:pt>
                <c:pt idx="7">
                  <c:v>0.93493467750231463</c:v>
                </c:pt>
              </c:numCache>
            </c:numRef>
          </c:val>
          <c:extLst>
            <c:ext xmlns:c16="http://schemas.microsoft.com/office/drawing/2014/chart" uri="{C3380CC4-5D6E-409C-BE32-E72D297353CC}">
              <c16:uniqueId val="{00000003-66B7-4F84-9B9A-9559428BEFF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c:v>
                </c:pt>
                <c:pt idx="2">
                  <c:v>Delinquent Findings, total N=35</c:v>
                </c:pt>
                <c:pt idx="3">
                  <c:v>Petitions, total N=77</c:v>
                </c:pt>
                <c:pt idx="4">
                  <c:v>Detentions, total N=6</c:v>
                </c:pt>
                <c:pt idx="5">
                  <c:v>Referrals, total N=138</c:v>
                </c:pt>
                <c:pt idx="6">
                  <c:v>Arrests, total N=37</c:v>
                </c:pt>
                <c:pt idx="7">
                  <c:v>Population, total N=19442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6B7-4F84-9B9A-9559428BEFF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19442</v>
      </c>
      <c r="C6" s="11">
        <v>18177</v>
      </c>
      <c r="D6" s="11">
        <v>220</v>
      </c>
      <c r="E6" s="11">
        <v>719</v>
      </c>
      <c r="F6" s="11">
        <v>244</v>
      </c>
      <c r="G6" s="11"/>
      <c r="H6" s="11">
        <v>82</v>
      </c>
      <c r="I6" s="11"/>
      <c r="J6" s="91">
        <f>SUM(D6:I6)</f>
        <v>1265</v>
      </c>
      <c r="K6" s="92"/>
    </row>
    <row r="7" spans="1:11" ht="15.75" customHeight="1" thickBot="1">
      <c r="A7" s="10" t="s">
        <v>8</v>
      </c>
      <c r="B7" s="11">
        <f t="shared" ref="B7:B15" si="0">SUM(C7:I7)+K7</f>
        <v>37</v>
      </c>
      <c r="C7" s="11">
        <v>27</v>
      </c>
      <c r="D7" s="11">
        <v>6</v>
      </c>
      <c r="E7" s="11"/>
      <c r="F7" s="11"/>
      <c r="G7" s="11"/>
      <c r="H7" s="11"/>
      <c r="I7" s="11"/>
      <c r="J7" s="91">
        <f t="shared" ref="J7:J15" si="1">SUM(D7:I7)</f>
        <v>6</v>
      </c>
      <c r="K7" s="92">
        <v>4</v>
      </c>
    </row>
    <row r="8" spans="1:11" ht="15.75" customHeight="1" thickBot="1">
      <c r="A8" s="10" t="s">
        <v>9</v>
      </c>
      <c r="B8" s="11">
        <f t="shared" si="0"/>
        <v>138</v>
      </c>
      <c r="C8" s="11">
        <v>132</v>
      </c>
      <c r="D8" s="11">
        <v>3</v>
      </c>
      <c r="E8" s="11"/>
      <c r="F8" s="11"/>
      <c r="G8" s="11"/>
      <c r="H8" s="11"/>
      <c r="I8" s="11">
        <v>3</v>
      </c>
      <c r="J8" s="91">
        <f t="shared" si="1"/>
        <v>6</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6</v>
      </c>
      <c r="C10" s="11">
        <v>4</v>
      </c>
      <c r="D10" s="11"/>
      <c r="E10" s="11"/>
      <c r="F10" s="11"/>
      <c r="G10" s="11"/>
      <c r="H10" s="11"/>
      <c r="I10" s="11">
        <v>2</v>
      </c>
      <c r="J10" s="91">
        <f t="shared" si="1"/>
        <v>2</v>
      </c>
      <c r="K10" s="92"/>
    </row>
    <row r="11" spans="1:11" ht="15.75" customHeight="1" thickBot="1">
      <c r="A11" s="10" t="s">
        <v>12</v>
      </c>
      <c r="B11" s="11">
        <f t="shared" si="0"/>
        <v>77</v>
      </c>
      <c r="C11" s="11">
        <v>74</v>
      </c>
      <c r="D11" s="11"/>
      <c r="E11" s="11"/>
      <c r="F11" s="11"/>
      <c r="G11" s="11"/>
      <c r="H11" s="11"/>
      <c r="I11" s="11">
        <v>3</v>
      </c>
      <c r="J11" s="91">
        <f t="shared" si="1"/>
        <v>3</v>
      </c>
      <c r="K11" s="92"/>
    </row>
    <row r="12" spans="1:11" ht="15.75" customHeight="1" thickBot="1">
      <c r="A12" s="10" t="s">
        <v>13</v>
      </c>
      <c r="B12" s="11">
        <f t="shared" si="0"/>
        <v>35</v>
      </c>
      <c r="C12" s="11">
        <v>34</v>
      </c>
      <c r="D12" s="11"/>
      <c r="E12" s="11"/>
      <c r="F12" s="11"/>
      <c r="G12" s="11"/>
      <c r="H12" s="11"/>
      <c r="I12" s="11">
        <v>1</v>
      </c>
      <c r="J12" s="91">
        <f t="shared" si="1"/>
        <v>1</v>
      </c>
      <c r="K12" s="92"/>
    </row>
    <row r="13" spans="1:11" ht="15.75" customHeight="1" thickBot="1">
      <c r="A13" s="10" t="s">
        <v>133</v>
      </c>
      <c r="B13" s="11">
        <f t="shared" si="0"/>
        <v>56</v>
      </c>
      <c r="C13" s="11">
        <v>54</v>
      </c>
      <c r="D13" s="11"/>
      <c r="E13" s="11"/>
      <c r="F13" s="11"/>
      <c r="G13" s="11"/>
      <c r="H13" s="11"/>
      <c r="I13" s="11">
        <v>2</v>
      </c>
      <c r="J13" s="91">
        <f t="shared" si="1"/>
        <v>2</v>
      </c>
      <c r="K13" s="92"/>
    </row>
    <row r="14" spans="1:11" ht="26.25" customHeight="1" thickBot="1">
      <c r="A14" s="10" t="s">
        <v>123</v>
      </c>
      <c r="B14" s="11">
        <f t="shared" si="0"/>
        <v>4</v>
      </c>
      <c r="C14" s="11">
        <v>2</v>
      </c>
      <c r="D14" s="11"/>
      <c r="E14" s="11"/>
      <c r="F14" s="11"/>
      <c r="G14" s="11"/>
      <c r="H14" s="11"/>
      <c r="I14" s="11">
        <v>2</v>
      </c>
      <c r="J14" s="91">
        <f t="shared" si="1"/>
        <v>2</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27</v>
      </c>
      <c r="D7" s="34">
        <f>IF((AND(C66&gt;0,C7&gt;0)),(C7/C66),0)</f>
        <v>1.4853936293117675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27</v>
      </c>
      <c r="Q7" s="42">
        <f>C6-C7</f>
        <v>18150</v>
      </c>
      <c r="R7" s="42">
        <f t="shared" ref="R7:R15" si="5">SUM(N7:Q7)</f>
        <v>18177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132</v>
      </c>
      <c r="D8" s="34">
        <f>IF((AND(C67&gt;0,C8&gt;0)),(C8/C67),0)</f>
        <v>488.88888888888886</v>
      </c>
      <c r="E8" s="33">
        <f>'Data Entry'!I8</f>
        <v>3</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3</v>
      </c>
      <c r="O8" s="42">
        <f>((D67*L67)-E8)+0.05</f>
        <v>-2.95</v>
      </c>
      <c r="P8" s="42">
        <f t="shared" si="4"/>
        <v>132</v>
      </c>
      <c r="Q8" s="42">
        <f>(C$67*L67)-C8</f>
        <v>-105</v>
      </c>
      <c r="R8" s="42">
        <f t="shared" si="5"/>
        <v>27.050000000000011</v>
      </c>
      <c r="S8" s="30">
        <f t="shared" si="6"/>
        <v>149731.48800000022</v>
      </c>
      <c r="T8" s="30">
        <f t="shared" si="7"/>
        <v>-19673.887499999932</v>
      </c>
      <c r="U8" s="31">
        <f t="shared" si="8"/>
        <v>-7.6106711497664472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132</v>
      </c>
      <c r="R9" s="42">
        <f t="shared" si="5"/>
        <v>135</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3.0303030303030303</v>
      </c>
      <c r="E10" s="33">
        <f>'Data Entry'!I10</f>
        <v>2</v>
      </c>
      <c r="F10" s="34">
        <f>IF(((AND($E$10&gt;0,$D$68&gt;0))),($E$10/($D$68)),0)</f>
        <v>66.666666666666671</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2</v>
      </c>
      <c r="O10" s="42">
        <f>(D$68*L68)-E10</f>
        <v>1</v>
      </c>
      <c r="P10" s="42">
        <f t="shared" si="4"/>
        <v>4</v>
      </c>
      <c r="Q10" s="42">
        <f>(C$68*L68)-C10</f>
        <v>128</v>
      </c>
      <c r="R10" s="42">
        <f t="shared" si="5"/>
        <v>135</v>
      </c>
      <c r="S10" s="30">
        <f t="shared" si="6"/>
        <v>8573040</v>
      </c>
      <c r="T10" s="30">
        <f t="shared" si="7"/>
        <v>306504</v>
      </c>
      <c r="U10" s="31">
        <f t="shared" si="8"/>
        <v>27.970401691331922</v>
      </c>
    </row>
    <row r="11" spans="2:21" ht="18" customHeight="1">
      <c r="B11" s="32" t="str">
        <f>'Data Entry'!A11</f>
        <v>6. Cases Petitioned (Charge Filed)</v>
      </c>
      <c r="C11" s="33">
        <f>'Data Entry'!C11</f>
        <v>74</v>
      </c>
      <c r="D11" s="34">
        <f>IF(((AND(C68&gt;0,C11&gt;0))),(C11/(C68)),0)</f>
        <v>56.060606060606055</v>
      </c>
      <c r="E11" s="33">
        <f>'Data Entry'!I11</f>
        <v>3</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3</v>
      </c>
      <c r="O11" s="42">
        <f>(D$68*L68)-E11</f>
        <v>0</v>
      </c>
      <c r="P11" s="42">
        <f t="shared" si="4"/>
        <v>74</v>
      </c>
      <c r="Q11" s="42">
        <f>(C$68*L68)-C11</f>
        <v>58</v>
      </c>
      <c r="R11" s="42">
        <f t="shared" si="5"/>
        <v>135</v>
      </c>
      <c r="S11" s="30">
        <f t="shared" si="6"/>
        <v>4087260</v>
      </c>
      <c r="T11" s="30">
        <f t="shared" si="7"/>
        <v>1768536</v>
      </c>
      <c r="U11" s="31">
        <f t="shared" si="8"/>
        <v>2.3110979929161748</v>
      </c>
    </row>
    <row r="12" spans="2:21" ht="18" customHeight="1">
      <c r="B12" s="32" t="str">
        <f>'Data Entry'!A12</f>
        <v>7. Cases Resulting in Delinquent Findings</v>
      </c>
      <c r="C12" s="33">
        <f>'Data Entry'!C12</f>
        <v>34</v>
      </c>
      <c r="D12" s="34">
        <f>IF(((AND(C69&gt;0,C12&gt;0))),(C12/(C69)),0)</f>
        <v>45.945945945945944</v>
      </c>
      <c r="E12" s="33">
        <f>'Data Entry'!I12</f>
        <v>1</v>
      </c>
      <c r="F12" s="34">
        <f>IF(((AND($D$69&gt;0,$E$12&gt;0))),(E12/(D69)),0)</f>
        <v>33.333333333333336</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2</v>
      </c>
      <c r="P12" s="42">
        <f t="shared" si="4"/>
        <v>34</v>
      </c>
      <c r="Q12" s="42">
        <f>(C69*L69)-C12</f>
        <v>40</v>
      </c>
      <c r="R12" s="42">
        <f t="shared" si="5"/>
        <v>77</v>
      </c>
      <c r="S12" s="30">
        <f t="shared" si="6"/>
        <v>60368</v>
      </c>
      <c r="T12" s="30">
        <f t="shared" si="7"/>
        <v>326340</v>
      </c>
      <c r="U12" s="31">
        <f t="shared" si="8"/>
        <v>0.18498498498498497</v>
      </c>
    </row>
    <row r="13" spans="2:21" ht="18" customHeight="1">
      <c r="B13" s="32" t="str">
        <f>'Data Entry'!A13</f>
        <v>8. Cases Resulting in Probation Placement</v>
      </c>
      <c r="C13" s="33">
        <f>'Data Entry'!C13</f>
        <v>54</v>
      </c>
      <c r="D13" s="34">
        <f>IF(((AND(C70&gt;0,C13&gt;0))),(C13/(C70)),0)</f>
        <v>158.8235294117647</v>
      </c>
      <c r="E13" s="33">
        <f>'Data Entry'!I13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-1</v>
      </c>
      <c r="P13" s="42">
        <f t="shared" si="4"/>
        <v>54</v>
      </c>
      <c r="Q13" s="42">
        <f>(C70*L70)-C13</f>
        <v>-20</v>
      </c>
      <c r="R13" s="42">
        <f t="shared" si="5"/>
        <v>35</v>
      </c>
      <c r="S13" s="30">
        <f t="shared" si="6"/>
        <v>6860</v>
      </c>
      <c r="T13" s="30">
        <f t="shared" si="7"/>
        <v>-39984</v>
      </c>
      <c r="U13" s="31">
        <f t="shared" si="8"/>
        <v>-0.17156862745098039</v>
      </c>
    </row>
    <row r="14" spans="2:21" ht="30.75" customHeight="1">
      <c r="B14" s="32" t="str">
        <f>'Data Entry'!A14</f>
        <v xml:space="preserve">9. Cases Resulting in Confinement in Secure Juvenile Correctional Facilities </v>
      </c>
      <c r="C14" s="33">
        <f>'Data Entry'!C14</f>
        <v>2</v>
      </c>
      <c r="D14" s="34">
        <f>IF(((AND(C70&gt;0,C14&gt;0))), ((C14/(C70))),0)</f>
        <v>5.8823529411764701</v>
      </c>
      <c r="E14" s="33">
        <f>'Data Entry'!I14</f>
        <v>2</v>
      </c>
      <c r="F14" s="34">
        <f>IF(((AND($D$70&gt;0,$E$14&gt;0))), (($E$14/($D$70))),0)</f>
        <v>200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2</v>
      </c>
      <c r="O14" s="42">
        <f>(D70*L70)-E14</f>
        <v>-1</v>
      </c>
      <c r="P14" s="42">
        <f t="shared" si="4"/>
        <v>2</v>
      </c>
      <c r="Q14" s="42">
        <f>(C70*L70)-C14</f>
        <v>32</v>
      </c>
      <c r="R14" s="42">
        <f t="shared" si="5"/>
        <v>35</v>
      </c>
      <c r="S14" s="30">
        <f t="shared" si="6"/>
        <v>152460</v>
      </c>
      <c r="T14" s="30">
        <f t="shared" si="7"/>
        <v>4216</v>
      </c>
      <c r="U14" s="31">
        <f t="shared" si="8"/>
        <v>36.162239089184062</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74</v>
      </c>
      <c r="R15" s="42">
        <f t="shared" si="5"/>
        <v>77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18.177</v>
      </c>
      <c r="D42" s="56">
        <f>E6/1000</f>
        <v>0</v>
      </c>
      <c r="E42" s="56">
        <f>MAX(C42:D42)</f>
        <v>18.177</v>
      </c>
      <c r="G42" s="1" t="str">
        <f>B42</f>
        <v>per 1000 youth</v>
      </c>
      <c r="L42" s="57">
        <v>1000</v>
      </c>
      <c r="M42" s="57"/>
      <c r="R42" s="49"/>
    </row>
    <row r="43" spans="2:18" ht="15" hidden="1" customHeight="1">
      <c r="B43" s="49" t="s">
        <v>87</v>
      </c>
      <c r="C43" s="56">
        <f>C7/100</f>
        <v>0.27</v>
      </c>
      <c r="D43" s="56">
        <f>E7/100</f>
        <v>0</v>
      </c>
      <c r="E43" s="56">
        <f>MAX(C43:D43,0)</f>
        <v>0.27</v>
      </c>
      <c r="G43" s="1" t="str">
        <f>B43</f>
        <v>per 100 arrests</v>
      </c>
      <c r="L43" s="57">
        <v>100</v>
      </c>
      <c r="M43" s="57"/>
      <c r="R43" s="49"/>
    </row>
    <row r="44" spans="2:18" ht="15" hidden="1" customHeight="1">
      <c r="B44" s="49" t="s">
        <v>88</v>
      </c>
      <c r="C44" s="56">
        <f>C8/100</f>
        <v>1.32</v>
      </c>
      <c r="D44" s="56">
        <f>E8/100</f>
        <v>0.03</v>
      </c>
      <c r="E44" s="56">
        <f>MAX(C44:D44,0)</f>
        <v>1.32</v>
      </c>
      <c r="G44" s="1" t="str">
        <f>B44</f>
        <v>per 100 referrals</v>
      </c>
      <c r="L44" s="57">
        <v>100</v>
      </c>
      <c r="M44" s="57"/>
      <c r="R44" s="49"/>
    </row>
    <row r="45" spans="2:18" ht="15" hidden="1" customHeight="1">
      <c r="B45" s="49" t="s">
        <v>89</v>
      </c>
      <c r="C45" s="49">
        <f>C11/100</f>
        <v>0.74</v>
      </c>
      <c r="D45" s="49">
        <f>E11/100</f>
        <v>0.03</v>
      </c>
      <c r="E45" s="56">
        <f>MAX(C45:D45,0)</f>
        <v>0.74</v>
      </c>
      <c r="G45" s="1" t="str">
        <f>B45</f>
        <v>per 100 youth petitioned</v>
      </c>
      <c r="L45" s="57">
        <v>100</v>
      </c>
      <c r="M45" s="57"/>
      <c r="R45" s="49"/>
    </row>
    <row r="46" spans="2:18" ht="15" hidden="1" customHeight="1">
      <c r="B46" s="49" t="s">
        <v>90</v>
      </c>
      <c r="C46" s="49">
        <f>C12/100</f>
        <v>0.34</v>
      </c>
      <c r="D46" s="49">
        <f>E12/100</f>
        <v>0.01</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18.177</v>
      </c>
      <c r="D48" s="56">
        <f>D42</f>
        <v>0</v>
      </c>
      <c r="E48" s="56">
        <f>MAX(C48:D48)</f>
        <v>18.177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c r="B50" s="49" t="str">
        <f t="shared" si="9"/>
        <v>per 100 referrals</v>
      </c>
      <c r="C50" s="49">
        <f t="shared" si="9"/>
        <v>1.32</v>
      </c>
      <c r="D50" s="49">
        <f t="shared" si="9"/>
        <v>0.03</v>
      </c>
      <c r="E50" s="49">
        <f>MAX(C50:D50)</f>
        <v>1.32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0.74</v>
      </c>
      <c r="D51" s="49">
        <f>IF(($E45&gt;0),D45,D44)</f>
        <v>0.03</v>
      </c>
      <c r="E51" s="49">
        <f>MAX(C51:D51)</f>
        <v>0.74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0.01</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18.177</v>
      </c>
      <c r="D54" s="56">
        <f>D48</f>
        <v>0</v>
      </c>
      <c r="E54" s="56">
        <f>MAX(C54:D54)</f>
        <v>18.177</v>
      </c>
      <c r="G54" s="1" t="str">
        <f>G48</f>
        <v>per 1000 youth</v>
      </c>
      <c r="L54" s="58">
        <f>L48</f>
        <v>1000</v>
      </c>
      <c r="M54" s="58"/>
    </row>
    <row r="55" spans="2:18" ht="15" hidden="1" customHeight="1">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c r="B56" s="49" t="str">
        <f t="shared" si="10"/>
        <v>per 100 referrals</v>
      </c>
      <c r="C56" s="49">
        <f t="shared" si="10"/>
        <v>1.32</v>
      </c>
      <c r="D56" s="49">
        <f t="shared" si="10"/>
        <v>0.03</v>
      </c>
      <c r="E56" s="49">
        <f>MAX(C56:D56)</f>
        <v>1.32</v>
      </c>
      <c r="G56" s="1" t="str">
        <f>G50</f>
        <v>per 100 referrals</v>
      </c>
      <c r="L56" s="58">
        <f>IF(($E50&gt;0),L50,L49)</f>
        <v>100</v>
      </c>
      <c r="M56" s="58"/>
    </row>
    <row r="57" spans="2:18" ht="15" hidden="1" customHeight="1">
      <c r="B57" s="49" t="str">
        <f>IF(($E51&gt;0),B51,B49)</f>
        <v>per 100 youth petitioned</v>
      </c>
      <c r="C57" s="49">
        <f>IF(($E51&gt;0),C51,C50)</f>
        <v>0.74</v>
      </c>
      <c r="D57" s="49">
        <f>IF(($E51&gt;0),D51,D50)</f>
        <v>0.03</v>
      </c>
      <c r="E57" s="49">
        <f>MAX(C57:D57)</f>
        <v>0.74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0.01</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18.177</v>
      </c>
      <c r="D60" s="56">
        <f>D54</f>
        <v>0</v>
      </c>
      <c r="E60" s="56">
        <f>MAX(C60:D60)</f>
        <v>18.177</v>
      </c>
      <c r="G60" s="1" t="str">
        <f>G54</f>
        <v>per 1000 youth</v>
      </c>
      <c r="L60" s="58">
        <f>L54</f>
        <v>1000</v>
      </c>
      <c r="M60" s="58"/>
    </row>
    <row r="61" spans="2:18" ht="15" hidden="1" customHeight="1">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c r="B62" s="49" t="str">
        <f t="shared" si="11"/>
        <v>per 100 referrals</v>
      </c>
      <c r="C62" s="49">
        <f t="shared" si="11"/>
        <v>1.32</v>
      </c>
      <c r="D62" s="49">
        <f t="shared" si="11"/>
        <v>0.03</v>
      </c>
      <c r="E62" s="49">
        <f>MAX(C62:D62)</f>
        <v>1.32</v>
      </c>
      <c r="G62" s="1" t="str">
        <f>G56</f>
        <v>per 100 referrals</v>
      </c>
      <c r="L62" s="58">
        <f>IF(($E56&gt;0),L56,L55)</f>
        <v>100</v>
      </c>
      <c r="M62" s="58"/>
    </row>
    <row r="63" spans="2:18" ht="15" hidden="1" customHeight="1">
      <c r="B63" s="49" t="str">
        <f>IF(($E57&gt;0),B57,B55)</f>
        <v>per 100 youth petitioned</v>
      </c>
      <c r="C63" s="49">
        <f>IF(($E57&gt;0),C57,C56)</f>
        <v>0.74</v>
      </c>
      <c r="D63" s="49">
        <f>IF(($E57&gt;0),D57,D56)</f>
        <v>0.03</v>
      </c>
      <c r="E63" s="49">
        <f>MAX(C63:D63)</f>
        <v>0.74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0.01</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18.177</v>
      </c>
      <c r="D66" s="56">
        <f>D60</f>
        <v>0</v>
      </c>
      <c r="E66" s="56">
        <f>MAX(C66:D66)</f>
        <v>18.177</v>
      </c>
      <c r="G66" s="1" t="str">
        <f>G60</f>
        <v>per 1000 youth</v>
      </c>
      <c r="L66" s="58">
        <f>L60</f>
        <v>1000</v>
      </c>
      <c r="M66" s="58">
        <f>IF((B66=G66),1,2)</f>
        <v>1</v>
      </c>
    </row>
    <row r="67" spans="2:13" ht="15" hidden="1" customHeight="1">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c r="B68" s="49" t="str">
        <f t="shared" si="12"/>
        <v>per 100 referrals</v>
      </c>
      <c r="C68" s="49">
        <f t="shared" si="12"/>
        <v>1.32</v>
      </c>
      <c r="D68" s="49">
        <f t="shared" si="12"/>
        <v>0.03</v>
      </c>
      <c r="E68" s="49">
        <f>MAX(C68:D68)</f>
        <v>1.32</v>
      </c>
      <c r="G68" s="1" t="str">
        <f>G62</f>
        <v>per 100 referrals</v>
      </c>
      <c r="L68" s="58">
        <f>IF(($E62&gt;0),L62,L61)</f>
        <v>100</v>
      </c>
      <c r="M68" s="58">
        <f>IF((B68=G68),1,2)</f>
        <v>1</v>
      </c>
    </row>
    <row r="69" spans="2:13" ht="15" hidden="1" customHeight="1">
      <c r="B69" s="49" t="str">
        <f>IF(($E63&gt;0),B63,B61)</f>
        <v>per 100 youth petitioned</v>
      </c>
      <c r="C69" s="49">
        <f>IF(($E63&gt;0),C63,C62)</f>
        <v>0.74</v>
      </c>
      <c r="D69" s="49">
        <f>IF(($E63&gt;0),D63,D62)</f>
        <v>0.03</v>
      </c>
      <c r="E69" s="49">
        <f>MAX(C69:D69)</f>
        <v>0.74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0.01</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18177</v>
      </c>
      <c r="D6" s="34"/>
      <c r="E6" s="33">
        <f>'Data Entry'!J6</f>
        <v>1265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27</v>
      </c>
      <c r="D7" s="34">
        <f>IF((AND(C66&gt;0,C7&gt;0)),(C7/C66),0)</f>
        <v>1.4853936293117675</v>
      </c>
      <c r="E7" s="33">
        <f>'Data Entry'!J7</f>
        <v>6</v>
      </c>
      <c r="F7" s="34">
        <f>IF((AND($E$7&gt;0,$D$66&gt;0)),($E$7/$D$66),0)</f>
        <v>4.7430830039525693</v>
      </c>
      <c r="G7" s="39">
        <f t="shared" ref="G7:G15" si="0">IF(L$6=100,"*",IF(M7=FALSE,"--",IF(K7=20,"**",($F7/$D7))))</f>
        <v>3.1931488801054022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6</v>
      </c>
      <c r="O7" s="42">
        <f>E6-E7</f>
        <v>1259</v>
      </c>
      <c r="P7" s="42">
        <f t="shared" ref="P7:P15" si="4">C7</f>
        <v>27</v>
      </c>
      <c r="Q7" s="42">
        <f>C6-C7</f>
        <v>18150</v>
      </c>
      <c r="R7" s="42">
        <f t="shared" ref="R7:R15" si="5">SUM(N7:Q7)</f>
        <v>19442</v>
      </c>
      <c r="S7" s="30">
        <f t="shared" ref="S7:S15" si="6">R7*((((N7*Q7)-(O7*P7))^2))</f>
        <v>109090202253858</v>
      </c>
      <c r="T7" s="30">
        <f t="shared" ref="T7:T15" si="7">(N7+O7)*(P7+Q7)*(N7+P7)*(O7+Q7)</f>
        <v>14727527170785</v>
      </c>
      <c r="U7" s="31">
        <f t="shared" ref="U7:U15" si="8">IF((S7&gt;0),S7/T7,"- -")</f>
        <v>7.4072314373495276</v>
      </c>
    </row>
    <row r="8" spans="2:21" ht="18" customHeight="1">
      <c r="B8" s="32" t="str">
        <f>'Data Entry'!A8</f>
        <v>3. Refer to Juvenile Court</v>
      </c>
      <c r="C8" s="33">
        <f>'Data Entry'!C8</f>
        <v>132</v>
      </c>
      <c r="D8" s="34">
        <f>IF((AND(C67&gt;0,C8&gt;0)),(C8/C67),0)</f>
        <v>488.88888888888886</v>
      </c>
      <c r="E8" s="33">
        <f>'Data Entry'!J8</f>
        <v>6</v>
      </c>
      <c r="F8" s="34">
        <f>IF((AND($E$8&gt;0,$D$67&gt;0)),($E8/$D67),0)</f>
        <v>100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6</v>
      </c>
      <c r="O8" s="42">
        <f>((D67*L67)-E8)+0.05</f>
        <v>0.05</v>
      </c>
      <c r="P8" s="42">
        <f t="shared" si="4"/>
        <v>132</v>
      </c>
      <c r="Q8" s="42">
        <f>(C$67*L67)-C8</f>
        <v>-105</v>
      </c>
      <c r="R8" s="42">
        <f t="shared" si="5"/>
        <v>33.050000000000011</v>
      </c>
      <c r="S8" s="30">
        <f t="shared" si="6"/>
        <v>13393828.458000006</v>
      </c>
      <c r="T8" s="30">
        <f t="shared" si="7"/>
        <v>-2365814.3849999998</v>
      </c>
      <c r="U8" s="31">
        <f t="shared" si="8"/>
        <v>-5.6614029160195543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132</v>
      </c>
      <c r="R9" s="42">
        <f t="shared" si="5"/>
        <v>138</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3.0303030303030303</v>
      </c>
      <c r="E10" s="33">
        <f>'Data Entry'!J10</f>
        <v>2</v>
      </c>
      <c r="F10" s="34">
        <f>IF(((AND($E$10&gt;0,$D$68&gt;0))),($E$10/($D$68)),0)</f>
        <v>33.333333333333336</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v>
      </c>
      <c r="O10" s="42">
        <f>(D$68*L68)-E10</f>
        <v>4</v>
      </c>
      <c r="P10" s="42">
        <f t="shared" si="4"/>
        <v>4</v>
      </c>
      <c r="Q10" s="42">
        <f>(C$68*L68)-C10</f>
        <v>128</v>
      </c>
      <c r="R10" s="42">
        <f t="shared" si="5"/>
        <v>138</v>
      </c>
      <c r="S10" s="30">
        <f t="shared" si="6"/>
        <v>7948800</v>
      </c>
      <c r="T10" s="30">
        <f t="shared" si="7"/>
        <v>627264</v>
      </c>
      <c r="U10" s="31">
        <f t="shared" si="8"/>
        <v>12.672176308539944</v>
      </c>
    </row>
    <row r="11" spans="2:21" ht="18" customHeight="1">
      <c r="B11" s="32" t="str">
        <f>'Data Entry'!A11</f>
        <v>6. Cases Petitioned (Charge Filed)</v>
      </c>
      <c r="C11" s="33">
        <f>'Data Entry'!C11</f>
        <v>74</v>
      </c>
      <c r="D11" s="34">
        <f>IF(((AND(C68&gt;0,C11&gt;0))),(C11/(C68)),0)</f>
        <v>56.060606060606055</v>
      </c>
      <c r="E11" s="33">
        <f>'Data Entry'!J11</f>
        <v>3</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3</v>
      </c>
      <c r="P11" s="42">
        <f t="shared" si="4"/>
        <v>74</v>
      </c>
      <c r="Q11" s="42">
        <f>(C$68*L68)-C11</f>
        <v>58</v>
      </c>
      <c r="R11" s="42">
        <f t="shared" si="5"/>
        <v>138</v>
      </c>
      <c r="S11" s="30">
        <f t="shared" si="6"/>
        <v>317952</v>
      </c>
      <c r="T11" s="30">
        <f t="shared" si="7"/>
        <v>3720024</v>
      </c>
      <c r="U11" s="31">
        <f t="shared" si="8"/>
        <v>8.5470416319894715E-2</v>
      </c>
    </row>
    <row r="12" spans="2:21" ht="18" customHeight="1">
      <c r="B12" s="32" t="str">
        <f>'Data Entry'!A12</f>
        <v>7. Cases Resulting in Delinquent Findings</v>
      </c>
      <c r="C12" s="33">
        <f>'Data Entry'!C12</f>
        <v>34</v>
      </c>
      <c r="D12" s="34">
        <f>IF(((AND(C69&gt;0,C12&gt;0))),(C12/(C69)),0)</f>
        <v>45.945945945945944</v>
      </c>
      <c r="E12" s="33">
        <f>'Data Entry'!J12</f>
        <v>1</v>
      </c>
      <c r="F12" s="34">
        <f>IF(((AND($D$69&gt;0,$E$12&gt;0))),(E12/(D69)),0)</f>
        <v>33.333333333333336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2</v>
      </c>
      <c r="P12" s="42">
        <f t="shared" si="4"/>
        <v>34</v>
      </c>
      <c r="Q12" s="42">
        <f>(C69*L69)-C12</f>
        <v>40</v>
      </c>
      <c r="R12" s="42">
        <f t="shared" si="5"/>
        <v>77</v>
      </c>
      <c r="S12" s="30">
        <f t="shared" si="6"/>
        <v>60368</v>
      </c>
      <c r="T12" s="30">
        <f t="shared" si="7"/>
        <v>326340</v>
      </c>
      <c r="U12" s="31">
        <f t="shared" si="8"/>
        <v>0.18498498498498497</v>
      </c>
    </row>
    <row r="13" spans="2:21" ht="18" customHeight="1">
      <c r="B13" s="32" t="str">
        <f>'Data Entry'!A13</f>
        <v>8. Cases Resulting in Probation Placement</v>
      </c>
      <c r="C13" s="33">
        <f>'Data Entry'!C13</f>
        <v>54</v>
      </c>
      <c r="D13" s="34">
        <f>IF(((AND(C70&gt;0,C13&gt;0))),(C13/(C70)),0)</f>
        <v>158.8235294117647</v>
      </c>
      <c r="E13" s="33">
        <f>'Data Entry'!J13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-1</v>
      </c>
      <c r="P13" s="42">
        <f t="shared" si="4"/>
        <v>54</v>
      </c>
      <c r="Q13" s="42">
        <f>(C70*L70)-C13</f>
        <v>-20</v>
      </c>
      <c r="R13" s="42">
        <f t="shared" si="5"/>
        <v>35</v>
      </c>
      <c r="S13" s="30">
        <f t="shared" si="6"/>
        <v>6860</v>
      </c>
      <c r="T13" s="30">
        <f t="shared" si="7"/>
        <v>-39984</v>
      </c>
      <c r="U13" s="31">
        <f t="shared" si="8"/>
        <v>-0.17156862745098039</v>
      </c>
    </row>
    <row r="14" spans="2:21" ht="30.75" customHeight="1">
      <c r="B14" s="32" t="str">
        <f>'Data Entry'!A14</f>
        <v xml:space="preserve">9. Cases Resulting in Confinement in Secure Juvenile Correctional Facilities </v>
      </c>
      <c r="C14" s="33">
        <f>'Data Entry'!C14</f>
        <v>2</v>
      </c>
      <c r="D14" s="34">
        <f>IF(((AND(C70&gt;0,C14&gt;0))), ((C14/(C70))),0)</f>
        <v>5.8823529411764701</v>
      </c>
      <c r="E14" s="33">
        <f>'Data Entry'!J14</f>
        <v>2</v>
      </c>
      <c r="F14" s="34">
        <f>IF(((AND($D$70&gt;0,$E$14&gt;0))), (($E$14/($D$70))),0)</f>
        <v>200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2</v>
      </c>
      <c r="O14" s="42">
        <f>(D70*L70)-E14</f>
        <v>-1</v>
      </c>
      <c r="P14" s="42">
        <f t="shared" si="4"/>
        <v>2</v>
      </c>
      <c r="Q14" s="42">
        <f>(C70*L70)-C14</f>
        <v>32</v>
      </c>
      <c r="R14" s="42">
        <f t="shared" si="5"/>
        <v>35</v>
      </c>
      <c r="S14" s="30">
        <f t="shared" si="6"/>
        <v>152460</v>
      </c>
      <c r="T14" s="30">
        <f t="shared" si="7"/>
        <v>4216</v>
      </c>
      <c r="U14" s="31">
        <f t="shared" si="8"/>
        <v>36.162239089184062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74</v>
      </c>
      <c r="R15" s="42">
        <f t="shared" si="5"/>
        <v>77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18.177</v>
      </c>
      <c r="D42" s="56">
        <f>E6/1000</f>
        <v>1.2649999999999999</v>
      </c>
      <c r="E42" s="56">
        <f>MAX(C42:D42)</f>
        <v>18.177</v>
      </c>
      <c r="G42" s="1" t="str">
        <f>B42</f>
        <v>per 1000 youth</v>
      </c>
      <c r="L42" s="57">
        <v>1000</v>
      </c>
      <c r="M42" s="57"/>
      <c r="R42" s="49"/>
    </row>
    <row r="43" spans="2:18" ht="15" hidden="1" customHeight="1">
      <c r="B43" s="49" t="s">
        <v>87</v>
      </c>
      <c r="C43" s="56">
        <f>C7/100</f>
        <v>0.27</v>
      </c>
      <c r="D43" s="56">
        <f>E7/100</f>
        <v>0.06</v>
      </c>
      <c r="E43" s="56">
        <f>MAX(C43:D43,0)</f>
        <v>0.27</v>
      </c>
      <c r="G43" s="1" t="str">
        <f>B43</f>
        <v>per 100 arrests</v>
      </c>
      <c r="L43" s="57">
        <v>100</v>
      </c>
      <c r="M43" s="57"/>
      <c r="R43" s="49"/>
    </row>
    <row r="44" spans="2:18" ht="15" hidden="1" customHeight="1">
      <c r="B44" s="49" t="s">
        <v>88</v>
      </c>
      <c r="C44" s="56">
        <f>C8/100</f>
        <v>1.32</v>
      </c>
      <c r="D44" s="56">
        <f>E8/100</f>
        <v>0.06</v>
      </c>
      <c r="E44" s="56">
        <f>MAX(C44:D44,0)</f>
        <v>1.32</v>
      </c>
      <c r="G44" s="1" t="str">
        <f>B44</f>
        <v>per 100 referrals</v>
      </c>
      <c r="L44" s="57">
        <v>100</v>
      </c>
      <c r="M44" s="57"/>
      <c r="R44" s="49"/>
    </row>
    <row r="45" spans="2:18" ht="15" hidden="1" customHeight="1">
      <c r="B45" s="49" t="s">
        <v>89</v>
      </c>
      <c r="C45" s="49">
        <f>C11/100</f>
        <v>0.74</v>
      </c>
      <c r="D45" s="49">
        <f>E11/100</f>
        <v>0.03</v>
      </c>
      <c r="E45" s="56">
        <f>MAX(C45:D45,0)</f>
        <v>0.74</v>
      </c>
      <c r="G45" s="1" t="str">
        <f>B45</f>
        <v>per 100 youth petitioned</v>
      </c>
      <c r="L45" s="57">
        <v>100</v>
      </c>
      <c r="M45" s="57"/>
      <c r="R45" s="49"/>
    </row>
    <row r="46" spans="2:18" ht="15" hidden="1" customHeight="1">
      <c r="B46" s="49" t="s">
        <v>90</v>
      </c>
      <c r="C46" s="49">
        <f>C12/100</f>
        <v>0.34</v>
      </c>
      <c r="D46" s="49">
        <f>E12/100</f>
        <v>0.01</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18.177</v>
      </c>
      <c r="D48" s="56">
        <f>D42</f>
        <v>1.2649999999999999</v>
      </c>
      <c r="E48" s="56">
        <f>MAX(C48:D48)</f>
        <v>18.177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0.27</v>
      </c>
      <c r="D49" s="49">
        <f t="shared" si="9"/>
        <v>0.06</v>
      </c>
      <c r="E49" s="49">
        <f>MAX(C49:D49)</f>
        <v>0.27</v>
      </c>
      <c r="G49" s="1" t="str">
        <f>G43</f>
        <v>per 100 arrests</v>
      </c>
      <c r="L49" s="58">
        <f>IF(($E43&gt;0),L43,L42)</f>
        <v>100</v>
      </c>
      <c r="M49" s="58"/>
      <c r="N49" s="21"/>
      <c r="O49" s="21"/>
      <c r="P49" s="21"/>
      <c r="Q49" s="21"/>
      <c r="R49" s="21"/>
    </row>
    <row r="50" spans="2:18" ht="15" hidden="1" customHeight="1">
      <c r="B50" s="49" t="str">
        <f t="shared" si="9"/>
        <v>per 100 referrals</v>
      </c>
      <c r="C50" s="49">
        <f t="shared" si="9"/>
        <v>1.32</v>
      </c>
      <c r="D50" s="49">
        <f t="shared" si="9"/>
        <v>0.06</v>
      </c>
      <c r="E50" s="49">
        <f>MAX(C50:D50)</f>
        <v>1.32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0.74</v>
      </c>
      <c r="D51" s="49">
        <f>IF(($E45&gt;0),D45,D44)</f>
        <v>0.03</v>
      </c>
      <c r="E51" s="49">
        <f>MAX(C51:D51)</f>
        <v>0.74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0.01</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18.177</v>
      </c>
      <c r="D54" s="56">
        <f>D48</f>
        <v>1.2649999999999999</v>
      </c>
      <c r="E54" s="56">
        <f>MAX(C54:D54)</f>
        <v>18.177</v>
      </c>
      <c r="G54" s="1" t="str">
        <f>G48</f>
        <v>per 1000 youth</v>
      </c>
      <c r="L54" s="58">
        <f>L48</f>
        <v>1000</v>
      </c>
      <c r="M54" s="58"/>
    </row>
    <row r="55" spans="2:18" ht="15" hidden="1" customHeight="1">
      <c r="B55" s="49" t="str">
        <f t="shared" ref="B55:D56" si="10">IF(($E49&gt;0),B49,B48)</f>
        <v>per 100 arrests</v>
      </c>
      <c r="C55" s="49">
        <f t="shared" si="10"/>
        <v>0.27</v>
      </c>
      <c r="D55" s="49">
        <f t="shared" si="10"/>
        <v>0.06</v>
      </c>
      <c r="E55" s="49">
        <f>MAX(C55:D55)</f>
        <v>0.27</v>
      </c>
      <c r="G55" s="1" t="str">
        <f>G49</f>
        <v>per 100 arrests</v>
      </c>
      <c r="L55" s="58">
        <f>IF(($E49&gt;0),L49,L48)</f>
        <v>100</v>
      </c>
      <c r="M55" s="58"/>
    </row>
    <row r="56" spans="2:18" ht="15" hidden="1" customHeight="1">
      <c r="B56" s="49" t="str">
        <f t="shared" si="10"/>
        <v>per 100 referrals</v>
      </c>
      <c r="C56" s="49">
        <f t="shared" si="10"/>
        <v>1.32</v>
      </c>
      <c r="D56" s="49">
        <f t="shared" si="10"/>
        <v>0.06</v>
      </c>
      <c r="E56" s="49">
        <f>MAX(C56:D56)</f>
        <v>1.32</v>
      </c>
      <c r="G56" s="1" t="str">
        <f>G50</f>
        <v>per 100 referrals</v>
      </c>
      <c r="L56" s="58">
        <f>IF(($E50&gt;0),L50,L49)</f>
        <v>100</v>
      </c>
      <c r="M56" s="58"/>
    </row>
    <row r="57" spans="2:18" ht="15" hidden="1" customHeight="1">
      <c r="B57" s="49" t="str">
        <f>IF(($E51&gt;0),B51,B49)</f>
        <v>per 100 youth petitioned</v>
      </c>
      <c r="C57" s="49">
        <f>IF(($E51&gt;0),C51,C50)</f>
        <v>0.74</v>
      </c>
      <c r="D57" s="49">
        <f>IF(($E51&gt;0),D51,D50)</f>
        <v>0.03</v>
      </c>
      <c r="E57" s="49">
        <f>MAX(C57:D57)</f>
        <v>0.74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0.01</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18.177</v>
      </c>
      <c r="D60" s="56">
        <f>D54</f>
        <v>1.2649999999999999</v>
      </c>
      <c r="E60" s="56">
        <f>MAX(C60:D60)</f>
        <v>18.177</v>
      </c>
      <c r="G60" s="1" t="str">
        <f>G54</f>
        <v>per 1000 youth</v>
      </c>
      <c r="L60" s="58">
        <f>L54</f>
        <v>1000</v>
      </c>
      <c r="M60" s="58"/>
    </row>
    <row r="61" spans="2:18" ht="15" hidden="1" customHeight="1">
      <c r="B61" s="49" t="str">
        <f t="shared" ref="B61:D62" si="11">IF(($E55&gt;0),B55,B54)</f>
        <v>per 100 arrests</v>
      </c>
      <c r="C61" s="49">
        <f t="shared" si="11"/>
        <v>0.27</v>
      </c>
      <c r="D61" s="49">
        <f t="shared" si="11"/>
        <v>0.06</v>
      </c>
      <c r="E61" s="49">
        <f>MAX(C61:D61)</f>
        <v>0.27</v>
      </c>
      <c r="G61" s="1" t="str">
        <f>G55</f>
        <v>per 100 arrests</v>
      </c>
      <c r="L61" s="58">
        <f>IF(($E55&gt;0),L55,L54)</f>
        <v>100</v>
      </c>
      <c r="M61" s="58"/>
    </row>
    <row r="62" spans="2:18" ht="15" hidden="1" customHeight="1">
      <c r="B62" s="49" t="str">
        <f t="shared" si="11"/>
        <v>per 100 referrals</v>
      </c>
      <c r="C62" s="49">
        <f t="shared" si="11"/>
        <v>1.32</v>
      </c>
      <c r="D62" s="49">
        <f t="shared" si="11"/>
        <v>0.06</v>
      </c>
      <c r="E62" s="49">
        <f>MAX(C62:D62)</f>
        <v>1.32</v>
      </c>
      <c r="G62" s="1" t="str">
        <f>G56</f>
        <v>per 100 referrals</v>
      </c>
      <c r="L62" s="58">
        <f>IF(($E56&gt;0),L56,L55)</f>
        <v>100</v>
      </c>
      <c r="M62" s="58"/>
    </row>
    <row r="63" spans="2:18" ht="15" hidden="1" customHeight="1">
      <c r="B63" s="49" t="str">
        <f>IF(($E57&gt;0),B57,B55)</f>
        <v>per 100 youth petitioned</v>
      </c>
      <c r="C63" s="49">
        <f>IF(($E57&gt;0),C57,C56)</f>
        <v>0.74</v>
      </c>
      <c r="D63" s="49">
        <f>IF(($E57&gt;0),D57,D56)</f>
        <v>0.03</v>
      </c>
      <c r="E63" s="49">
        <f>MAX(C63:D63)</f>
        <v>0.74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0.01</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18.177</v>
      </c>
      <c r="D66" s="56">
        <f>D60</f>
        <v>1.2649999999999999</v>
      </c>
      <c r="E66" s="56">
        <f>MAX(C66:D66)</f>
        <v>18.177</v>
      </c>
      <c r="G66" s="1" t="str">
        <f>G60</f>
        <v>per 1000 youth</v>
      </c>
      <c r="L66" s="58">
        <f>L60</f>
        <v>1000</v>
      </c>
      <c r="M66" s="58">
        <f>IF((B66=G66),1,2)</f>
        <v>1</v>
      </c>
    </row>
    <row r="67" spans="2:13" ht="15" hidden="1" customHeight="1">
      <c r="B67" s="49" t="str">
        <f t="shared" ref="B67:D68" si="12">IF(($E61&gt;0),B61,B60)</f>
        <v>per 100 arrests</v>
      </c>
      <c r="C67" s="49">
        <f t="shared" si="12"/>
        <v>0.27</v>
      </c>
      <c r="D67" s="49">
        <f t="shared" si="12"/>
        <v>0.06</v>
      </c>
      <c r="E67" s="49">
        <f>MAX(C67:D67)</f>
        <v>0.27</v>
      </c>
      <c r="G67" s="1" t="str">
        <f>G61</f>
        <v>per 100 arrests</v>
      </c>
      <c r="L67" s="58">
        <f>IF(($E61&gt;0),L61,L60)</f>
        <v>100</v>
      </c>
      <c r="M67" s="58">
        <f>IF((B67=G67),1,2)</f>
        <v>1</v>
      </c>
    </row>
    <row r="68" spans="2:13" ht="15" hidden="1" customHeight="1">
      <c r="B68" s="49" t="str">
        <f t="shared" si="12"/>
        <v>per 100 referrals</v>
      </c>
      <c r="C68" s="49">
        <f t="shared" si="12"/>
        <v>1.32</v>
      </c>
      <c r="D68" s="49">
        <f t="shared" si="12"/>
        <v>0.06</v>
      </c>
      <c r="E68" s="49">
        <f>MAX(C68:D68)</f>
        <v>1.32</v>
      </c>
      <c r="G68" s="1" t="str">
        <f>G62</f>
        <v>per 100 referrals</v>
      </c>
      <c r="L68" s="58">
        <f>IF(($E62&gt;0),L62,L61)</f>
        <v>100</v>
      </c>
      <c r="M68" s="58">
        <f>IF((B68=G68),1,2)</f>
        <v>1</v>
      </c>
    </row>
    <row r="69" spans="2:13" ht="15" hidden="1" customHeight="1">
      <c r="B69" s="49" t="str">
        <f>IF(($E63&gt;0),B63,B61)</f>
        <v>per 100 youth petitioned</v>
      </c>
      <c r="C69" s="49">
        <f>IF(($E63&gt;0),C63,C62)</f>
        <v>0.74</v>
      </c>
      <c r="D69" s="49">
        <f>IF(($E63&gt;0),D63,D62)</f>
        <v>0.03</v>
      </c>
      <c r="E69" s="49">
        <f>MAX(C69:D69)</f>
        <v>0.74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0.01</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Livingston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18.360606060606063</v>
      </c>
      <c r="D7" s="72" t="str">
        <f>Hispanic!G7</f>
        <v>**</v>
      </c>
      <c r="E7" s="72" t="str">
        <f>Asian!G7</f>
        <v>**</v>
      </c>
      <c r="F7" s="72" t="str">
        <f>Hawaiian!G7</f>
        <v>*</v>
      </c>
      <c r="G7" s="72" t="str">
        <f>'Am Indian'!G7</f>
        <v>*</v>
      </c>
      <c r="H7" s="72" t="str">
        <f>'Other - Mixed'!G7</f>
        <v>*</v>
      </c>
      <c r="I7" s="73">
        <f>'All Minorities'!G7</f>
        <v>3.1931488801054022</v>
      </c>
      <c r="L7" s="1">
        <f>'Black or African-American'!L7</f>
        <v>1</v>
      </c>
      <c r="M7" s="1">
        <f>Hispanic!L7</f>
        <v>40</v>
      </c>
      <c r="N7" s="1">
        <f>Asian!L7</f>
        <v>40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f>'Other - Mixed'!L10</f>
        <v>119</v>
      </c>
      <c r="R10" s="1">
        <f>'All Minorities'!L10</f>
        <v>20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f>'Other - Mixed'!L14</f>
        <v>119</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19442</v>
      </c>
      <c r="D3" s="57">
        <f>'Data Entry'!C6</f>
        <v>18177</v>
      </c>
      <c r="E3" s="57">
        <f>'Data Entry'!D6</f>
        <v>220</v>
      </c>
      <c r="F3" s="57">
        <f>'Data Entry'!E6</f>
        <v>719</v>
      </c>
      <c r="G3" s="57">
        <f>'Data Entry'!F6</f>
        <v>244</v>
      </c>
      <c r="H3" s="57">
        <f>'Data Entry'!G6</f>
        <v>0</v>
      </c>
      <c r="I3" s="57">
        <f>'Data Entry'!H6</f>
        <v>82</v>
      </c>
      <c r="J3" s="57">
        <f>'Data Entry'!I6</f>
        <v>0</v>
      </c>
      <c r="K3" s="57">
        <f>'Data Entry'!J6</f>
        <v>1265</v>
      </c>
    </row>
    <row r="4" spans="2:11" ht="15" customHeight="1">
      <c r="B4" s="16" t="s">
        <v>8</v>
      </c>
      <c r="C4" s="1">
        <f>IF((C$3&gt;0),(1000*('Data Entry'!B7/'Data Entry'!B$6)), 0)</f>
        <v>1.9030963892603641</v>
      </c>
      <c r="D4" s="1">
        <f>IF((D$3&gt;0),(1000*('Data Entry'!C7/'Data Entry'!C$6)), 0)</f>
        <v>1.4853936293117675</v>
      </c>
      <c r="E4" s="1">
        <f>IF((E$3&gt;0),(1000*('Data Entry'!D7/'Data Entry'!D$6)), 0)</f>
        <v>27.27272727272727</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4.7430830039525693</v>
      </c>
    </row>
    <row r="5" spans="2:11" ht="15" customHeight="1">
      <c r="B5" s="16" t="s">
        <v>9</v>
      </c>
      <c r="C5" s="1">
        <f>IF((C$3&gt;0),(1000*('Data Entry'!B8/'Data Entry'!B$6)), 0)</f>
        <v>7.0980351815656828</v>
      </c>
      <c r="D5" s="1">
        <f>IF((D$3&gt;0),(1000*('Data Entry'!C8/'Data Entry'!C$6)), 0)</f>
        <v>7.2619244099686417</v>
      </c>
      <c r="E5" s="1">
        <f>IF((E$3&gt;0),(1000*('Data Entry'!D8/'Data Entry'!D$6)), 0)</f>
        <v>13.636363636363635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4.7430830039525693</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0.30861022528546445</v>
      </c>
      <c r="D7" s="1">
        <f>IF((D$3&gt;0),(1000*('Data Entry'!C10/'Data Entry'!C$6)), 0)</f>
        <v>0.22005831545359522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1.5810276679841897</v>
      </c>
    </row>
    <row r="8" spans="2:11" ht="15" customHeight="1">
      <c r="B8" s="16" t="s">
        <v>95</v>
      </c>
      <c r="C8" s="1">
        <f>IF((C$3&gt;0),(1000*('Data Entry'!B11/'Data Entry'!B$6)), 0)</f>
        <v>3.9604978911634601</v>
      </c>
      <c r="D8" s="1">
        <f>IF((D$3&gt;0),(1000*('Data Entry'!C11/'Data Entry'!C$6)), 0)</f>
        <v>4.0710788358915106</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2.3715415019762847</v>
      </c>
    </row>
    <row r="9" spans="2:11" ht="15" customHeight="1">
      <c r="B9" s="16" t="s">
        <v>13</v>
      </c>
      <c r="C9" s="1">
        <f>IF((C$3&gt;0),(1000*('Data Entry'!B12/'Data Entry'!B$6)), 0)</f>
        <v>1.8002263141652093</v>
      </c>
      <c r="D9" s="1">
        <f>IF((D$3&gt;0),(1000*('Data Entry'!C12/'Data Entry'!C$6)), 0)</f>
        <v>1.8704956813555593</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0.79051383399209485</v>
      </c>
    </row>
    <row r="10" spans="2:11" ht="15" customHeight="1">
      <c r="B10" s="16" t="s">
        <v>14</v>
      </c>
      <c r="C10" s="1">
        <f>IF((C$3&gt;0),(1000*('Data Entry'!B13/'Data Entry'!B$6)), 0)</f>
        <v>2.8803621026643351</v>
      </c>
      <c r="D10" s="1">
        <f>IF((D$3&gt;0),(1000*('Data Entry'!C13/'Data Entry'!C$6)), 0)</f>
        <v>2.9707872586235351</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1.5810276679841897</v>
      </c>
    </row>
    <row r="11" spans="2:11" ht="25.5" customHeight="1">
      <c r="B11" s="16" t="s">
        <v>15</v>
      </c>
      <c r="C11" s="1">
        <f>IF((C$3&gt;0),(1000*('Data Entry'!B14/'Data Entry'!B$6)), 0)</f>
        <v>0.20574015019030964</v>
      </c>
      <c r="D11" s="1">
        <f>IF((D$3&gt;0),(1000*('Data Entry'!C14/'Data Entry'!C$6)), 0)</f>
        <v>0.11002915772679761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1.5810276679841897</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Livingston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18.360606060606059</v>
      </c>
      <c r="E19" s="72" t="str">
        <f t="shared" si="1"/>
        <v>--</v>
      </c>
      <c r="F19" s="72" t="str">
        <f t="shared" si="1"/>
        <v>--</v>
      </c>
      <c r="G19" s="72" t="str">
        <f t="shared" si="1"/>
        <v>--</v>
      </c>
      <c r="H19" s="72" t="str">
        <f t="shared" si="1"/>
        <v>--</v>
      </c>
      <c r="I19" s="72" t="str">
        <f t="shared" si="1"/>
        <v>--</v>
      </c>
      <c r="J19" s="73">
        <f t="shared" si="1"/>
        <v>3.1931488801054022</v>
      </c>
    </row>
    <row r="20" spans="2:10" ht="15" customHeight="1">
      <c r="B20" s="71" t="s">
        <v>9</v>
      </c>
      <c r="C20" s="72">
        <f t="shared" ref="C20:J27" si="2">IF(AND(($D5&gt;0),(D5&gt;0)), (D5/$D5),"--")</f>
        <v>1</v>
      </c>
      <c r="D20" s="72">
        <f t="shared" si="2"/>
        <v>1.8777892561983469</v>
      </c>
      <c r="E20" s="72" t="str">
        <f t="shared" si="2"/>
        <v>--</v>
      </c>
      <c r="F20" s="72" t="str">
        <f t="shared" si="2"/>
        <v>--</v>
      </c>
      <c r="G20" s="72" t="str">
        <f t="shared" si="2"/>
        <v>--</v>
      </c>
      <c r="H20" s="72" t="str">
        <f t="shared" si="2"/>
        <v>--</v>
      </c>
      <c r="I20" s="72" t="str">
        <f t="shared" si="2"/>
        <v>--</v>
      </c>
      <c r="J20" s="73">
        <f t="shared" si="2"/>
        <v>0.65314408911246857</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f t="shared" si="2"/>
        <v>7.1845849802371538</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0.58253391731652615</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0.42262264589630316</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f t="shared" si="2"/>
        <v>0.532191480017567</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14.369169960474308</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Livingston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18177</v>
      </c>
      <c r="D7" s="104">
        <f>'Data Entry'!D6</f>
        <v>220</v>
      </c>
      <c r="E7" s="105"/>
      <c r="F7" s="106">
        <f>'Data Entry'!E6</f>
        <v>719</v>
      </c>
      <c r="G7" s="105"/>
      <c r="H7" s="106">
        <f>'Data Entry'!F6</f>
        <v>244</v>
      </c>
      <c r="I7" s="105"/>
      <c r="J7" s="106">
        <f>'Data Entry'!G6</f>
        <v>0</v>
      </c>
      <c r="K7" s="105"/>
      <c r="L7" s="106">
        <f>'Data Entry'!H6</f>
        <v>82</v>
      </c>
      <c r="M7" s="105"/>
      <c r="N7" s="106">
        <f>'Data Entry'!I6</f>
        <v>0</v>
      </c>
      <c r="O7" s="105"/>
      <c r="P7" s="106">
        <f>'Data Entry'!J6</f>
        <v>1265</v>
      </c>
      <c r="Q7" s="107"/>
    </row>
    <row r="8" spans="2:26" s="1" customFormat="1" ht="15" customHeight="1">
      <c r="B8" s="142" t="s">
        <v>8</v>
      </c>
      <c r="C8" s="103">
        <f>'Data Entry'!C7</f>
        <v>27</v>
      </c>
      <c r="D8" s="104">
        <f>'Data Entry'!D7</f>
        <v>6</v>
      </c>
      <c r="E8" s="105">
        <f>'Black or African-American'!$G7</f>
        <v>18.360606060606063</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6</v>
      </c>
      <c r="Q8" s="107">
        <f>'All Minorities'!G7</f>
        <v>3.1931488801054022</v>
      </c>
      <c r="R8"/>
      <c r="T8" s="1">
        <f>'Black or African-American'!L7</f>
        <v>1</v>
      </c>
      <c r="U8" s="1">
        <f>Hispanic!L7</f>
        <v>40</v>
      </c>
      <c r="V8" s="1">
        <f>Asian!L7</f>
        <v>40</v>
      </c>
      <c r="W8" s="1" t="e">
        <f>Hawaiian!L7</f>
        <v>#VALUE!</v>
      </c>
      <c r="X8" s="1">
        <f>'Am Indian'!L7</f>
        <v>139</v>
      </c>
      <c r="Y8" s="1" t="e">
        <f>'Other - Mixed'!L7</f>
        <v>#VALUE!</v>
      </c>
      <c r="Z8" s="1">
        <f>'All Minorities'!L7</f>
        <v>1</v>
      </c>
    </row>
    <row r="9" spans="2:26" s="1" customFormat="1" ht="15" customHeight="1">
      <c r="B9" s="142" t="s">
        <v>134</v>
      </c>
      <c r="C9" s="103">
        <f>'Data Entry'!C8</f>
        <v>132</v>
      </c>
      <c r="D9" s="108">
        <f>'Data Entry'!D8</f>
        <v>3</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3</v>
      </c>
      <c r="O9" s="109" t="str">
        <f>'Other - Mixed'!G8</f>
        <v>*</v>
      </c>
      <c r="P9" s="110">
        <f>'Data Entry'!J8</f>
        <v>6</v>
      </c>
      <c r="Q9" s="111" t="str">
        <f>'All Minorities'!G8</f>
        <v>**</v>
      </c>
      <c r="R9"/>
      <c r="T9" s="1">
        <f>'Black or African-American'!L8</f>
        <v>20</v>
      </c>
      <c r="U9" s="1">
        <f>Hispanic!L8</f>
        <v>40</v>
      </c>
      <c r="V9" s="1">
        <f>Asian!L8</f>
        <v>40</v>
      </c>
      <c r="W9" s="1">
        <f>Hawaiian!L8</f>
        <v>139</v>
      </c>
      <c r="X9" s="1">
        <f>'Am Indian'!L8</f>
        <v>139</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4</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2</v>
      </c>
      <c r="O11" s="109" t="str">
        <f>'Other - Mixed'!G10</f>
        <v>*</v>
      </c>
      <c r="P11" s="110">
        <f>'Data Entry'!J10</f>
        <v>2</v>
      </c>
      <c r="Q11" s="111" t="str">
        <f>'All Minorities'!G10</f>
        <v>**</v>
      </c>
      <c r="R11"/>
      <c r="T11" s="1">
        <f>'Black or African-American'!L10</f>
        <v>40</v>
      </c>
      <c r="U11" s="1" t="e">
        <f>Hispanic!L10</f>
        <v>#VALUE!</v>
      </c>
      <c r="V11" s="1" t="e">
        <f>Asian!L10</f>
        <v>#VALUE!</v>
      </c>
      <c r="W11" s="1" t="e">
        <f>Hawaiian!L10</f>
        <v>#VALUE!</v>
      </c>
      <c r="X11" s="1" t="e">
        <f>'Am Indian'!L10</f>
        <v>#VALUE!</v>
      </c>
      <c r="Y11" s="1">
        <f>'Other - Mixed'!L10</f>
        <v>119</v>
      </c>
      <c r="Z11" s="1">
        <f>'All Minorities'!L10</f>
        <v>20</v>
      </c>
    </row>
    <row r="12" spans="2:26" s="1" customFormat="1" ht="15" customHeight="1">
      <c r="B12" s="142" t="s">
        <v>95</v>
      </c>
      <c r="C12" s="103">
        <f>'Data Entry'!C11</f>
        <v>74</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3</v>
      </c>
      <c r="O12" s="113" t="str">
        <f>'Other - Mixed'!G11</f>
        <v>*</v>
      </c>
      <c r="P12" s="114">
        <f>'Data Entry'!J11</f>
        <v>3</v>
      </c>
      <c r="Q12" s="115"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34</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1</v>
      </c>
      <c r="Q13" s="111" t="str">
        <f>'All Minorities'!G12</f>
        <v>**</v>
      </c>
      <c r="R13"/>
      <c r="T13" s="1" t="e">
        <f>'Black or African-American'!L12</f>
        <v>#VALUE!</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54</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2</v>
      </c>
      <c r="O14" s="113" t="str">
        <f>'Other - Mixed'!G13</f>
        <v>*</v>
      </c>
      <c r="P14" s="114">
        <f>'Data Entry'!J13</f>
        <v>2</v>
      </c>
      <c r="Q14" s="115" t="str">
        <f>'All Minorities'!G13</f>
        <v>**</v>
      </c>
      <c r="R14"/>
      <c r="T14" s="1" t="e">
        <f>'Black or African-American'!L13</f>
        <v>#VALUE!</v>
      </c>
      <c r="U14" s="1" t="e">
        <f>Hispanic!L13</f>
        <v>#VALUE!</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2</v>
      </c>
      <c r="O15" s="109" t="str">
        <f>'Other - Mixed'!G14</f>
        <v>*</v>
      </c>
      <c r="P15" s="110">
        <f>'Data Entry'!J14</f>
        <v>2</v>
      </c>
      <c r="Q15" s="111" t="str">
        <f>'All Minorities'!G14</f>
        <v>**</v>
      </c>
      <c r="R15"/>
      <c r="T15" s="1" t="e">
        <f>'Black or African-American'!L14</f>
        <v>#VALUE!</v>
      </c>
      <c r="U15" s="1" t="e">
        <f>Hispanic!L14</f>
        <v>#VALUE!</v>
      </c>
      <c r="V15" s="1" t="e">
        <f>Asian!L14</f>
        <v>#VALUE!</v>
      </c>
      <c r="W15" s="1" t="e">
        <f>Hawaiian!L14</f>
        <v>#VALUE!</v>
      </c>
      <c r="X15" s="1" t="e">
        <f>'Am Indian'!L14</f>
        <v>#VALUE!</v>
      </c>
      <c r="Y15" s="1">
        <f>'Other - Mixed'!L14</f>
        <v>119</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Livingston</v>
      </c>
    </row>
    <row r="6" spans="1:12">
      <c r="A6" s="135" t="str">
        <f>CONCATENATE("Percentage of Minorities at Stages of the Juvenile Justice System, ", A5, " 2022")</f>
        <v>Percentage of Minorities at Stages of the Juvenile Justice System, County: Livingston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14.369169960474308</v>
      </c>
    </row>
    <row r="8" spans="1:12" ht="25.5" customHeight="1">
      <c r="A8" s="151" t="str">
        <f>CONCATENATE("Confinement, total N=", 'Data Entry'!B14)</f>
        <v>Confinement, total N=4</v>
      </c>
      <c r="B8" s="150">
        <f>'Data Entry'!D14/'Data Entry'!B14</f>
        <v>0</v>
      </c>
      <c r="C8" s="150">
        <f>'Data Entry'!E14/'Data Entry'!B14</f>
        <v>0</v>
      </c>
      <c r="D8" s="150">
        <f>'Data Entry'!F14/'Data Entry'!B14</f>
        <v>0</v>
      </c>
      <c r="E8" s="150">
        <f>'Data Entry'!G14/'Data Entry'!B14</f>
        <v>0</v>
      </c>
      <c r="F8" s="150">
        <f>'Data Entry'!H14/'Data Entry'!B14</f>
        <v>0</v>
      </c>
      <c r="G8" s="150">
        <f>'Data Entry'!I14/'Data Entry'!B14</f>
        <v>0.5</v>
      </c>
      <c r="H8" s="150">
        <f>SUM(D8:G8)/'Data Entry'!B14</f>
        <v>0.125</v>
      </c>
      <c r="I8" s="150">
        <f>'Data Entry'!C14/'Data Entry'!B14</f>
        <v>0.5</v>
      </c>
      <c r="K8" s="96" t="str">
        <f>A8</f>
        <v>Confinement, total N=4</v>
      </c>
      <c r="L8">
        <f>I14/(SUM(B14:G14))</f>
        <v>14.369169960474308</v>
      </c>
    </row>
    <row r="9" spans="1:12">
      <c r="A9" s="128" t="str">
        <f>CONCATENATE("Delinquent Findings, total N=", 'Data Entry'!B12)</f>
        <v>Delinquent Findings, total N=35</v>
      </c>
      <c r="B9" s="150">
        <f>'Data Entry'!D12/'Data Entry'!B12</f>
        <v>0</v>
      </c>
      <c r="C9" s="150">
        <f>'Data Entry'!E12/'Data Entry'!B12</f>
        <v>0</v>
      </c>
      <c r="D9" s="150">
        <f>'Data Entry'!F12/'Data Entry'!B12</f>
        <v>0</v>
      </c>
      <c r="E9" s="150">
        <f>'Data Entry'!G12/'Data Entry'!B12</f>
        <v>0</v>
      </c>
      <c r="F9" s="150">
        <f>'Data Entry'!H12/'Data Entry'!B12</f>
        <v>0</v>
      </c>
      <c r="G9" s="150">
        <f>'Data Entry'!I12/'Data Entry'!B12</f>
        <v>2.8571428571428571E-2</v>
      </c>
      <c r="H9" s="150">
        <f>SUM(D9:G9)/'Data Entry'!B12</f>
        <v>8.1632653061224482E-4</v>
      </c>
      <c r="I9" s="150">
        <f>'Data Entry'!C12/'Data Entry'!B12</f>
        <v>0.97142857142857142</v>
      </c>
      <c r="K9" s="96" t="str">
        <f t="shared" si="0"/>
        <v>Delinquent Findings, total N=35</v>
      </c>
      <c r="L9">
        <f>I14/(SUM(B14:G14))</f>
        <v>14.369169960474308</v>
      </c>
    </row>
    <row r="10" spans="1:12">
      <c r="A10" s="128" t="str">
        <f>CONCATENATE("Petitions, total N=", 'Data Entry'!B11)</f>
        <v>Petitions, total N=77</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3.896103896103896E-2</v>
      </c>
      <c r="H10" s="150">
        <f>SUM(D10:G10)/'Data Entry'!B11</f>
        <v>5.0598751897453192E-4</v>
      </c>
      <c r="I10" s="150">
        <f>'Data Entry'!C11/'Data Entry'!B11</f>
        <v>0.96103896103896103</v>
      </c>
      <c r="K10" s="96" t="str">
        <f t="shared" si="0"/>
        <v>Petitions, total N=77</v>
      </c>
      <c r="L10">
        <f>I14/(SUM(B14:G14))</f>
        <v>14.369169960474308</v>
      </c>
    </row>
    <row r="11" spans="1:12">
      <c r="A11" s="128" t="str">
        <f>CONCATENATE("Detentions, total N=", 'Data Entry'!B10)</f>
        <v>Detentions, total N=6</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0.33333333333333331</v>
      </c>
      <c r="H11" s="150">
        <f>SUM(D11:G11)/'Data Entry'!B10</f>
        <v>5.5555555555555552E-2</v>
      </c>
      <c r="I11" s="150">
        <f>'Data Entry'!C10/'Data Entry'!B10</f>
        <v>0.66666666666666663</v>
      </c>
      <c r="K11" s="96" t="str">
        <f t="shared" si="0"/>
        <v>Detentions, total N=6</v>
      </c>
      <c r="L11">
        <f>I14/(SUM(B14:G14))</f>
        <v>14.369169960474308</v>
      </c>
    </row>
    <row r="12" spans="1:12">
      <c r="A12" s="128" t="str">
        <f>CONCATENATE("Referrals, total N=", 'Data Entry'!B8)</f>
        <v>Referrals, total N=138</v>
      </c>
      <c r="B12" s="150">
        <f>'Data Entry'!D8/'Data Entry'!B8</f>
        <v>2.1739130434782608E-2</v>
      </c>
      <c r="C12" s="150">
        <f>'Data Entry'!E8/'Data Entry'!B8</f>
        <v>0</v>
      </c>
      <c r="D12" s="150">
        <f>'Data Entry'!F8/'Data Entry'!B8</f>
        <v>0</v>
      </c>
      <c r="E12" s="150">
        <f>'Data Entry'!G8/'Data Entry'!B8</f>
        <v>0</v>
      </c>
      <c r="F12" s="150">
        <f>'Data Entry'!H8/'Data Entry'!B8</f>
        <v>0</v>
      </c>
      <c r="G12" s="150">
        <f>'Data Entry'!I8/'Data Entry'!B8</f>
        <v>2.1739130434782608E-2</v>
      </c>
      <c r="H12" s="150">
        <f>SUM(D12:G12)/'Data Entry'!B8</f>
        <v>1.575299306868305E-4</v>
      </c>
      <c r="I12" s="150">
        <f>'Data Entry'!C8/'Data Entry'!B8</f>
        <v>0.95652173913043481</v>
      </c>
      <c r="K12" s="96" t="str">
        <f t="shared" si="0"/>
        <v>Referrals, total N=138</v>
      </c>
      <c r="L12">
        <f>I14/(SUM(B14:G14))</f>
        <v>14.369169960474308</v>
      </c>
    </row>
    <row r="13" spans="1:12">
      <c r="A13" s="128" t="str">
        <f>CONCATENATE("Arrests, total N=", 'Data Entry'!B7)</f>
        <v>Arrests, total N=37</v>
      </c>
      <c r="B13" s="150">
        <f>'Data Entry'!D7/'Data Entry'!B7</f>
        <v>0.16216216216216217</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0.72972972972972971</v>
      </c>
      <c r="K13" s="96" t="str">
        <f t="shared" si="0"/>
        <v>Arrests, total N=37</v>
      </c>
      <c r="L13">
        <f>I14/(SUM(B14:G14))</f>
        <v>14.369169960474308</v>
      </c>
    </row>
    <row r="14" spans="1:12">
      <c r="A14" s="128" t="str">
        <f>CONCATENATE("Population, total N=", 'Data Entry'!B6)</f>
        <v>Population, total N=19442</v>
      </c>
      <c r="B14" s="150">
        <f>'Data Entry'!D6/'Data Entry'!B6</f>
        <v>1.1315708260467031E-2</v>
      </c>
      <c r="C14" s="150">
        <f>'Data Entry'!E6/'Data Entry'!B6</f>
        <v>3.698179199670816E-2</v>
      </c>
      <c r="D14" s="150">
        <f>'Data Entry'!F6/'Data Entry'!B6</f>
        <v>1.2550149161608888E-2</v>
      </c>
      <c r="E14" s="150">
        <f>'Data Entry'!G6/'Data Entry'!B6</f>
        <v>0</v>
      </c>
      <c r="F14" s="150">
        <f>'Data Entry'!H6/'Data Entry'!B6</f>
        <v>4.2176730789013472E-3</v>
      </c>
      <c r="G14" s="150">
        <f>'Data Entry'!I6/'Data Entry'!B6</f>
        <v>0</v>
      </c>
      <c r="H14" s="150">
        <f>SUM(D14:G14)/'Data Entry'!B6</f>
        <v>8.624535665317475E-7</v>
      </c>
      <c r="I14" s="150">
        <f>'Data Entry'!C6/'Data Entry'!B6</f>
        <v>0.93493467750231463</v>
      </c>
      <c r="K14" s="96" t="str">
        <f t="shared" si="0"/>
        <v>Population, total N=19442</v>
      </c>
      <c r="L14">
        <f>I14/(SUM(B14:G14))</f>
        <v>14.369169960474308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Livingston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18177</v>
      </c>
      <c r="D7" s="104">
        <f>'Data Entry'!D6</f>
        <v>220</v>
      </c>
      <c r="E7" s="105"/>
      <c r="F7" s="106">
        <f>'Data Entry'!E6</f>
        <v>719</v>
      </c>
      <c r="G7" s="105"/>
      <c r="H7" s="106">
        <f>'Data Entry'!F6</f>
        <v>244</v>
      </c>
      <c r="I7" s="105"/>
      <c r="J7" s="106">
        <f>'Data Entry'!J6</f>
        <v>1265</v>
      </c>
      <c r="K7" s="107"/>
    </row>
    <row r="8" spans="2:30" s="1" customFormat="1" ht="15" customHeight="1">
      <c r="B8" s="121" t="s">
        <v>8</v>
      </c>
      <c r="C8" s="103">
        <f>'Data Entry'!C7</f>
        <v>27</v>
      </c>
      <c r="D8" s="104">
        <f>'Data Entry'!D7</f>
        <v>6</v>
      </c>
      <c r="E8" s="105">
        <f>'Black or African-American'!$G7</f>
        <v>18.360606060606063</v>
      </c>
      <c r="F8" s="106">
        <f>'Data Entry'!E7</f>
        <v>0</v>
      </c>
      <c r="G8" s="105" t="str">
        <f>Hispanic!G7</f>
        <v>**</v>
      </c>
      <c r="H8" s="106">
        <f>'Data Entry'!F7</f>
        <v>0</v>
      </c>
      <c r="I8" s="105" t="str">
        <f>Asian!G7</f>
        <v>**</v>
      </c>
      <c r="J8" s="106">
        <f>'Data Entry'!J7</f>
        <v>6</v>
      </c>
      <c r="K8" s="107">
        <f>'All Minorities'!G7</f>
        <v>3.1931488801054022</v>
      </c>
      <c r="L8"/>
      <c r="N8" s="1">
        <f>'Black or African-American'!L7</f>
        <v>1</v>
      </c>
      <c r="O8" s="1">
        <f>Hispanic!L7</f>
        <v>40</v>
      </c>
      <c r="P8" s="1">
        <f>Asian!L7</f>
        <v>40</v>
      </c>
      <c r="Q8" s="1" t="e">
        <f>Hawaiian!L7</f>
        <v>#VALUE!</v>
      </c>
      <c r="R8" s="1">
        <f>'Am Indian'!L7</f>
        <v>139</v>
      </c>
      <c r="S8" s="1" t="e">
        <f>'Other - Mixed'!L7</f>
        <v>#VALUE!</v>
      </c>
      <c r="T8" s="1">
        <f>'All Minorities'!L7</f>
        <v>1</v>
      </c>
    </row>
    <row r="9" spans="2:30" s="1" customFormat="1" ht="15" customHeight="1">
      <c r="B9" s="121" t="s">
        <v>134</v>
      </c>
      <c r="C9" s="103">
        <f>'Data Entry'!C8</f>
        <v>132</v>
      </c>
      <c r="D9" s="108">
        <f>'Data Entry'!D8</f>
        <v>3</v>
      </c>
      <c r="E9" s="109" t="str">
        <f>'Black or African-American'!$G8</f>
        <v>**</v>
      </c>
      <c r="F9" s="110">
        <f>'Data Entry'!E8</f>
        <v>0</v>
      </c>
      <c r="G9" s="109" t="str">
        <f>Hispanic!G8</f>
        <v>**</v>
      </c>
      <c r="H9" s="110">
        <f>'Data Entry'!F8</f>
        <v>0</v>
      </c>
      <c r="I9" s="109" t="str">
        <f>Asian!G8</f>
        <v>**</v>
      </c>
      <c r="J9" s="110">
        <f>'Data Entry'!J8</f>
        <v>6</v>
      </c>
      <c r="K9" s="111" t="str">
        <f>'All Minorities'!G8</f>
        <v>**</v>
      </c>
      <c r="L9"/>
      <c r="N9" s="1">
        <f>'Black or African-American'!L8</f>
        <v>20</v>
      </c>
      <c r="O9" s="1">
        <f>Hispanic!L8</f>
        <v>40</v>
      </c>
      <c r="P9" s="1">
        <f>Asian!L8</f>
        <v>40</v>
      </c>
      <c r="Q9" s="1">
        <f>Hawaiian!L8</f>
        <v>139</v>
      </c>
      <c r="R9" s="1">
        <f>'Am Indian'!L8</f>
        <v>139</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4</v>
      </c>
      <c r="D11" s="108">
        <f>'Data Entry'!D10</f>
        <v>0</v>
      </c>
      <c r="E11" s="109" t="str">
        <f>'Black or African-American'!$G10</f>
        <v>**</v>
      </c>
      <c r="F11" s="110">
        <f>'Data Entry'!E10</f>
        <v>0</v>
      </c>
      <c r="G11" s="109" t="str">
        <f>Hispanic!G10</f>
        <v>--</v>
      </c>
      <c r="H11" s="110">
        <f>'Data Entry'!F10</f>
        <v>0</v>
      </c>
      <c r="I11" s="109" t="str">
        <f>Asian!G10</f>
        <v>--</v>
      </c>
      <c r="J11" s="110">
        <f>'Data Entry'!J10</f>
        <v>2</v>
      </c>
      <c r="K11" s="111" t="str">
        <f>'All Minorities'!G10</f>
        <v>**</v>
      </c>
      <c r="L11"/>
      <c r="N11" s="1">
        <f>'Black or African-American'!L10</f>
        <v>40</v>
      </c>
      <c r="O11" s="1" t="e">
        <f>Hispanic!L10</f>
        <v>#VALUE!</v>
      </c>
      <c r="P11" s="1" t="e">
        <f>Asian!L10</f>
        <v>#VALUE!</v>
      </c>
      <c r="Q11" s="1" t="e">
        <f>Hawaiian!L10</f>
        <v>#VALUE!</v>
      </c>
      <c r="R11" s="1" t="e">
        <f>'Am Indian'!L10</f>
        <v>#VALUE!</v>
      </c>
      <c r="S11" s="1">
        <f>'Other - Mixed'!L10</f>
        <v>119</v>
      </c>
      <c r="T11" s="1">
        <f>'All Minorities'!L10</f>
        <v>20</v>
      </c>
    </row>
    <row r="12" spans="2:30" s="1" customFormat="1" ht="15" customHeight="1">
      <c r="B12" s="121" t="s">
        <v>95</v>
      </c>
      <c r="C12" s="103">
        <f>'Data Entry'!C11</f>
        <v>74</v>
      </c>
      <c r="D12" s="112">
        <f>'Data Entry'!D11</f>
        <v>0</v>
      </c>
      <c r="E12" s="113" t="str">
        <f>'Black or African-American'!$G11</f>
        <v>**</v>
      </c>
      <c r="F12" s="114">
        <f>'Data Entry'!E11</f>
        <v>0</v>
      </c>
      <c r="G12" s="113" t="str">
        <f>Hispanic!G11</f>
        <v>--</v>
      </c>
      <c r="H12" s="114">
        <f>'Data Entry'!F11</f>
        <v>0</v>
      </c>
      <c r="I12" s="113" t="str">
        <f>Asian!G11</f>
        <v>--</v>
      </c>
      <c r="J12" s="114">
        <f>'Data Entry'!J11</f>
        <v>3</v>
      </c>
      <c r="K12" s="115"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34</v>
      </c>
      <c r="D13" s="108">
        <f>'Data Entry'!D12</f>
        <v>0</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t="e">
        <f>'Black or African-American'!L12</f>
        <v>#VALUE!</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54</v>
      </c>
      <c r="D14" s="112">
        <f>'Data Entry'!D13</f>
        <v>0</v>
      </c>
      <c r="E14" s="113" t="str">
        <f>'Black or African-American'!$G13</f>
        <v>--</v>
      </c>
      <c r="F14" s="114">
        <f>'Data Entry'!E13</f>
        <v>0</v>
      </c>
      <c r="G14" s="113" t="str">
        <f>Hispanic!G13</f>
        <v>--</v>
      </c>
      <c r="H14" s="114">
        <f>'Data Entry'!F13</f>
        <v>0</v>
      </c>
      <c r="I14" s="113" t="str">
        <f>Asian!G13</f>
        <v>--</v>
      </c>
      <c r="J14" s="114">
        <f>'Data Entry'!J13</f>
        <v>2</v>
      </c>
      <c r="K14" s="115" t="str">
        <f>'All Minorities'!G13</f>
        <v>**</v>
      </c>
      <c r="L14"/>
      <c r="N14" s="1" t="e">
        <f>'Black or African-American'!L13</f>
        <v>#VALUE!</v>
      </c>
      <c r="O14" s="1" t="e">
        <f>Hispanic!L13</f>
        <v>#VALUE!</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2</v>
      </c>
      <c r="K15" s="111" t="str">
        <f>'All Minorities'!G14</f>
        <v>**</v>
      </c>
      <c r="L15"/>
      <c r="N15" s="1" t="e">
        <f>'Black or African-American'!L14</f>
        <v>#VALUE!</v>
      </c>
      <c r="O15" s="1" t="e">
        <f>Hispanic!L14</f>
        <v>#VALUE!</v>
      </c>
      <c r="P15" s="1" t="e">
        <f>Asian!L14</f>
        <v>#VALUE!</v>
      </c>
      <c r="Q15" s="1" t="e">
        <f>Hawaiian!L14</f>
        <v>#VALUE!</v>
      </c>
      <c r="R15" s="1" t="e">
        <f>'Am Indian'!L14</f>
        <v>#VALUE!</v>
      </c>
      <c r="S15" s="1">
        <f>'Other - Mixed'!L14</f>
        <v>119</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18177</v>
      </c>
      <c r="D6" s="34"/>
      <c r="E6" s="33">
        <f>'Data Entry'!D6</f>
        <v>220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27</v>
      </c>
      <c r="D7" s="34">
        <f>IF((AND(C66&gt;0,C7&gt;0)),(C7/C66),0)</f>
        <v>1.4853936293117675</v>
      </c>
      <c r="E7" s="33">
        <f>'Data Entry'!D7</f>
        <v>6</v>
      </c>
      <c r="F7" s="34">
        <f>IF((AND($E$7&gt;0,$D$66&gt;0)),($E$7/$D$66),0)</f>
        <v>27.272727272727273</v>
      </c>
      <c r="G7" s="39">
        <f>IF(L$6=100,"*",IF(M7=FALSE,"--",IF(K7=20,"**",($F7/$D7))))</f>
        <v>18.360606060606063</v>
      </c>
      <c r="H7" s="40"/>
      <c r="I7" s="41"/>
      <c r="J7" s="40">
        <f>IF((ABS($U7)&gt;Defaults!D$7),1,2)</f>
        <v>1</v>
      </c>
      <c r="K7" s="39">
        <f>IF((AND(N7&gt;Defaults!B$12,(N7+O7)&gt;Defaults!B$13, P7 &gt; Defaults!B$12, (P7+Q7) &gt; Defaults!B$13)),1,20)</f>
        <v>1</v>
      </c>
      <c r="L7" s="1">
        <f>(J7*K7+L$6)-1</f>
        <v>1</v>
      </c>
      <c r="M7" s="1" t="b">
        <f t="shared" ref="M7:M15" si="0">(ISNUMBER(J7))</f>
        <v>1</v>
      </c>
      <c r="N7" s="42">
        <f t="shared" ref="N7:N15" si="1">E7</f>
        <v>6</v>
      </c>
      <c r="O7" s="42">
        <f>E6-E7</f>
        <v>214</v>
      </c>
      <c r="P7" s="42">
        <f t="shared" ref="P7:P15" si="2">C7</f>
        <v>27</v>
      </c>
      <c r="Q7" s="42">
        <f>C6-C7</f>
        <v>18150</v>
      </c>
      <c r="R7" s="42">
        <f t="shared" ref="R7:R15" si="3">SUM(N7:Q7)</f>
        <v>18397</v>
      </c>
      <c r="S7" s="30">
        <f t="shared" ref="S7:S15" si="4">R7*((((N7*Q7)-(O7*P7))^2))</f>
        <v>195636400224948</v>
      </c>
      <c r="T7" s="30">
        <f t="shared" ref="T7:T15" si="5">(N7+O7)*(P7+Q7)*(N7+P7)*(O7+Q7)</f>
        <v>2423405627280</v>
      </c>
      <c r="U7" s="31">
        <f t="shared" ref="U7:U15" si="6">IF((S7&gt;0),S7/T7,"- -")</f>
        <v>80.727880641478848</v>
      </c>
    </row>
    <row r="8" spans="2:21" ht="18" customHeight="1">
      <c r="B8" s="32" t="str">
        <f>'Data Entry'!A8</f>
        <v>3. Refer to Juvenile Court</v>
      </c>
      <c r="C8" s="33">
        <f>'Data Entry'!C8</f>
        <v>132</v>
      </c>
      <c r="D8" s="34">
        <f>IF((AND(C67&gt;0,C8&gt;0)),(C8/C67),0)</f>
        <v>488.88888888888886</v>
      </c>
      <c r="E8" s="33">
        <f>'Data Entry'!D8</f>
        <v>3</v>
      </c>
      <c r="F8" s="34">
        <f>IF((AND($E$8&gt;0,$D$67&gt;0)),($E8/$D67),0)</f>
        <v>50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v>
      </c>
      <c r="O8" s="42">
        <f>((D67*L67)-E8)+0.05</f>
        <v>3.05</v>
      </c>
      <c r="P8" s="42">
        <f t="shared" si="2"/>
        <v>132</v>
      </c>
      <c r="Q8" s="42">
        <f>(C$67*L67)-C8</f>
        <v>-105</v>
      </c>
      <c r="R8" s="42">
        <f t="shared" si="3"/>
        <v>33.050000000000011</v>
      </c>
      <c r="S8" s="30">
        <f t="shared" si="4"/>
        <v>17019089.568000004</v>
      </c>
      <c r="T8" s="30">
        <f t="shared" si="5"/>
        <v>-2248226.8875000002</v>
      </c>
      <c r="U8" s="31">
        <f t="shared" si="6"/>
        <v>-7.5700053507166336</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v>
      </c>
      <c r="P9" s="42">
        <f t="shared" si="2"/>
        <v>0</v>
      </c>
      <c r="Q9" s="42">
        <f>(C$68*L68)-C9</f>
        <v>132</v>
      </c>
      <c r="R9" s="42">
        <f t="shared" si="3"/>
        <v>135</v>
      </c>
      <c r="S9" s="30">
        <f t="shared" si="4"/>
        <v>0</v>
      </c>
      <c r="T9" s="30">
        <f t="shared" si="5"/>
        <v>0</v>
      </c>
      <c r="U9" s="31" t="str">
        <f t="shared" si="6"/>
        <v>- -</v>
      </c>
    </row>
    <row r="10" spans="2:21" ht="18" customHeight="1">
      <c r="B10" s="32" t="str">
        <f>'Data Entry'!A10</f>
        <v>5. Cases Involving Secure Detention</v>
      </c>
      <c r="C10" s="33">
        <f>'Data Entry'!C10</f>
        <v>4</v>
      </c>
      <c r="D10" s="34">
        <f>IF(((AND(C68&gt;0,C10&gt;0))),(C10/(C68)),0)</f>
        <v>3.0303030303030303</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3</v>
      </c>
      <c r="P10" s="42">
        <f t="shared" si="2"/>
        <v>4</v>
      </c>
      <c r="Q10" s="42">
        <f>(C$68*L68)-C10</f>
        <v>128</v>
      </c>
      <c r="R10" s="42">
        <f t="shared" si="3"/>
        <v>135</v>
      </c>
      <c r="S10" s="30">
        <f t="shared" si="4"/>
        <v>19440</v>
      </c>
      <c r="T10" s="30">
        <f t="shared" si="5"/>
        <v>207504</v>
      </c>
      <c r="U10" s="31">
        <f t="shared" si="6"/>
        <v>9.3684941013185294E-2</v>
      </c>
    </row>
    <row r="11" spans="2:21" ht="18" customHeight="1">
      <c r="B11" s="32" t="str">
        <f>'Data Entry'!A11</f>
        <v>6. Cases Petitioned (Charge Filed)</v>
      </c>
      <c r="C11" s="33">
        <f>'Data Entry'!C11</f>
        <v>74</v>
      </c>
      <c r="D11" s="34">
        <f>IF(((AND(C68&gt;0,C11&gt;0))),(C11/(C68)),0)</f>
        <v>56.060606060606055</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3</v>
      </c>
      <c r="P11" s="42">
        <f t="shared" si="2"/>
        <v>74</v>
      </c>
      <c r="Q11" s="42">
        <f>(C$68*L68)-C11</f>
        <v>58</v>
      </c>
      <c r="R11" s="42">
        <f t="shared" si="3"/>
        <v>135</v>
      </c>
      <c r="S11" s="30">
        <f t="shared" si="4"/>
        <v>6653340</v>
      </c>
      <c r="T11" s="30">
        <f t="shared" si="5"/>
        <v>1787544</v>
      </c>
      <c r="U11" s="31">
        <f t="shared" si="6"/>
        <v>3.7220566318926975</v>
      </c>
    </row>
    <row r="12" spans="2:21" ht="18" customHeight="1">
      <c r="B12" s="32" t="str">
        <f>'Data Entry'!A12</f>
        <v>7. Cases Resulting in Delinquent Findings</v>
      </c>
      <c r="C12" s="33">
        <f>'Data Entry'!C12</f>
        <v>34</v>
      </c>
      <c r="D12" s="34">
        <f>IF(((AND(C69&gt;0,C12&gt;0))),(C12/(C69)),0)</f>
        <v>45.945945945945944</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34</v>
      </c>
      <c r="Q12" s="42">
        <f>(C69*L69)-C12</f>
        <v>40</v>
      </c>
      <c r="R12" s="42">
        <f t="shared" si="3"/>
        <v>74</v>
      </c>
      <c r="S12" s="30">
        <f t="shared" si="4"/>
        <v>0</v>
      </c>
      <c r="T12" s="30">
        <f t="shared" si="5"/>
        <v>0</v>
      </c>
      <c r="U12" s="31" t="str">
        <f t="shared" si="6"/>
        <v>- -</v>
      </c>
    </row>
    <row r="13" spans="2:21" ht="18" customHeight="1">
      <c r="B13" s="32" t="str">
        <f>'Data Entry'!A13</f>
        <v>8. Cases Resulting in Probation Placement</v>
      </c>
      <c r="C13" s="33">
        <f>'Data Entry'!C13</f>
        <v>54</v>
      </c>
      <c r="D13" s="34">
        <f>IF(((AND(C70&gt;0,C13&gt;0))),(C13/(C70)),0)</f>
        <v>158.8235294117647</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54</v>
      </c>
      <c r="Q13" s="42">
        <f>(C70*L70)-C13</f>
        <v>-20</v>
      </c>
      <c r="R13" s="42">
        <f t="shared" si="3"/>
        <v>34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5.8823529411764701</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32</v>
      </c>
      <c r="R14" s="42">
        <f t="shared" si="3"/>
        <v>34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74</v>
      </c>
      <c r="R15" s="42">
        <f t="shared" si="3"/>
        <v>74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18.177</v>
      </c>
      <c r="D42" s="56">
        <f>E6/1000</f>
        <v>0.22</v>
      </c>
      <c r="E42" s="56">
        <f>MAX(C42:D42)</f>
        <v>18.177</v>
      </c>
      <c r="G42" s="1" t="str">
        <f>B42</f>
        <v>per 1000 youth</v>
      </c>
      <c r="L42" s="57">
        <v>1000</v>
      </c>
      <c r="M42" s="57"/>
      <c r="R42" s="49"/>
    </row>
    <row r="43" spans="2:18" ht="15" hidden="1" customHeight="1">
      <c r="B43" s="49" t="s">
        <v>87</v>
      </c>
      <c r="C43" s="56">
        <f>C7/100</f>
        <v>0.27</v>
      </c>
      <c r="D43" s="56">
        <f>E7/100</f>
        <v>0.06</v>
      </c>
      <c r="E43" s="56">
        <f>MAX(C43:D43,0)</f>
        <v>0.27</v>
      </c>
      <c r="G43" s="1" t="str">
        <f>B43</f>
        <v>per 100 arrests</v>
      </c>
      <c r="L43" s="57">
        <v>100</v>
      </c>
      <c r="M43" s="57"/>
      <c r="R43" s="49"/>
    </row>
    <row r="44" spans="2:18" ht="15" hidden="1" customHeight="1">
      <c r="B44" s="49" t="s">
        <v>88</v>
      </c>
      <c r="C44" s="56">
        <f>C8/100</f>
        <v>1.32</v>
      </c>
      <c r="D44" s="56">
        <f>E8/100</f>
        <v>0.03</v>
      </c>
      <c r="E44" s="56">
        <f>MAX(C44:D44,0)</f>
        <v>1.32</v>
      </c>
      <c r="G44" s="1" t="str">
        <f>B44</f>
        <v>per 100 referrals</v>
      </c>
      <c r="L44" s="57">
        <v>100</v>
      </c>
      <c r="M44" s="57"/>
      <c r="R44" s="49"/>
    </row>
    <row r="45" spans="2:18" ht="15" hidden="1" customHeight="1">
      <c r="B45" s="49" t="s">
        <v>89</v>
      </c>
      <c r="C45" s="49">
        <f>C11/100</f>
        <v>0.74</v>
      </c>
      <c r="D45" s="49">
        <f>E11/100</f>
        <v>0</v>
      </c>
      <c r="E45" s="56">
        <f>MAX(C45:D45,0)</f>
        <v>0.74</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18.177</v>
      </c>
      <c r="D48" s="56">
        <f>D42</f>
        <v>0.22</v>
      </c>
      <c r="E48" s="56">
        <f>MAX(C48:D48)</f>
        <v>18.177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0.27</v>
      </c>
      <c r="D49" s="49">
        <f t="shared" si="9"/>
        <v>0.06</v>
      </c>
      <c r="E49" s="49">
        <f>MAX(C49:D49)</f>
        <v>0.27</v>
      </c>
      <c r="G49" s="1" t="str">
        <f>G43</f>
        <v>per 100 arrests</v>
      </c>
      <c r="L49" s="58">
        <f>IF(($E43&gt;0),L43,L42)</f>
        <v>100</v>
      </c>
      <c r="M49" s="58"/>
      <c r="N49" s="21"/>
      <c r="O49" s="21"/>
      <c r="P49" s="21"/>
      <c r="Q49" s="21"/>
      <c r="R49" s="21"/>
    </row>
    <row r="50" spans="2:18" ht="15" hidden="1" customHeight="1">
      <c r="B50" s="49" t="str">
        <f t="shared" si="9"/>
        <v>per 100 referrals</v>
      </c>
      <c r="C50" s="49">
        <f t="shared" si="9"/>
        <v>1.32</v>
      </c>
      <c r="D50" s="49">
        <f t="shared" si="9"/>
        <v>0.03</v>
      </c>
      <c r="E50" s="49">
        <f>MAX(C50:D50)</f>
        <v>1.32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0.74</v>
      </c>
      <c r="D51" s="49">
        <f>IF(($E45&gt;0),D45,D44)</f>
        <v>0</v>
      </c>
      <c r="E51" s="49">
        <f>MAX(C51:D51)</f>
        <v>0.74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18.177</v>
      </c>
      <c r="D54" s="56">
        <f>D48</f>
        <v>0.22</v>
      </c>
      <c r="E54" s="56">
        <f>MAX(C54:D54)</f>
        <v>18.177</v>
      </c>
      <c r="G54" s="1" t="str">
        <f>G48</f>
        <v>per 1000 youth</v>
      </c>
      <c r="L54" s="58">
        <f>L48</f>
        <v>1000</v>
      </c>
      <c r="M54" s="58"/>
    </row>
    <row r="55" spans="2:18" ht="15" hidden="1" customHeight="1">
      <c r="B55" s="49" t="str">
        <f t="shared" ref="B55:D56" si="10">IF(($E49&gt;0),B49,B48)</f>
        <v>per 100 arrests</v>
      </c>
      <c r="C55" s="49">
        <f t="shared" si="10"/>
        <v>0.27</v>
      </c>
      <c r="D55" s="49">
        <f t="shared" si="10"/>
        <v>0.06</v>
      </c>
      <c r="E55" s="49">
        <f>MAX(C55:D55)</f>
        <v>0.27</v>
      </c>
      <c r="G55" s="1" t="str">
        <f>G49</f>
        <v>per 100 arrests</v>
      </c>
      <c r="L55" s="58">
        <f>IF(($E49&gt;0),L49,L48)</f>
        <v>100</v>
      </c>
      <c r="M55" s="58"/>
    </row>
    <row r="56" spans="2:18" ht="15" hidden="1" customHeight="1">
      <c r="B56" s="49" t="str">
        <f t="shared" si="10"/>
        <v>per 100 referrals</v>
      </c>
      <c r="C56" s="49">
        <f t="shared" si="10"/>
        <v>1.32</v>
      </c>
      <c r="D56" s="49">
        <f t="shared" si="10"/>
        <v>0.03</v>
      </c>
      <c r="E56" s="49">
        <f>MAX(C56:D56)</f>
        <v>1.32</v>
      </c>
      <c r="G56" s="1" t="str">
        <f>G50</f>
        <v>per 100 referrals</v>
      </c>
      <c r="L56" s="58">
        <f>IF(($E50&gt;0),L50,L49)</f>
        <v>100</v>
      </c>
      <c r="M56" s="58"/>
    </row>
    <row r="57" spans="2:18" ht="15" hidden="1" customHeight="1">
      <c r="B57" s="49" t="str">
        <f>IF(($E51&gt;0),B51,B49)</f>
        <v>per 100 youth petitioned</v>
      </c>
      <c r="C57" s="49">
        <f>IF(($E51&gt;0),C51,C50)</f>
        <v>0.74</v>
      </c>
      <c r="D57" s="49">
        <f>IF(($E51&gt;0),D51,D50)</f>
        <v>0</v>
      </c>
      <c r="E57" s="49">
        <f>MAX(C57:D57)</f>
        <v>0.74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18.177</v>
      </c>
      <c r="D60" s="56">
        <f>D54</f>
        <v>0.22</v>
      </c>
      <c r="E60" s="56">
        <f>MAX(C60:D60)</f>
        <v>18.177</v>
      </c>
      <c r="G60" s="1" t="str">
        <f>G54</f>
        <v>per 1000 youth</v>
      </c>
      <c r="L60" s="58">
        <f>L54</f>
        <v>1000</v>
      </c>
      <c r="M60" s="58"/>
    </row>
    <row r="61" spans="2:18" ht="15" hidden="1" customHeight="1">
      <c r="B61" s="49" t="str">
        <f t="shared" ref="B61:D62" si="11">IF(($E55&gt;0),B55,B54)</f>
        <v>per 100 arrests</v>
      </c>
      <c r="C61" s="49">
        <f t="shared" si="11"/>
        <v>0.27</v>
      </c>
      <c r="D61" s="49">
        <f t="shared" si="11"/>
        <v>0.06</v>
      </c>
      <c r="E61" s="49">
        <f>MAX(C61:D61)</f>
        <v>0.27</v>
      </c>
      <c r="G61" s="1" t="str">
        <f>G55</f>
        <v>per 100 arrests</v>
      </c>
      <c r="L61" s="58">
        <f>IF(($E55&gt;0),L55,L54)</f>
        <v>100</v>
      </c>
      <c r="M61" s="58"/>
    </row>
    <row r="62" spans="2:18" ht="15" hidden="1" customHeight="1">
      <c r="B62" s="49" t="str">
        <f t="shared" si="11"/>
        <v>per 100 referrals</v>
      </c>
      <c r="C62" s="49">
        <f t="shared" si="11"/>
        <v>1.32</v>
      </c>
      <c r="D62" s="49">
        <f t="shared" si="11"/>
        <v>0.03</v>
      </c>
      <c r="E62" s="49">
        <f>MAX(C62:D62)</f>
        <v>1.32</v>
      </c>
      <c r="G62" s="1" t="str">
        <f>G56</f>
        <v>per 100 referrals</v>
      </c>
      <c r="L62" s="58">
        <f>IF(($E56&gt;0),L56,L55)</f>
        <v>100</v>
      </c>
      <c r="M62" s="58"/>
    </row>
    <row r="63" spans="2:18" ht="15" hidden="1" customHeight="1">
      <c r="B63" s="49" t="str">
        <f>IF(($E57&gt;0),B57,B55)</f>
        <v>per 100 youth petitioned</v>
      </c>
      <c r="C63" s="49">
        <f>IF(($E57&gt;0),C57,C56)</f>
        <v>0.74</v>
      </c>
      <c r="D63" s="49">
        <f>IF(($E57&gt;0),D57,D56)</f>
        <v>0</v>
      </c>
      <c r="E63" s="49">
        <f>MAX(C63:D63)</f>
        <v>0.74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18.177</v>
      </c>
      <c r="D66" s="56">
        <f>D60</f>
        <v>0.22</v>
      </c>
      <c r="E66" s="56">
        <f>MAX(C66:D66)</f>
        <v>18.177</v>
      </c>
      <c r="G66" s="1" t="str">
        <f>G60</f>
        <v>per 1000 youth</v>
      </c>
      <c r="L66" s="58">
        <f>L60</f>
        <v>1000</v>
      </c>
      <c r="M66" s="58">
        <f>IF((B66=G66),1,2)</f>
        <v>1</v>
      </c>
    </row>
    <row r="67" spans="2:13" ht="15" hidden="1" customHeight="1">
      <c r="B67" s="49" t="str">
        <f t="shared" ref="B67:D68" si="12">IF(($E61&gt;0),B61,B60)</f>
        <v>per 100 arrests</v>
      </c>
      <c r="C67" s="49">
        <f t="shared" si="12"/>
        <v>0.27</v>
      </c>
      <c r="D67" s="49">
        <f t="shared" si="12"/>
        <v>0.06</v>
      </c>
      <c r="E67" s="49">
        <f>MAX(C67:D67)</f>
        <v>0.27</v>
      </c>
      <c r="G67" s="1" t="str">
        <f>G61</f>
        <v>per 100 arrests</v>
      </c>
      <c r="L67" s="58">
        <f>IF(($E61&gt;0),L61,L60)</f>
        <v>100</v>
      </c>
      <c r="M67" s="58">
        <f>IF((B67=G67),1,2)</f>
        <v>1</v>
      </c>
    </row>
    <row r="68" spans="2:13" ht="15" hidden="1" customHeight="1">
      <c r="B68" s="49" t="str">
        <f t="shared" si="12"/>
        <v>per 100 referrals</v>
      </c>
      <c r="C68" s="49">
        <f t="shared" si="12"/>
        <v>1.32</v>
      </c>
      <c r="D68" s="49">
        <f t="shared" si="12"/>
        <v>0.03</v>
      </c>
      <c r="E68" s="49">
        <f>MAX(C68:D68)</f>
        <v>1.32</v>
      </c>
      <c r="G68" s="1" t="str">
        <f>G62</f>
        <v>per 100 referrals</v>
      </c>
      <c r="L68" s="58">
        <f>IF(($E62&gt;0),L62,L61)</f>
        <v>100</v>
      </c>
      <c r="M68" s="58">
        <f>IF((B68=G68),1,2)</f>
        <v>1</v>
      </c>
    </row>
    <row r="69" spans="2:13" ht="15" hidden="1" customHeight="1">
      <c r="B69" s="49" t="str">
        <f>IF(($E63&gt;0),B63,B61)</f>
        <v>per 100 youth petitioned</v>
      </c>
      <c r="C69" s="49">
        <f>IF(($E63&gt;0),C63,C62)</f>
        <v>0.74</v>
      </c>
      <c r="D69" s="49">
        <f>IF(($E63&gt;0),D63,D62)</f>
        <v>0</v>
      </c>
      <c r="E69" s="49">
        <f>MAX(C69:D69)</f>
        <v>0.74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18177</v>
      </c>
      <c r="D6" s="34"/>
      <c r="E6" s="33">
        <f>'Data Entry'!F6</f>
        <v>244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27</v>
      </c>
      <c r="D7" s="34">
        <f>IF((AND(C66&gt;0,C7&gt;0)),(C7/C66),0)</f>
        <v>1.4853936293117675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244</v>
      </c>
      <c r="P7" s="42">
        <f t="shared" ref="P7:P15" si="4">C7</f>
        <v>27</v>
      </c>
      <c r="Q7" s="42">
        <f>C6-C7</f>
        <v>18150</v>
      </c>
      <c r="R7" s="42">
        <f t="shared" ref="R7:R15" si="5">SUM(N7:Q7)</f>
        <v>18421</v>
      </c>
      <c r="S7" s="30">
        <f t="shared" ref="S7:S15" si="6">R7*((((N7*Q7)-(O7*P7))^2))</f>
        <v>799503526224</v>
      </c>
      <c r="T7" s="30">
        <f t="shared" ref="T7:T15" si="7">(N7+O7)*(P7+Q7)*(N7+P7)*(O7+Q7)</f>
        <v>2202682897944</v>
      </c>
      <c r="U7" s="31">
        <f t="shared" ref="U7:U15" si="8">IF((S7&gt;0),S7/T7,"- -")</f>
        <v>0.36296805453488667</v>
      </c>
    </row>
    <row r="8" spans="2:21" ht="18" customHeight="1">
      <c r="B8" s="32" t="str">
        <f>'Data Entry'!A8</f>
        <v>3. Refer to Juvenile Court</v>
      </c>
      <c r="C8" s="33">
        <f>'Data Entry'!C8</f>
        <v>132</v>
      </c>
      <c r="D8" s="34">
        <f>IF((AND(C67&gt;0,C8&gt;0)),(C8/C67),0)</f>
        <v>488.88888888888886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132</v>
      </c>
      <c r="Q8" s="42">
        <f>(C$67*L67)-C8</f>
        <v>-105</v>
      </c>
      <c r="R8" s="42">
        <f t="shared" si="5"/>
        <v>27.050000000000011</v>
      </c>
      <c r="S8" s="30">
        <f t="shared" si="6"/>
        <v>1178.2980000000007</v>
      </c>
      <c r="T8" s="30">
        <f t="shared" si="7"/>
        <v>-18702.090000000004</v>
      </c>
      <c r="U8" s="31">
        <f t="shared" si="8"/>
        <v>-6.3003546662431867E-2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132</v>
      </c>
      <c r="R9" s="42">
        <f t="shared" si="5"/>
        <v>132</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3.0303030303030303</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128</v>
      </c>
      <c r="R10" s="42">
        <f t="shared" si="5"/>
        <v>132</v>
      </c>
      <c r="S10" s="30">
        <f t="shared" si="6"/>
        <v>0</v>
      </c>
      <c r="T10" s="30">
        <f t="shared" si="7"/>
        <v>0</v>
      </c>
      <c r="U10" s="31" t="str">
        <f t="shared" si="8"/>
        <v>- -</v>
      </c>
    </row>
    <row r="11" spans="2:21" ht="18" customHeight="1">
      <c r="B11" s="32" t="str">
        <f>'Data Entry'!A11</f>
        <v>6. Cases Petitioned (Charge Filed)</v>
      </c>
      <c r="C11" s="33">
        <f>'Data Entry'!C11</f>
        <v>74</v>
      </c>
      <c r="D11" s="34">
        <f>IF(((AND(C68&gt;0,C11&gt;0))),(C11/(C68)),0)</f>
        <v>56.060606060606055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74</v>
      </c>
      <c r="Q11" s="42">
        <f>(C$68*L68)-C11</f>
        <v>58</v>
      </c>
      <c r="R11" s="42">
        <f t="shared" si="5"/>
        <v>132</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45.945945945945944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40</v>
      </c>
      <c r="R12" s="42">
        <f t="shared" si="5"/>
        <v>74</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158.8235294117647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54</v>
      </c>
      <c r="Q13" s="42">
        <f>(C70*L70)-C13</f>
        <v>-20</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5.8823529411764701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32</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74</v>
      </c>
      <c r="R15" s="42">
        <f t="shared" si="5"/>
        <v>74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18.177</v>
      </c>
      <c r="D42" s="56">
        <f>E6/1000</f>
        <v>0.24399999999999999</v>
      </c>
      <c r="E42" s="56">
        <f>MAX(C42:D42)</f>
        <v>18.177</v>
      </c>
      <c r="G42" s="1" t="str">
        <f>B42</f>
        <v>per 1000 youth</v>
      </c>
      <c r="L42" s="57">
        <v>1000</v>
      </c>
      <c r="M42" s="57"/>
      <c r="R42" s="49"/>
    </row>
    <row r="43" spans="2:18" ht="15" hidden="1" customHeight="1">
      <c r="B43" s="49" t="s">
        <v>87</v>
      </c>
      <c r="C43" s="56">
        <f>C7/100</f>
        <v>0.27</v>
      </c>
      <c r="D43" s="56">
        <f>E7/100</f>
        <v>0</v>
      </c>
      <c r="E43" s="56">
        <f>MAX(C43:D43,0)</f>
        <v>0.27</v>
      </c>
      <c r="G43" s="1" t="str">
        <f>B43</f>
        <v>per 100 arrests</v>
      </c>
      <c r="L43" s="57">
        <v>100</v>
      </c>
      <c r="M43" s="57"/>
      <c r="R43" s="49"/>
    </row>
    <row r="44" spans="2:18" ht="15" hidden="1" customHeight="1">
      <c r="B44" s="49" t="s">
        <v>88</v>
      </c>
      <c r="C44" s="56">
        <f>C8/100</f>
        <v>1.32</v>
      </c>
      <c r="D44" s="56">
        <f>E8/100</f>
        <v>0</v>
      </c>
      <c r="E44" s="56">
        <f>MAX(C44:D44,0)</f>
        <v>1.32</v>
      </c>
      <c r="G44" s="1" t="str">
        <f>B44</f>
        <v>per 100 referrals</v>
      </c>
      <c r="L44" s="57">
        <v>100</v>
      </c>
      <c r="M44" s="57"/>
      <c r="R44" s="49"/>
    </row>
    <row r="45" spans="2:18" ht="15" hidden="1" customHeight="1">
      <c r="B45" s="49" t="s">
        <v>89</v>
      </c>
      <c r="C45" s="49">
        <f>C11/100</f>
        <v>0.74</v>
      </c>
      <c r="D45" s="49">
        <f>E11/100</f>
        <v>0</v>
      </c>
      <c r="E45" s="56">
        <f>MAX(C45:D45,0)</f>
        <v>0.74</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18.177</v>
      </c>
      <c r="D48" s="56">
        <f>D42</f>
        <v>0.24399999999999999</v>
      </c>
      <c r="E48" s="56">
        <f>MAX(C48:D48)</f>
        <v>18.177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c r="B50" s="49" t="str">
        <f t="shared" si="9"/>
        <v>per 100 referrals</v>
      </c>
      <c r="C50" s="49">
        <f t="shared" si="9"/>
        <v>1.32</v>
      </c>
      <c r="D50" s="49">
        <f t="shared" si="9"/>
        <v>0</v>
      </c>
      <c r="E50" s="49">
        <f>MAX(C50:D50)</f>
        <v>1.32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0.74</v>
      </c>
      <c r="D51" s="49">
        <f>IF(($E45&gt;0),D45,D44)</f>
        <v>0</v>
      </c>
      <c r="E51" s="49">
        <f>MAX(C51:D51)</f>
        <v>0.74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18.177</v>
      </c>
      <c r="D54" s="56">
        <f>D48</f>
        <v>0.24399999999999999</v>
      </c>
      <c r="E54" s="56">
        <f>MAX(C54:D54)</f>
        <v>18.177</v>
      </c>
      <c r="G54" s="1" t="str">
        <f>G48</f>
        <v>per 1000 youth</v>
      </c>
      <c r="L54" s="58">
        <f>L48</f>
        <v>1000</v>
      </c>
      <c r="M54" s="58"/>
    </row>
    <row r="55" spans="2:18" ht="15" hidden="1" customHeight="1">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c r="B56" s="49" t="str">
        <f t="shared" si="10"/>
        <v>per 100 referrals</v>
      </c>
      <c r="C56" s="49">
        <f t="shared" si="10"/>
        <v>1.32</v>
      </c>
      <c r="D56" s="49">
        <f t="shared" si="10"/>
        <v>0</v>
      </c>
      <c r="E56" s="49">
        <f>MAX(C56:D56)</f>
        <v>1.32</v>
      </c>
      <c r="G56" s="1" t="str">
        <f>G50</f>
        <v>per 100 referrals</v>
      </c>
      <c r="L56" s="58">
        <f>IF(($E50&gt;0),L50,L49)</f>
        <v>100</v>
      </c>
      <c r="M56" s="58"/>
    </row>
    <row r="57" spans="2:18" ht="15" hidden="1" customHeight="1">
      <c r="B57" s="49" t="str">
        <f>IF(($E51&gt;0),B51,B49)</f>
        <v>per 100 youth petitioned</v>
      </c>
      <c r="C57" s="49">
        <f>IF(($E51&gt;0),C51,C50)</f>
        <v>0.74</v>
      </c>
      <c r="D57" s="49">
        <f>IF(($E51&gt;0),D51,D50)</f>
        <v>0</v>
      </c>
      <c r="E57" s="49">
        <f>MAX(C57:D57)</f>
        <v>0.74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18.177</v>
      </c>
      <c r="D60" s="56">
        <f>D54</f>
        <v>0.24399999999999999</v>
      </c>
      <c r="E60" s="56">
        <f>MAX(C60:D60)</f>
        <v>18.177</v>
      </c>
      <c r="G60" s="1" t="str">
        <f>G54</f>
        <v>per 1000 youth</v>
      </c>
      <c r="L60" s="58">
        <f>L54</f>
        <v>1000</v>
      </c>
      <c r="M60" s="58"/>
    </row>
    <row r="61" spans="2:18" ht="15" hidden="1" customHeight="1">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c r="B62" s="49" t="str">
        <f t="shared" si="11"/>
        <v>per 100 referrals</v>
      </c>
      <c r="C62" s="49">
        <f t="shared" si="11"/>
        <v>1.32</v>
      </c>
      <c r="D62" s="49">
        <f t="shared" si="11"/>
        <v>0</v>
      </c>
      <c r="E62" s="49">
        <f>MAX(C62:D62)</f>
        <v>1.32</v>
      </c>
      <c r="G62" s="1" t="str">
        <f>G56</f>
        <v>per 100 referrals</v>
      </c>
      <c r="L62" s="58">
        <f>IF(($E56&gt;0),L56,L55)</f>
        <v>100</v>
      </c>
      <c r="M62" s="58"/>
    </row>
    <row r="63" spans="2:18" ht="15" hidden="1" customHeight="1">
      <c r="B63" s="49" t="str">
        <f>IF(($E57&gt;0),B57,B55)</f>
        <v>per 100 youth petitioned</v>
      </c>
      <c r="C63" s="49">
        <f>IF(($E57&gt;0),C57,C56)</f>
        <v>0.74</v>
      </c>
      <c r="D63" s="49">
        <f>IF(($E57&gt;0),D57,D56)</f>
        <v>0</v>
      </c>
      <c r="E63" s="49">
        <f>MAX(C63:D63)</f>
        <v>0.74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18.177</v>
      </c>
      <c r="D66" s="56">
        <f>D60</f>
        <v>0.24399999999999999</v>
      </c>
      <c r="E66" s="56">
        <f>MAX(C66:D66)</f>
        <v>18.177</v>
      </c>
      <c r="G66" s="1" t="str">
        <f>G60</f>
        <v>per 1000 youth</v>
      </c>
      <c r="L66" s="58">
        <f>L60</f>
        <v>1000</v>
      </c>
      <c r="M66" s="58">
        <f>IF((B66=G66),1,2)</f>
        <v>1</v>
      </c>
    </row>
    <row r="67" spans="2:13" ht="15" hidden="1" customHeight="1">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c r="B68" s="49" t="str">
        <f t="shared" si="12"/>
        <v>per 100 referrals</v>
      </c>
      <c r="C68" s="49">
        <f t="shared" si="12"/>
        <v>1.32</v>
      </c>
      <c r="D68" s="49">
        <f t="shared" si="12"/>
        <v>0</v>
      </c>
      <c r="E68" s="49">
        <f>MAX(C68:D68)</f>
        <v>1.32</v>
      </c>
      <c r="G68" s="1" t="str">
        <f>G62</f>
        <v>per 100 referrals</v>
      </c>
      <c r="L68" s="58">
        <f>IF(($E62&gt;0),L62,L61)</f>
        <v>100</v>
      </c>
      <c r="M68" s="58">
        <f>IF((B68=G68),1,2)</f>
        <v>1</v>
      </c>
    </row>
    <row r="69" spans="2:13" ht="15" hidden="1" customHeight="1">
      <c r="B69" s="49" t="str">
        <f>IF(($E63&gt;0),B63,B61)</f>
        <v>per 100 youth petitioned</v>
      </c>
      <c r="C69" s="49">
        <f>IF(($E63&gt;0),C63,C62)</f>
        <v>0.74</v>
      </c>
      <c r="D69" s="49">
        <f>IF(($E63&gt;0),D63,D62)</f>
        <v>0</v>
      </c>
      <c r="E69" s="49">
        <f>MAX(C69:D69)</f>
        <v>0.74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18177</v>
      </c>
      <c r="D6" s="34"/>
      <c r="E6" s="33">
        <f>'Data Entry'!E6</f>
        <v>719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27</v>
      </c>
      <c r="D7" s="34">
        <f>IF((AND(C66&gt;0,C7&gt;0)),(C7/C66),0)</f>
        <v>1.4853936293117675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719</v>
      </c>
      <c r="P7" s="42">
        <f t="shared" ref="P7:P15" si="4">C7</f>
        <v>27</v>
      </c>
      <c r="Q7" s="42">
        <f>C6-C7</f>
        <v>18150</v>
      </c>
      <c r="R7" s="42">
        <f t="shared" ref="R7:R15" si="5">SUM(N7:Q7)</f>
        <v>18896</v>
      </c>
      <c r="S7" s="30">
        <f t="shared" ref="S7:S15" si="6">R7*((((N7*Q7)-(O7*P7))^2))</f>
        <v>7121232895824</v>
      </c>
      <c r="T7" s="30">
        <f t="shared" ref="T7:T15" si="7">(N7+O7)*(P7+Q7)*(N7+P7)*(O7+Q7)</f>
        <v>6658305935769</v>
      </c>
      <c r="U7" s="31">
        <f t="shared" ref="U7:U15" si="8">IF((S7&gt;0),S7/T7,"- -")</f>
        <v>1.0695262375326007</v>
      </c>
    </row>
    <row r="8" spans="2:21" ht="18" customHeight="1">
      <c r="B8" s="32" t="str">
        <f>'Data Entry'!A8</f>
        <v>3. Refer to Juvenile Court</v>
      </c>
      <c r="C8" s="33">
        <f>'Data Entry'!C8</f>
        <v>132</v>
      </c>
      <c r="D8" s="34">
        <f>IF((AND(C67&gt;0,C8&gt;0)),(C8/C67),0)</f>
        <v>488.88888888888886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132</v>
      </c>
      <c r="Q8" s="42">
        <f>(C$67*L67)-C8</f>
        <v>-105</v>
      </c>
      <c r="R8" s="42">
        <f t="shared" si="5"/>
        <v>27.050000000000011</v>
      </c>
      <c r="S8" s="30">
        <f t="shared" si="6"/>
        <v>1178.2980000000007</v>
      </c>
      <c r="T8" s="30">
        <f t="shared" si="7"/>
        <v>-18702.090000000004</v>
      </c>
      <c r="U8" s="31">
        <f t="shared" si="8"/>
        <v>-6.3003546662431867E-2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132</v>
      </c>
      <c r="R9" s="42">
        <f t="shared" si="5"/>
        <v>132</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3.0303030303030303</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128</v>
      </c>
      <c r="R10" s="42">
        <f t="shared" si="5"/>
        <v>132</v>
      </c>
      <c r="S10" s="30">
        <f t="shared" si="6"/>
        <v>0</v>
      </c>
      <c r="T10" s="30">
        <f t="shared" si="7"/>
        <v>0</v>
      </c>
      <c r="U10" s="31" t="str">
        <f t="shared" si="8"/>
        <v>- -</v>
      </c>
    </row>
    <row r="11" spans="2:21" ht="18" customHeight="1">
      <c r="B11" s="32" t="str">
        <f>'Data Entry'!A11</f>
        <v>6. Cases Petitioned (Charge Filed)</v>
      </c>
      <c r="C11" s="33">
        <f>'Data Entry'!C11</f>
        <v>74</v>
      </c>
      <c r="D11" s="34">
        <f>IF(((AND(C68&gt;0,C11&gt;0))),(C11/(C68)),0)</f>
        <v>56.060606060606055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74</v>
      </c>
      <c r="Q11" s="42">
        <f>(C$68*L68)-C11</f>
        <v>58</v>
      </c>
      <c r="R11" s="42">
        <f t="shared" si="5"/>
        <v>132</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45.945945945945944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40</v>
      </c>
      <c r="R12" s="42">
        <f t="shared" si="5"/>
        <v>74</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158.8235294117647</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54</v>
      </c>
      <c r="Q13" s="42">
        <f>(C70*L70)-C13</f>
        <v>-20</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5.8823529411764701</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32</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74</v>
      </c>
      <c r="R15" s="42">
        <f t="shared" si="5"/>
        <v>74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18.177</v>
      </c>
      <c r="D42" s="56">
        <f>E6/1000</f>
        <v>0.71899999999999997</v>
      </c>
      <c r="E42" s="56">
        <f>MAX(C42:D42)</f>
        <v>18.177</v>
      </c>
      <c r="G42" s="1" t="str">
        <f>B42</f>
        <v>per 1000 youth</v>
      </c>
      <c r="L42" s="57">
        <v>1000</v>
      </c>
      <c r="M42" s="57"/>
      <c r="R42" s="49"/>
    </row>
    <row r="43" spans="2:18" ht="15" hidden="1" customHeight="1">
      <c r="B43" s="49" t="s">
        <v>87</v>
      </c>
      <c r="C43" s="56">
        <f>C7/100</f>
        <v>0.27</v>
      </c>
      <c r="D43" s="56">
        <f>E7/100</f>
        <v>0</v>
      </c>
      <c r="E43" s="56">
        <f>MAX(C43:D43,0)</f>
        <v>0.27</v>
      </c>
      <c r="G43" s="1" t="str">
        <f>B43</f>
        <v>per 100 arrests</v>
      </c>
      <c r="L43" s="57">
        <v>100</v>
      </c>
      <c r="M43" s="57"/>
      <c r="R43" s="49"/>
    </row>
    <row r="44" spans="2:18" ht="15" hidden="1" customHeight="1">
      <c r="B44" s="49" t="s">
        <v>88</v>
      </c>
      <c r="C44" s="56">
        <f>C8/100</f>
        <v>1.32</v>
      </c>
      <c r="D44" s="56">
        <f>E8/100</f>
        <v>0</v>
      </c>
      <c r="E44" s="56">
        <f>MAX(C44:D44,0)</f>
        <v>1.32</v>
      </c>
      <c r="G44" s="1" t="str">
        <f>B44</f>
        <v>per 100 referrals</v>
      </c>
      <c r="L44" s="57">
        <v>100</v>
      </c>
      <c r="M44" s="57"/>
      <c r="R44" s="49"/>
    </row>
    <row r="45" spans="2:18" ht="15" hidden="1" customHeight="1">
      <c r="B45" s="49" t="s">
        <v>89</v>
      </c>
      <c r="C45" s="49">
        <f>C11/100</f>
        <v>0.74</v>
      </c>
      <c r="D45" s="49">
        <f>E11/100</f>
        <v>0</v>
      </c>
      <c r="E45" s="56">
        <f>MAX(C45:D45,0)</f>
        <v>0.74</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18.177</v>
      </c>
      <c r="D48" s="56">
        <f>D42</f>
        <v>0.71899999999999997</v>
      </c>
      <c r="E48" s="56">
        <f>MAX(C48:D48)</f>
        <v>18.177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c r="B50" s="49" t="str">
        <f t="shared" si="9"/>
        <v>per 100 referrals</v>
      </c>
      <c r="C50" s="49">
        <f t="shared" si="9"/>
        <v>1.32</v>
      </c>
      <c r="D50" s="49">
        <f t="shared" si="9"/>
        <v>0</v>
      </c>
      <c r="E50" s="49">
        <f>MAX(C50:D50)</f>
        <v>1.32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0.74</v>
      </c>
      <c r="D51" s="49">
        <f>IF(($E45&gt;0),D45,D44)</f>
        <v>0</v>
      </c>
      <c r="E51" s="49">
        <f>MAX(C51:D51)</f>
        <v>0.74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18.177</v>
      </c>
      <c r="D54" s="56">
        <f>D48</f>
        <v>0.71899999999999997</v>
      </c>
      <c r="E54" s="56">
        <f>MAX(C54:D54)</f>
        <v>18.177</v>
      </c>
      <c r="G54" s="1" t="str">
        <f>G48</f>
        <v>per 1000 youth</v>
      </c>
      <c r="L54" s="58">
        <f>L48</f>
        <v>1000</v>
      </c>
      <c r="M54" s="58"/>
    </row>
    <row r="55" spans="2:18" ht="15" hidden="1" customHeight="1">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c r="B56" s="49" t="str">
        <f t="shared" si="10"/>
        <v>per 100 referrals</v>
      </c>
      <c r="C56" s="49">
        <f t="shared" si="10"/>
        <v>1.32</v>
      </c>
      <c r="D56" s="49">
        <f t="shared" si="10"/>
        <v>0</v>
      </c>
      <c r="E56" s="49">
        <f>MAX(C56:D56)</f>
        <v>1.32</v>
      </c>
      <c r="G56" s="1" t="str">
        <f>G50</f>
        <v>per 100 referrals</v>
      </c>
      <c r="L56" s="58">
        <f>IF(($E50&gt;0),L50,L49)</f>
        <v>100</v>
      </c>
      <c r="M56" s="58"/>
    </row>
    <row r="57" spans="2:18" ht="15" hidden="1" customHeight="1">
      <c r="B57" s="49" t="str">
        <f>IF(($E51&gt;0),B51,B49)</f>
        <v>per 100 youth petitioned</v>
      </c>
      <c r="C57" s="49">
        <f>IF(($E51&gt;0),C51,C50)</f>
        <v>0.74</v>
      </c>
      <c r="D57" s="49">
        <f>IF(($E51&gt;0),D51,D50)</f>
        <v>0</v>
      </c>
      <c r="E57" s="49">
        <f>MAX(C57:D57)</f>
        <v>0.74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18.177</v>
      </c>
      <c r="D60" s="56">
        <f>D54</f>
        <v>0.71899999999999997</v>
      </c>
      <c r="E60" s="56">
        <f>MAX(C60:D60)</f>
        <v>18.177</v>
      </c>
      <c r="G60" s="1" t="str">
        <f>G54</f>
        <v>per 1000 youth</v>
      </c>
      <c r="L60" s="58">
        <f>L54</f>
        <v>1000</v>
      </c>
      <c r="M60" s="58"/>
    </row>
    <row r="61" spans="2:18" ht="15" hidden="1" customHeight="1">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c r="B62" s="49" t="str">
        <f t="shared" si="11"/>
        <v>per 100 referrals</v>
      </c>
      <c r="C62" s="49">
        <f t="shared" si="11"/>
        <v>1.32</v>
      </c>
      <c r="D62" s="49">
        <f t="shared" si="11"/>
        <v>0</v>
      </c>
      <c r="E62" s="49">
        <f>MAX(C62:D62)</f>
        <v>1.32</v>
      </c>
      <c r="G62" s="1" t="str">
        <f>G56</f>
        <v>per 100 referrals</v>
      </c>
      <c r="L62" s="58">
        <f>IF(($E56&gt;0),L56,L55)</f>
        <v>100</v>
      </c>
      <c r="M62" s="58"/>
    </row>
    <row r="63" spans="2:18" ht="15" hidden="1" customHeight="1">
      <c r="B63" s="49" t="str">
        <f>IF(($E57&gt;0),B57,B55)</f>
        <v>per 100 youth petitioned</v>
      </c>
      <c r="C63" s="49">
        <f>IF(($E57&gt;0),C57,C56)</f>
        <v>0.74</v>
      </c>
      <c r="D63" s="49">
        <f>IF(($E57&gt;0),D57,D56)</f>
        <v>0</v>
      </c>
      <c r="E63" s="49">
        <f>MAX(C63:D63)</f>
        <v>0.74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18.177</v>
      </c>
      <c r="D66" s="56">
        <f>D60</f>
        <v>0.71899999999999997</v>
      </c>
      <c r="E66" s="56">
        <f>MAX(C66:D66)</f>
        <v>18.177</v>
      </c>
      <c r="G66" s="1" t="str">
        <f>G60</f>
        <v>per 1000 youth</v>
      </c>
      <c r="L66" s="58">
        <f>L60</f>
        <v>1000</v>
      </c>
      <c r="M66" s="58">
        <f>IF((B66=G66),1,2)</f>
        <v>1</v>
      </c>
    </row>
    <row r="67" spans="2:13" ht="15" hidden="1" customHeight="1">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c r="B68" s="49" t="str">
        <f t="shared" si="12"/>
        <v>per 100 referrals</v>
      </c>
      <c r="C68" s="49">
        <f t="shared" si="12"/>
        <v>1.32</v>
      </c>
      <c r="D68" s="49">
        <f t="shared" si="12"/>
        <v>0</v>
      </c>
      <c r="E68" s="49">
        <f>MAX(C68:D68)</f>
        <v>1.32</v>
      </c>
      <c r="G68" s="1" t="str">
        <f>G62</f>
        <v>per 100 referrals</v>
      </c>
      <c r="L68" s="58">
        <f>IF(($E62&gt;0),L62,L61)</f>
        <v>100</v>
      </c>
      <c r="M68" s="58">
        <f>IF((B68=G68),1,2)</f>
        <v>1</v>
      </c>
    </row>
    <row r="69" spans="2:13" ht="15" hidden="1" customHeight="1">
      <c r="B69" s="49" t="str">
        <f>IF(($E63&gt;0),B63,B61)</f>
        <v>per 100 youth petitioned</v>
      </c>
      <c r="C69" s="49">
        <f>IF(($E63&gt;0),C63,C62)</f>
        <v>0.74</v>
      </c>
      <c r="D69" s="49">
        <f>IF(($E63&gt;0),D63,D62)</f>
        <v>0</v>
      </c>
      <c r="E69" s="49">
        <f>MAX(C69:D69)</f>
        <v>0.74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27</v>
      </c>
      <c r="D7" s="34">
        <f>IF((AND(C66&gt;0,C7&gt;0)),(C7/C66),0)</f>
        <v>1.4853936293117675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27</v>
      </c>
      <c r="Q7" s="42">
        <f>C6-C7</f>
        <v>18150</v>
      </c>
      <c r="R7" s="42">
        <f t="shared" ref="R7:R15" si="5">SUM(N7:Q7)</f>
        <v>18177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132</v>
      </c>
      <c r="D8" s="34">
        <f>IF((AND(C67&gt;0,C8&gt;0)),(C8/C67),0)</f>
        <v>488.88888888888886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132</v>
      </c>
      <c r="Q8" s="42">
        <f>(C$67*L67)-C8</f>
        <v>-105</v>
      </c>
      <c r="R8" s="42">
        <f t="shared" si="5"/>
        <v>27.050000000000011</v>
      </c>
      <c r="S8" s="30">
        <f t="shared" si="6"/>
        <v>1178.2980000000007</v>
      </c>
      <c r="T8" s="30">
        <f t="shared" si="7"/>
        <v>-18702.090000000004</v>
      </c>
      <c r="U8" s="31">
        <f t="shared" si="8"/>
        <v>-6.3003546662431867E-2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132</v>
      </c>
      <c r="R9" s="42">
        <f t="shared" si="5"/>
        <v>132</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3.0303030303030303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128</v>
      </c>
      <c r="R10" s="42">
        <f t="shared" si="5"/>
        <v>132</v>
      </c>
      <c r="S10" s="30">
        <f t="shared" si="6"/>
        <v>0</v>
      </c>
      <c r="T10" s="30">
        <f t="shared" si="7"/>
        <v>0</v>
      </c>
      <c r="U10" s="31" t="str">
        <f t="shared" si="8"/>
        <v>- -</v>
      </c>
    </row>
    <row r="11" spans="2:21" ht="18" customHeight="1">
      <c r="B11" s="32" t="str">
        <f>'Data Entry'!A11</f>
        <v>6. Cases Petitioned (Charge Filed)</v>
      </c>
      <c r="C11" s="33">
        <f>'Data Entry'!C11</f>
        <v>74</v>
      </c>
      <c r="D11" s="34">
        <f>IF(((AND(C68&gt;0,C11&gt;0))),(C11/(C68)),0)</f>
        <v>56.060606060606055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74</v>
      </c>
      <c r="Q11" s="42">
        <f>(C$68*L68)-C11</f>
        <v>58</v>
      </c>
      <c r="R11" s="42">
        <f t="shared" si="5"/>
        <v>132</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45.945945945945944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40</v>
      </c>
      <c r="R12" s="42">
        <f t="shared" si="5"/>
        <v>74</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158.8235294117647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54</v>
      </c>
      <c r="Q13" s="42">
        <f>(C70*L70)-C13</f>
        <v>-20</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5.8823529411764701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32</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74</v>
      </c>
      <c r="R15" s="42">
        <f t="shared" si="5"/>
        <v>74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18.177</v>
      </c>
      <c r="D42" s="56">
        <f>E6/1000</f>
        <v>0</v>
      </c>
      <c r="E42" s="56">
        <f>MAX(C42:D42)</f>
        <v>18.177</v>
      </c>
      <c r="G42" s="1" t="str">
        <f>B42</f>
        <v>per 1000 youth</v>
      </c>
      <c r="L42" s="57">
        <v>1000</v>
      </c>
      <c r="M42" s="57"/>
      <c r="R42" s="49"/>
    </row>
    <row r="43" spans="2:18" ht="15" hidden="1" customHeight="1">
      <c r="B43" s="49" t="s">
        <v>87</v>
      </c>
      <c r="C43" s="56">
        <f>C7/100</f>
        <v>0.27</v>
      </c>
      <c r="D43" s="56">
        <f>E7/100</f>
        <v>0</v>
      </c>
      <c r="E43" s="56">
        <f>MAX(C43:D43,0)</f>
        <v>0.27</v>
      </c>
      <c r="G43" s="1" t="str">
        <f>B43</f>
        <v>per 100 arrests</v>
      </c>
      <c r="L43" s="57">
        <v>100</v>
      </c>
      <c r="M43" s="57"/>
      <c r="R43" s="49"/>
    </row>
    <row r="44" spans="2:18" ht="15" hidden="1" customHeight="1">
      <c r="B44" s="49" t="s">
        <v>88</v>
      </c>
      <c r="C44" s="56">
        <f>C8/100</f>
        <v>1.32</v>
      </c>
      <c r="D44" s="56">
        <f>E8/100</f>
        <v>0</v>
      </c>
      <c r="E44" s="56">
        <f>MAX(C44:D44,0)</f>
        <v>1.32</v>
      </c>
      <c r="G44" s="1" t="str">
        <f>B44</f>
        <v>per 100 referrals</v>
      </c>
      <c r="L44" s="57">
        <v>100</v>
      </c>
      <c r="M44" s="57"/>
      <c r="R44" s="49"/>
    </row>
    <row r="45" spans="2:18" ht="15" hidden="1" customHeight="1">
      <c r="B45" s="49" t="s">
        <v>89</v>
      </c>
      <c r="C45" s="49">
        <f>C11/100</f>
        <v>0.74</v>
      </c>
      <c r="D45" s="49">
        <f>E11/100</f>
        <v>0</v>
      </c>
      <c r="E45" s="56">
        <f>MAX(C45:D45,0)</f>
        <v>0.74</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18.177</v>
      </c>
      <c r="D48" s="56">
        <f>D42</f>
        <v>0</v>
      </c>
      <c r="E48" s="56">
        <f>MAX(C48:D48)</f>
        <v>18.177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c r="B50" s="49" t="str">
        <f t="shared" si="9"/>
        <v>per 100 referrals</v>
      </c>
      <c r="C50" s="49">
        <f t="shared" si="9"/>
        <v>1.32</v>
      </c>
      <c r="D50" s="49">
        <f t="shared" si="9"/>
        <v>0</v>
      </c>
      <c r="E50" s="49">
        <f>MAX(C50:D50)</f>
        <v>1.32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0.74</v>
      </c>
      <c r="D51" s="49">
        <f>IF(($E45&gt;0),D45,D44)</f>
        <v>0</v>
      </c>
      <c r="E51" s="49">
        <f>MAX(C51:D51)</f>
        <v>0.74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18.177</v>
      </c>
      <c r="D54" s="56">
        <f>D48</f>
        <v>0</v>
      </c>
      <c r="E54" s="56">
        <f>MAX(C54:D54)</f>
        <v>18.177</v>
      </c>
      <c r="G54" s="1" t="str">
        <f>G48</f>
        <v>per 1000 youth</v>
      </c>
      <c r="L54" s="58">
        <f>L48</f>
        <v>1000</v>
      </c>
      <c r="M54" s="58"/>
    </row>
    <row r="55" spans="2:18" ht="15" hidden="1" customHeight="1">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c r="B56" s="49" t="str">
        <f t="shared" si="10"/>
        <v>per 100 referrals</v>
      </c>
      <c r="C56" s="49">
        <f t="shared" si="10"/>
        <v>1.32</v>
      </c>
      <c r="D56" s="49">
        <f t="shared" si="10"/>
        <v>0</v>
      </c>
      <c r="E56" s="49">
        <f>MAX(C56:D56)</f>
        <v>1.32</v>
      </c>
      <c r="G56" s="1" t="str">
        <f>G50</f>
        <v>per 100 referrals</v>
      </c>
      <c r="L56" s="58">
        <f>IF(($E50&gt;0),L50,L49)</f>
        <v>100</v>
      </c>
      <c r="M56" s="58"/>
    </row>
    <row r="57" spans="2:18" ht="15" hidden="1" customHeight="1">
      <c r="B57" s="49" t="str">
        <f>IF(($E51&gt;0),B51,B49)</f>
        <v>per 100 youth petitioned</v>
      </c>
      <c r="C57" s="49">
        <f>IF(($E51&gt;0),C51,C50)</f>
        <v>0.74</v>
      </c>
      <c r="D57" s="49">
        <f>IF(($E51&gt;0),D51,D50)</f>
        <v>0</v>
      </c>
      <c r="E57" s="49">
        <f>MAX(C57:D57)</f>
        <v>0.74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18.177</v>
      </c>
      <c r="D60" s="56">
        <f>D54</f>
        <v>0</v>
      </c>
      <c r="E60" s="56">
        <f>MAX(C60:D60)</f>
        <v>18.177</v>
      </c>
      <c r="G60" s="1" t="str">
        <f>G54</f>
        <v>per 1000 youth</v>
      </c>
      <c r="L60" s="58">
        <f>L54</f>
        <v>1000</v>
      </c>
      <c r="M60" s="58"/>
    </row>
    <row r="61" spans="2:18" ht="15" hidden="1" customHeight="1">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c r="B62" s="49" t="str">
        <f t="shared" si="11"/>
        <v>per 100 referrals</v>
      </c>
      <c r="C62" s="49">
        <f t="shared" si="11"/>
        <v>1.32</v>
      </c>
      <c r="D62" s="49">
        <f t="shared" si="11"/>
        <v>0</v>
      </c>
      <c r="E62" s="49">
        <f>MAX(C62:D62)</f>
        <v>1.32</v>
      </c>
      <c r="G62" s="1" t="str">
        <f>G56</f>
        <v>per 100 referrals</v>
      </c>
      <c r="L62" s="58">
        <f>IF(($E56&gt;0),L56,L55)</f>
        <v>100</v>
      </c>
      <c r="M62" s="58"/>
    </row>
    <row r="63" spans="2:18" ht="15" hidden="1" customHeight="1">
      <c r="B63" s="49" t="str">
        <f>IF(($E57&gt;0),B57,B55)</f>
        <v>per 100 youth petitioned</v>
      </c>
      <c r="C63" s="49">
        <f>IF(($E57&gt;0),C57,C56)</f>
        <v>0.74</v>
      </c>
      <c r="D63" s="49">
        <f>IF(($E57&gt;0),D57,D56)</f>
        <v>0</v>
      </c>
      <c r="E63" s="49">
        <f>MAX(C63:D63)</f>
        <v>0.74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18.177</v>
      </c>
      <c r="D66" s="56">
        <f>D60</f>
        <v>0</v>
      </c>
      <c r="E66" s="56">
        <f>MAX(C66:D66)</f>
        <v>18.177</v>
      </c>
      <c r="G66" s="1" t="str">
        <f>G60</f>
        <v>per 1000 youth</v>
      </c>
      <c r="L66" s="58">
        <f>L60</f>
        <v>1000</v>
      </c>
      <c r="M66" s="58">
        <f>IF((B66=G66),1,2)</f>
        <v>1</v>
      </c>
    </row>
    <row r="67" spans="2:13" ht="15" hidden="1" customHeight="1">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c r="B68" s="49" t="str">
        <f t="shared" si="12"/>
        <v>per 100 referrals</v>
      </c>
      <c r="C68" s="49">
        <f t="shared" si="12"/>
        <v>1.32</v>
      </c>
      <c r="D68" s="49">
        <f t="shared" si="12"/>
        <v>0</v>
      </c>
      <c r="E68" s="49">
        <f>MAX(C68:D68)</f>
        <v>1.32</v>
      </c>
      <c r="G68" s="1" t="str">
        <f>G62</f>
        <v>per 100 referrals</v>
      </c>
      <c r="L68" s="58">
        <f>IF(($E62&gt;0),L62,L61)</f>
        <v>100</v>
      </c>
      <c r="M68" s="58">
        <f>IF((B68=G68),1,2)</f>
        <v>1</v>
      </c>
    </row>
    <row r="69" spans="2:13" ht="15" hidden="1" customHeight="1">
      <c r="B69" s="49" t="str">
        <f>IF(($E63&gt;0),B63,B61)</f>
        <v>per 100 youth petitioned</v>
      </c>
      <c r="C69" s="49">
        <f>IF(($E63&gt;0),C63,C62)</f>
        <v>0.74</v>
      </c>
      <c r="D69" s="49">
        <f>IF(($E63&gt;0),D63,D62)</f>
        <v>0</v>
      </c>
      <c r="E69" s="49">
        <f>MAX(C69:D69)</f>
        <v>0.74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Livingston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18177</v>
      </c>
      <c r="D6" s="34"/>
      <c r="E6" s="33">
        <f>'Data Entry'!H6</f>
        <v>82</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27</v>
      </c>
      <c r="D7" s="34">
        <f>IF((AND(C66&gt;0,C7&gt;0)),(C7/C66),0)</f>
        <v>1.4853936293117675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82</v>
      </c>
      <c r="P7" s="42">
        <f t="shared" ref="P7:P15" si="4">C7</f>
        <v>27</v>
      </c>
      <c r="Q7" s="42">
        <f>C6-C7</f>
        <v>18150</v>
      </c>
      <c r="R7" s="42">
        <f t="shared" ref="R7:R15" si="5">SUM(N7:Q7)</f>
        <v>18259</v>
      </c>
      <c r="S7" s="30">
        <f t="shared" ref="S7:S15" si="6">R7*((((N7*Q7)-(O7*P7))^2))</f>
        <v>89501893164</v>
      </c>
      <c r="T7" s="30">
        <f t="shared" ref="T7:T15" si="7">(N7+O7)*(P7+Q7)*(N7+P7)*(O7+Q7)</f>
        <v>733726383696</v>
      </c>
      <c r="U7" s="31">
        <f t="shared" ref="U7:U15" si="8">IF((S7&gt;0),S7/T7,"- -")</f>
        <v>0.1219826561410428</v>
      </c>
    </row>
    <row r="8" spans="2:21" ht="18" customHeight="1">
      <c r="B8" s="32" t="str">
        <f>'Data Entry'!A8</f>
        <v>3. Refer to Juvenile Court</v>
      </c>
      <c r="C8" s="33">
        <f>'Data Entry'!C8</f>
        <v>132</v>
      </c>
      <c r="D8" s="34">
        <f>IF((AND(C67&gt;0,C8&gt;0)),(C8/C67),0)</f>
        <v>488.88888888888886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132</v>
      </c>
      <c r="Q8" s="42">
        <f>(C$67*L67)-C8</f>
        <v>-105</v>
      </c>
      <c r="R8" s="42">
        <f t="shared" si="5"/>
        <v>27.050000000000011</v>
      </c>
      <c r="S8" s="30">
        <f t="shared" si="6"/>
        <v>1178.2980000000007</v>
      </c>
      <c r="T8" s="30">
        <f t="shared" si="7"/>
        <v>-18702.090000000004</v>
      </c>
      <c r="U8" s="31">
        <f t="shared" si="8"/>
        <v>-6.3003546662431867E-2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132</v>
      </c>
      <c r="R9" s="42">
        <f t="shared" si="5"/>
        <v>132</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3.0303030303030303</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128</v>
      </c>
      <c r="R10" s="42">
        <f t="shared" si="5"/>
        <v>132</v>
      </c>
      <c r="S10" s="30">
        <f t="shared" si="6"/>
        <v>0</v>
      </c>
      <c r="T10" s="30">
        <f t="shared" si="7"/>
        <v>0</v>
      </c>
      <c r="U10" s="31" t="str">
        <f t="shared" si="8"/>
        <v>- -</v>
      </c>
    </row>
    <row r="11" spans="2:21" ht="18" customHeight="1">
      <c r="B11" s="32" t="str">
        <f>'Data Entry'!A11</f>
        <v>6. Cases Petitioned (Charge Filed)</v>
      </c>
      <c r="C11" s="33">
        <f>'Data Entry'!C11</f>
        <v>74</v>
      </c>
      <c r="D11" s="34">
        <f>IF(((AND(C68&gt;0,C11&gt;0))),(C11/(C68)),0)</f>
        <v>56.060606060606055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74</v>
      </c>
      <c r="Q11" s="42">
        <f>(C$68*L68)-C11</f>
        <v>58</v>
      </c>
      <c r="R11" s="42">
        <f t="shared" si="5"/>
        <v>132</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45.945945945945944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40</v>
      </c>
      <c r="R12" s="42">
        <f t="shared" si="5"/>
        <v>74</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158.8235294117647</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54</v>
      </c>
      <c r="Q13" s="42">
        <f>(C70*L70)-C13</f>
        <v>-20</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5.8823529411764701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32</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74</v>
      </c>
      <c r="R15" s="42">
        <f t="shared" si="5"/>
        <v>74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18.177</v>
      </c>
      <c r="D42" s="56">
        <f>E6/1000</f>
        <v>8.2000000000000003E-2</v>
      </c>
      <c r="E42" s="56">
        <f>MAX(C42:D42)</f>
        <v>18.177</v>
      </c>
      <c r="G42" s="1" t="str">
        <f>B42</f>
        <v>per 1000 youth</v>
      </c>
      <c r="L42" s="57">
        <v>1000</v>
      </c>
      <c r="M42" s="57"/>
      <c r="R42" s="49"/>
    </row>
    <row r="43" spans="2:18" ht="15" hidden="1" customHeight="1">
      <c r="B43" s="49" t="s">
        <v>87</v>
      </c>
      <c r="C43" s="56">
        <f>C7/100</f>
        <v>0.27</v>
      </c>
      <c r="D43" s="56">
        <f>E7/100</f>
        <v>0</v>
      </c>
      <c r="E43" s="56">
        <f>MAX(C43:D43,0)</f>
        <v>0.27</v>
      </c>
      <c r="G43" s="1" t="str">
        <f>B43</f>
        <v>per 100 arrests</v>
      </c>
      <c r="L43" s="57">
        <v>100</v>
      </c>
      <c r="M43" s="57"/>
      <c r="R43" s="49"/>
    </row>
    <row r="44" spans="2:18" ht="15" hidden="1" customHeight="1">
      <c r="B44" s="49" t="s">
        <v>88</v>
      </c>
      <c r="C44" s="56">
        <f>C8/100</f>
        <v>1.32</v>
      </c>
      <c r="D44" s="56">
        <f>E8/100</f>
        <v>0</v>
      </c>
      <c r="E44" s="56">
        <f>MAX(C44:D44,0)</f>
        <v>1.32</v>
      </c>
      <c r="G44" s="1" t="str">
        <f>B44</f>
        <v>per 100 referrals</v>
      </c>
      <c r="L44" s="57">
        <v>100</v>
      </c>
      <c r="M44" s="57"/>
      <c r="R44" s="49"/>
    </row>
    <row r="45" spans="2:18" ht="15" hidden="1" customHeight="1">
      <c r="B45" s="49" t="s">
        <v>89</v>
      </c>
      <c r="C45" s="49">
        <f>C11/100</f>
        <v>0.74</v>
      </c>
      <c r="D45" s="49">
        <f>E11/100</f>
        <v>0</v>
      </c>
      <c r="E45" s="56">
        <f>MAX(C45:D45,0)</f>
        <v>0.74</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18.177</v>
      </c>
      <c r="D48" s="56">
        <f>D42</f>
        <v>8.2000000000000003E-2</v>
      </c>
      <c r="E48" s="56">
        <f>MAX(C48:D48)</f>
        <v>18.177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0.27</v>
      </c>
      <c r="D49" s="49">
        <f t="shared" si="9"/>
        <v>0</v>
      </c>
      <c r="E49" s="49">
        <f>MAX(C49:D49)</f>
        <v>0.27</v>
      </c>
      <c r="G49" s="1" t="str">
        <f>G43</f>
        <v>per 100 arrests</v>
      </c>
      <c r="L49" s="58">
        <f>IF(($E43&gt;0),L43,L42)</f>
        <v>100</v>
      </c>
      <c r="M49" s="58"/>
      <c r="N49" s="21"/>
      <c r="O49" s="21"/>
      <c r="P49" s="21"/>
      <c r="Q49" s="21"/>
      <c r="R49" s="21"/>
    </row>
    <row r="50" spans="2:18" ht="15" hidden="1" customHeight="1">
      <c r="B50" s="49" t="str">
        <f t="shared" si="9"/>
        <v>per 100 referrals</v>
      </c>
      <c r="C50" s="49">
        <f t="shared" si="9"/>
        <v>1.32</v>
      </c>
      <c r="D50" s="49">
        <f t="shared" si="9"/>
        <v>0</v>
      </c>
      <c r="E50" s="49">
        <f>MAX(C50:D50)</f>
        <v>1.32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0.74</v>
      </c>
      <c r="D51" s="49">
        <f>IF(($E45&gt;0),D45,D44)</f>
        <v>0</v>
      </c>
      <c r="E51" s="49">
        <f>MAX(C51:D51)</f>
        <v>0.74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18.177</v>
      </c>
      <c r="D54" s="56">
        <f>D48</f>
        <v>8.2000000000000003E-2</v>
      </c>
      <c r="E54" s="56">
        <f>MAX(C54:D54)</f>
        <v>18.177</v>
      </c>
      <c r="G54" s="1" t="str">
        <f>G48</f>
        <v>per 1000 youth</v>
      </c>
      <c r="L54" s="58">
        <f>L48</f>
        <v>1000</v>
      </c>
      <c r="M54" s="58"/>
    </row>
    <row r="55" spans="2:18" ht="15" hidden="1" customHeight="1">
      <c r="B55" s="49" t="str">
        <f t="shared" ref="B55:D56" si="10">IF(($E49&gt;0),B49,B48)</f>
        <v>per 100 arrests</v>
      </c>
      <c r="C55" s="49">
        <f t="shared" si="10"/>
        <v>0.27</v>
      </c>
      <c r="D55" s="49">
        <f t="shared" si="10"/>
        <v>0</v>
      </c>
      <c r="E55" s="49">
        <f>MAX(C55:D55)</f>
        <v>0.27</v>
      </c>
      <c r="G55" s="1" t="str">
        <f>G49</f>
        <v>per 100 arrests</v>
      </c>
      <c r="L55" s="58">
        <f>IF(($E49&gt;0),L49,L48)</f>
        <v>100</v>
      </c>
      <c r="M55" s="58"/>
    </row>
    <row r="56" spans="2:18" ht="15" hidden="1" customHeight="1">
      <c r="B56" s="49" t="str">
        <f t="shared" si="10"/>
        <v>per 100 referrals</v>
      </c>
      <c r="C56" s="49">
        <f t="shared" si="10"/>
        <v>1.32</v>
      </c>
      <c r="D56" s="49">
        <f t="shared" si="10"/>
        <v>0</v>
      </c>
      <c r="E56" s="49">
        <f>MAX(C56:D56)</f>
        <v>1.32</v>
      </c>
      <c r="G56" s="1" t="str">
        <f>G50</f>
        <v>per 100 referrals</v>
      </c>
      <c r="L56" s="58">
        <f>IF(($E50&gt;0),L50,L49)</f>
        <v>100</v>
      </c>
      <c r="M56" s="58"/>
    </row>
    <row r="57" spans="2:18" ht="15" hidden="1" customHeight="1">
      <c r="B57" s="49" t="str">
        <f>IF(($E51&gt;0),B51,B49)</f>
        <v>per 100 youth petitioned</v>
      </c>
      <c r="C57" s="49">
        <f>IF(($E51&gt;0),C51,C50)</f>
        <v>0.74</v>
      </c>
      <c r="D57" s="49">
        <f>IF(($E51&gt;0),D51,D50)</f>
        <v>0</v>
      </c>
      <c r="E57" s="49">
        <f>MAX(C57:D57)</f>
        <v>0.74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18.177</v>
      </c>
      <c r="D60" s="56">
        <f>D54</f>
        <v>8.2000000000000003E-2</v>
      </c>
      <c r="E60" s="56">
        <f>MAX(C60:D60)</f>
        <v>18.177</v>
      </c>
      <c r="G60" s="1" t="str">
        <f>G54</f>
        <v>per 1000 youth</v>
      </c>
      <c r="L60" s="58">
        <f>L54</f>
        <v>1000</v>
      </c>
      <c r="M60" s="58"/>
    </row>
    <row r="61" spans="2:18" ht="15" hidden="1" customHeight="1">
      <c r="B61" s="49" t="str">
        <f t="shared" ref="B61:D62" si="11">IF(($E55&gt;0),B55,B54)</f>
        <v>per 100 arrests</v>
      </c>
      <c r="C61" s="49">
        <f t="shared" si="11"/>
        <v>0.27</v>
      </c>
      <c r="D61" s="49">
        <f t="shared" si="11"/>
        <v>0</v>
      </c>
      <c r="E61" s="49">
        <f>MAX(C61:D61)</f>
        <v>0.27</v>
      </c>
      <c r="G61" s="1" t="str">
        <f>G55</f>
        <v>per 100 arrests</v>
      </c>
      <c r="L61" s="58">
        <f>IF(($E55&gt;0),L55,L54)</f>
        <v>100</v>
      </c>
      <c r="M61" s="58"/>
    </row>
    <row r="62" spans="2:18" ht="15" hidden="1" customHeight="1">
      <c r="B62" s="49" t="str">
        <f t="shared" si="11"/>
        <v>per 100 referrals</v>
      </c>
      <c r="C62" s="49">
        <f t="shared" si="11"/>
        <v>1.32</v>
      </c>
      <c r="D62" s="49">
        <f t="shared" si="11"/>
        <v>0</v>
      </c>
      <c r="E62" s="49">
        <f>MAX(C62:D62)</f>
        <v>1.32</v>
      </c>
      <c r="G62" s="1" t="str">
        <f>G56</f>
        <v>per 100 referrals</v>
      </c>
      <c r="L62" s="58">
        <f>IF(($E56&gt;0),L56,L55)</f>
        <v>100</v>
      </c>
      <c r="M62" s="58"/>
    </row>
    <row r="63" spans="2:18" ht="15" hidden="1" customHeight="1">
      <c r="B63" s="49" t="str">
        <f>IF(($E57&gt;0),B57,B55)</f>
        <v>per 100 youth petitioned</v>
      </c>
      <c r="C63" s="49">
        <f>IF(($E57&gt;0),C57,C56)</f>
        <v>0.74</v>
      </c>
      <c r="D63" s="49">
        <f>IF(($E57&gt;0),D57,D56)</f>
        <v>0</v>
      </c>
      <c r="E63" s="49">
        <f>MAX(C63:D63)</f>
        <v>0.74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18.177</v>
      </c>
      <c r="D66" s="56">
        <f>D60</f>
        <v>8.2000000000000003E-2</v>
      </c>
      <c r="E66" s="56">
        <f>MAX(C66:D66)</f>
        <v>18.177</v>
      </c>
      <c r="G66" s="1" t="str">
        <f>G60</f>
        <v>per 1000 youth</v>
      </c>
      <c r="L66" s="58">
        <f>L60</f>
        <v>1000</v>
      </c>
      <c r="M66" s="58">
        <f>IF((B66=G66),1,2)</f>
        <v>1</v>
      </c>
    </row>
    <row r="67" spans="2:13" ht="15" hidden="1" customHeight="1">
      <c r="B67" s="49" t="str">
        <f t="shared" ref="B67:D68" si="12">IF(($E61&gt;0),B61,B60)</f>
        <v>per 100 arrests</v>
      </c>
      <c r="C67" s="49">
        <f t="shared" si="12"/>
        <v>0.27</v>
      </c>
      <c r="D67" s="49">
        <f t="shared" si="12"/>
        <v>0</v>
      </c>
      <c r="E67" s="49">
        <f>MAX(C67:D67)</f>
        <v>0.27</v>
      </c>
      <c r="G67" s="1" t="str">
        <f>G61</f>
        <v>per 100 arrests</v>
      </c>
      <c r="L67" s="58">
        <f>IF(($E61&gt;0),L61,L60)</f>
        <v>100</v>
      </c>
      <c r="M67" s="58">
        <f>IF((B67=G67),1,2)</f>
        <v>1</v>
      </c>
    </row>
    <row r="68" spans="2:13" ht="15" hidden="1" customHeight="1">
      <c r="B68" s="49" t="str">
        <f t="shared" si="12"/>
        <v>per 100 referrals</v>
      </c>
      <c r="C68" s="49">
        <f t="shared" si="12"/>
        <v>1.32</v>
      </c>
      <c r="D68" s="49">
        <f t="shared" si="12"/>
        <v>0</v>
      </c>
      <c r="E68" s="49">
        <f>MAX(C68:D68)</f>
        <v>1.32</v>
      </c>
      <c r="G68" s="1" t="str">
        <f>G62</f>
        <v>per 100 referrals</v>
      </c>
      <c r="L68" s="58">
        <f>IF(($E62&gt;0),L62,L61)</f>
        <v>100</v>
      </c>
      <c r="M68" s="58">
        <f>IF((B68=G68),1,2)</f>
        <v>1</v>
      </c>
    </row>
    <row r="69" spans="2:13" ht="15" hidden="1" customHeight="1">
      <c r="B69" s="49" t="str">
        <f>IF(($E63&gt;0),B63,B61)</f>
        <v>per 100 youth petitioned</v>
      </c>
      <c r="C69" s="49">
        <f>IF(($E63&gt;0),C63,C62)</f>
        <v>0.74</v>
      </c>
      <c r="D69" s="49">
        <f>IF(($E63&gt;0),D63,D62)</f>
        <v>0</v>
      </c>
      <c r="E69" s="49">
        <f>MAX(C69:D69)</f>
        <v>0.74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U47JMPN4QEAR-1806752177-30519</_dlc_DocId>
    <_dlc_DocIdUrl xmlns="ac3811b5-0f3e-49e2-ba69-f2ffa0c782af">
      <Url>https://michiganphi.sharepoint.com/sites/CMDMC/_layouts/15/DocIdRedir.aspx?ID=U47JMPN4QEAR-1806752177-30519</Url>
      <Description>U47JMPN4QEAR-1806752177-30519</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50660BA-F411-49D9-B533-2C9CC1391433}"/>
</file>

<file path=customXml/itemProps2.xml><?xml version="1.0" encoding="utf-8"?>
<ds:datastoreItem xmlns:ds="http://schemas.openxmlformats.org/officeDocument/2006/customXml" ds:itemID="{605332DF-9FF7-410D-AAB1-81E92B1EAF40}">
  <ds:schemaRefs>
    <ds:schemaRef ds:uri="http://schemas.microsoft.com/sharepoint/v3/contenttype/forms"/>
  </ds:schemaRefs>
</ds:datastoreItem>
</file>

<file path=customXml/itemProps3.xml><?xml version="1.0" encoding="utf-8"?>
<ds:datastoreItem xmlns:ds="http://schemas.openxmlformats.org/officeDocument/2006/customXml" ds:itemID="{364C2084-A7C1-4D35-87FB-29884C9EB4BE}">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C5F302FB-08A0-4394-9F4E-FBB408E833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2023-09-01T18:59:26Z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30e275ec-3711-44dc-8c24-7d63e6b39309</vt:lpwstr>
  </property>
</Properties>
</file>