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8AB13BB4-6B29-4D1E-A3CD-E13419F5D160}"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8" i="3" s="1"/>
  <c r="G54" i="3" s="1"/>
  <c r="G60" i="3" s="1"/>
  <c r="G66" i="3" s="1"/>
  <c r="G43" i="3"/>
  <c r="G49" i="3"/>
  <c r="G55" i="3"/>
  <c r="G61" i="3" s="1"/>
  <c r="G67" i="3" s="1"/>
  <c r="G44" i="3"/>
  <c r="G50" i="3" s="1"/>
  <c r="G56" i="3" s="1"/>
  <c r="G62" i="3" s="1"/>
  <c r="G68" i="3" s="1"/>
  <c r="G45" i="3"/>
  <c r="G46" i="3"/>
  <c r="L48" i="3"/>
  <c r="L54" i="3" s="1"/>
  <c r="L60" i="3" s="1"/>
  <c r="L66" i="3" s="1"/>
  <c r="G51" i="3"/>
  <c r="G57" i="3" s="1"/>
  <c r="G63" i="3" s="1"/>
  <c r="G69" i="3" s="1"/>
  <c r="G52" i="3"/>
  <c r="G58" i="3" s="1"/>
  <c r="G64" i="3" s="1"/>
  <c r="G70" i="3" s="1"/>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G52" i="4" s="1"/>
  <c r="G58" i="4" s="1"/>
  <c r="G64" i="4" s="1"/>
  <c r="G70" i="4" s="1"/>
  <c r="L48" i="4"/>
  <c r="L54" i="4"/>
  <c r="L60" i="4" s="1"/>
  <c r="L66" i="4" s="1"/>
  <c r="G50" i="4"/>
  <c r="G56" i="4" s="1"/>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L54" i="5"/>
  <c r="L60" i="5" s="1"/>
  <c r="L66" i="5" s="1"/>
  <c r="G58" i="5"/>
  <c r="G64" i="5" s="1"/>
  <c r="G70"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G52" i="7" s="1"/>
  <c r="G58" i="7" s="1"/>
  <c r="G64" i="7" s="1"/>
  <c r="G70" i="7" s="1"/>
  <c r="L48" i="7"/>
  <c r="G50" i="7"/>
  <c r="G56" i="7" s="1"/>
  <c r="G62" i="7" s="1"/>
  <c r="G68"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L54" i="8" s="1"/>
  <c r="L60" i="8" s="1"/>
  <c r="L66" i="8" s="1"/>
  <c r="G50" i="8"/>
  <c r="G56" i="8" s="1"/>
  <c r="G62" i="8" s="1"/>
  <c r="G68" i="8" s="1"/>
  <c r="G51" i="8"/>
  <c r="G57" i="8" s="1"/>
  <c r="G63" i="8" s="1"/>
  <c r="G69"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4" l="1"/>
  <c r="F27" i="4"/>
  <c r="F27" i="5"/>
  <c r="M66" i="5"/>
  <c r="F27" i="2"/>
  <c r="M66" i="2"/>
  <c r="F27" i="8"/>
  <c r="M66" i="8"/>
  <c r="M66" i="7"/>
  <c r="F27" i="7"/>
  <c r="F27" i="6"/>
  <c r="M66" i="6"/>
  <c r="F27" i="3"/>
  <c r="M66"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43" i="6"/>
  <c r="D16" i="13"/>
  <c r="C15" i="2"/>
  <c r="P15" i="2" s="1"/>
  <c r="C15" i="3"/>
  <c r="P15" i="3" s="1"/>
  <c r="C15" i="4"/>
  <c r="P15" i="4" s="1"/>
  <c r="C15" i="6"/>
  <c r="P15" i="6" s="1"/>
  <c r="C15" i="5"/>
  <c r="P15" i="5" s="1"/>
  <c r="C15" i="7"/>
  <c r="P15" i="7" s="1"/>
  <c r="C15" i="8"/>
  <c r="P15" i="8" s="1"/>
  <c r="D46" i="7" l="1"/>
  <c r="N12" i="5"/>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6" i="7" l="1"/>
  <c r="L52" i="7" s="1"/>
  <c r="E44" i="6"/>
  <c r="B50" i="6" s="1"/>
  <c r="E46" i="3"/>
  <c r="L52" i="3" s="1"/>
  <c r="E43" i="7"/>
  <c r="C49" i="7"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B52" i="3"/>
  <c r="B52" i="7"/>
  <c r="D52" i="7"/>
  <c r="C45" i="6"/>
  <c r="E45" i="6" s="1"/>
  <c r="P11" i="6"/>
  <c r="P11" i="8"/>
  <c r="C45" i="8"/>
  <c r="L52" i="5"/>
  <c r="B52" i="5"/>
  <c r="D52" i="5"/>
  <c r="C48" i="6"/>
  <c r="E42" i="6"/>
  <c r="R7" i="6"/>
  <c r="S7" i="6" s="1"/>
  <c r="D21" i="10"/>
  <c r="C4" i="10"/>
  <c r="C7" i="10"/>
  <c r="C5" i="10"/>
  <c r="C10" i="10"/>
  <c r="C11" i="10"/>
  <c r="C6" i="10"/>
  <c r="C9" i="10"/>
  <c r="C12" i="10"/>
  <c r="C8" i="10"/>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D49" i="7"/>
  <c r="B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L49" i="7" l="1"/>
  <c r="D52" i="3"/>
  <c r="L50" i="6"/>
  <c r="C50" i="6"/>
  <c r="E50" i="6" s="1"/>
  <c r="D50" i="6"/>
  <c r="D50" i="5"/>
  <c r="E45" i="2"/>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5" s="1"/>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C54" i="7"/>
  <c r="E48" i="7"/>
  <c r="E49" i="6"/>
  <c r="E49" i="7"/>
  <c r="E48" i="5"/>
  <c r="C54" i="5"/>
  <c r="C54" i="6"/>
  <c r="E48" i="6"/>
  <c r="B51" i="6"/>
  <c r="D51" i="6"/>
  <c r="C51" i="6"/>
  <c r="L51" i="6"/>
  <c r="D51" i="2" l="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L64" i="3" l="1"/>
  <c r="C64" i="5"/>
  <c r="L64" i="5"/>
  <c r="D64" i="5"/>
  <c r="B56" i="8"/>
  <c r="L56" i="8"/>
  <c r="E58" i="8"/>
  <c r="C57" i="8"/>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I7" i="9" l="1"/>
  <c r="E64" i="5"/>
  <c r="Q8" i="13"/>
  <c r="D64" i="8"/>
  <c r="C63" i="3"/>
  <c r="L64" i="8"/>
  <c r="E57" i="8"/>
  <c r="B63" i="8" s="1"/>
  <c r="B64" i="8"/>
  <c r="C64" i="8"/>
  <c r="B63" i="3"/>
  <c r="E64" i="6"/>
  <c r="B70" i="6" s="1"/>
  <c r="M70" i="6" s="1"/>
  <c r="Z8" i="13"/>
  <c r="R7" i="9"/>
  <c r="D63" i="3"/>
  <c r="E64" i="3"/>
  <c r="B70" i="3" s="1"/>
  <c r="M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B63" i="5"/>
  <c r="L63" i="5"/>
  <c r="F8" i="5"/>
  <c r="L70" i="5" l="1"/>
  <c r="B70" i="5"/>
  <c r="F33" i="5" s="1"/>
  <c r="C70" i="5"/>
  <c r="D70" i="5"/>
  <c r="F14" i="5" s="1"/>
  <c r="L69" i="7"/>
  <c r="C69" i="7"/>
  <c r="D12" i="7" s="1"/>
  <c r="E64" i="8"/>
  <c r="B70" i="8" s="1"/>
  <c r="M70" i="8" s="1"/>
  <c r="E63" i="3"/>
  <c r="C69" i="3" s="1"/>
  <c r="D12" i="3" s="1"/>
  <c r="D70" i="6"/>
  <c r="L63" i="8"/>
  <c r="D63" i="8"/>
  <c r="C63" i="8"/>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33" i="3"/>
  <c r="F13" i="4"/>
  <c r="F33" i="4"/>
  <c r="F10" i="4"/>
  <c r="O10" i="4"/>
  <c r="M67" i="5"/>
  <c r="O11" i="3"/>
  <c r="T11" i="3" s="1"/>
  <c r="O14" i="4"/>
  <c r="Q13" i="4"/>
  <c r="F30" i="3"/>
  <c r="Q9" i="3"/>
  <c r="O10" i="3"/>
  <c r="E68" i="3"/>
  <c r="O9" i="3"/>
  <c r="F31" i="3"/>
  <c r="F29" i="3"/>
  <c r="D14" i="4"/>
  <c r="L70" i="7"/>
  <c r="O14" i="7" s="1"/>
  <c r="M69" i="7"/>
  <c r="E64" i="2"/>
  <c r="L70" i="2" s="1"/>
  <c r="L67" i="6"/>
  <c r="F10" i="3"/>
  <c r="F11" i="3"/>
  <c r="F34" i="3"/>
  <c r="D67" i="6"/>
  <c r="F8" i="6" s="1"/>
  <c r="E70" i="5"/>
  <c r="Q13" i="5"/>
  <c r="D13" i="5"/>
  <c r="Q14" i="5"/>
  <c r="D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F13" i="5" l="1"/>
  <c r="O14" i="5"/>
  <c r="Q15" i="7"/>
  <c r="O13" i="5"/>
  <c r="K13" i="5" s="1"/>
  <c r="M70" i="5"/>
  <c r="E70" i="6"/>
  <c r="C70" i="8"/>
  <c r="D13" i="8" s="1"/>
  <c r="D15" i="7"/>
  <c r="Q12" i="7"/>
  <c r="D15" i="3"/>
  <c r="B69" i="3"/>
  <c r="M69" i="3" s="1"/>
  <c r="D70" i="8"/>
  <c r="F13" i="8" s="1"/>
  <c r="L70" i="8"/>
  <c r="D69" i="3"/>
  <c r="E69" i="3" s="1"/>
  <c r="L69" i="3"/>
  <c r="Q12" i="3" s="1"/>
  <c r="O14" i="6"/>
  <c r="O13" i="6"/>
  <c r="F14" i="6"/>
  <c r="F13" i="6"/>
  <c r="B69" i="6"/>
  <c r="M69" i="6" s="1"/>
  <c r="E63" i="8"/>
  <c r="D69" i="8" s="1"/>
  <c r="F12" i="8" s="1"/>
  <c r="C69" i="6"/>
  <c r="D12" i="6" s="1"/>
  <c r="D13" i="3"/>
  <c r="D13" i="6"/>
  <c r="O13" i="3"/>
  <c r="F14" i="3"/>
  <c r="E69" i="7"/>
  <c r="Q14" i="3"/>
  <c r="F12" i="7"/>
  <c r="O12" i="7"/>
  <c r="D14" i="6"/>
  <c r="O15" i="7"/>
  <c r="Q13" i="3"/>
  <c r="Q13" i="6"/>
  <c r="Q14" i="6"/>
  <c r="E70" i="3"/>
  <c r="O14" i="3"/>
  <c r="D69" i="6"/>
  <c r="F12" i="6" s="1"/>
  <c r="T10" i="3"/>
  <c r="K10" i="4"/>
  <c r="F8" i="7"/>
  <c r="T9" i="4"/>
  <c r="F35" i="6"/>
  <c r="T11" i="4"/>
  <c r="U11" i="4" s="1"/>
  <c r="J11" i="4" s="1"/>
  <c r="K11" i="4"/>
  <c r="R10" i="4"/>
  <c r="S10" i="4" s="1"/>
  <c r="T8" i="3"/>
  <c r="U8" i="3" s="1"/>
  <c r="J8" i="3" s="1"/>
  <c r="T13" i="4"/>
  <c r="T8" i="5"/>
  <c r="U8" i="5" s="1"/>
  <c r="J8" i="5" s="1"/>
  <c r="K8" i="5"/>
  <c r="E67" i="7"/>
  <c r="M67" i="7"/>
  <c r="D8" i="7"/>
  <c r="T10" i="4"/>
  <c r="K8" i="3"/>
  <c r="Q8" i="7"/>
  <c r="R8" i="7" s="1"/>
  <c r="S8" i="7" s="1"/>
  <c r="M69" i="2"/>
  <c r="K14" i="4"/>
  <c r="K13" i="4"/>
  <c r="Q8" i="6"/>
  <c r="O8" i="6"/>
  <c r="E67" i="6"/>
  <c r="R13" i="4"/>
  <c r="S13" i="4" s="1"/>
  <c r="U13" i="4" s="1"/>
  <c r="J13" i="4" s="1"/>
  <c r="K9" i="4"/>
  <c r="R9" i="4"/>
  <c r="S9" i="4" s="1"/>
  <c r="U9" i="4" s="1"/>
  <c r="J9" i="4" s="1"/>
  <c r="M9" i="4" s="1"/>
  <c r="G9" i="4" s="1"/>
  <c r="G10" i="16" s="1"/>
  <c r="F32" i="2"/>
  <c r="R10" i="3"/>
  <c r="S10" i="3" s="1"/>
  <c r="F8" i="2"/>
  <c r="T14" i="4"/>
  <c r="B70" i="2"/>
  <c r="F33" i="2" s="1"/>
  <c r="D69" i="5"/>
  <c r="O15" i="5" s="1"/>
  <c r="F34" i="7"/>
  <c r="M70" i="7"/>
  <c r="O13" i="7"/>
  <c r="K11" i="3"/>
  <c r="R11" i="3"/>
  <c r="S11" i="3" s="1"/>
  <c r="U11" i="3" s="1"/>
  <c r="J11" i="3" s="1"/>
  <c r="M11" i="3" s="1"/>
  <c r="L68" i="7"/>
  <c r="Q9" i="7" s="1"/>
  <c r="C69" i="5"/>
  <c r="Q12" i="5" s="1"/>
  <c r="B69" i="5"/>
  <c r="F32" i="5" s="1"/>
  <c r="D68" i="7"/>
  <c r="E68" i="7" s="1"/>
  <c r="B68" i="7"/>
  <c r="F31" i="7" s="1"/>
  <c r="K9" i="3"/>
  <c r="K10" i="3"/>
  <c r="R14" i="4"/>
  <c r="S14" i="4" s="1"/>
  <c r="D13" i="7"/>
  <c r="R9" i="3"/>
  <c r="S9" i="3" s="1"/>
  <c r="T9" i="3"/>
  <c r="F34" i="8"/>
  <c r="R14" i="5"/>
  <c r="S14" i="5" s="1"/>
  <c r="U14" i="5" s="1"/>
  <c r="J14" i="5" s="1"/>
  <c r="M14" i="5" s="1"/>
  <c r="F33" i="8"/>
  <c r="C70" i="2"/>
  <c r="D14" i="2" s="1"/>
  <c r="T14" i="5"/>
  <c r="K14" i="5"/>
  <c r="D70" i="2"/>
  <c r="O14" i="2" s="1"/>
  <c r="R13" i="5"/>
  <c r="S13" i="5" s="1"/>
  <c r="U13" i="5" s="1"/>
  <c r="J13" i="5" s="1"/>
  <c r="M13" i="5" s="1"/>
  <c r="M67" i="2"/>
  <c r="Q13" i="7"/>
  <c r="E70" i="7"/>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R15" i="7" l="1"/>
  <c r="S15" i="7" s="1"/>
  <c r="U15" i="7" s="1"/>
  <c r="J15" i="7" s="1"/>
  <c r="M15" i="7" s="1"/>
  <c r="D14" i="8"/>
  <c r="F14" i="8"/>
  <c r="Q13" i="8"/>
  <c r="T13" i="5"/>
  <c r="F35" i="3"/>
  <c r="K13" i="3"/>
  <c r="T14" i="6"/>
  <c r="F15" i="3"/>
  <c r="F12" i="3"/>
  <c r="U14" i="4"/>
  <c r="J14" i="4" s="1"/>
  <c r="M14" i="4" s="1"/>
  <c r="G14" i="4" s="1"/>
  <c r="G15" i="16" s="1"/>
  <c r="G11" i="3"/>
  <c r="E11" i="9" s="1"/>
  <c r="O15" i="6"/>
  <c r="U10" i="3"/>
  <c r="J10" i="3" s="1"/>
  <c r="M10" i="3" s="1"/>
  <c r="G10" i="3" s="1"/>
  <c r="I11" i="16" s="1"/>
  <c r="T12" i="7"/>
  <c r="F32" i="3"/>
  <c r="O13" i="8"/>
  <c r="E70" i="8"/>
  <c r="O15" i="3"/>
  <c r="Q14" i="8"/>
  <c r="O14" i="8"/>
  <c r="U10" i="4"/>
  <c r="J10" i="4" s="1"/>
  <c r="M10" i="4" s="1"/>
  <c r="G10" i="4" s="1"/>
  <c r="G11" i="16" s="1"/>
  <c r="Q15" i="3"/>
  <c r="O12" i="3"/>
  <c r="R12" i="3" s="1"/>
  <c r="S12" i="3" s="1"/>
  <c r="Q12" i="6"/>
  <c r="R13" i="6"/>
  <c r="S13" i="6" s="1"/>
  <c r="U13" i="6" s="1"/>
  <c r="J13" i="6" s="1"/>
  <c r="M13" i="6" s="1"/>
  <c r="G13" i="6" s="1"/>
  <c r="G13" i="9" s="1"/>
  <c r="R14" i="6"/>
  <c r="S14" i="6" s="1"/>
  <c r="U14" i="6" s="1"/>
  <c r="J14" i="6" s="1"/>
  <c r="M14" i="6" s="1"/>
  <c r="G14" i="6" s="1"/>
  <c r="M15" i="13" s="1"/>
  <c r="F32" i="6"/>
  <c r="K15" i="7"/>
  <c r="D15" i="6"/>
  <c r="E69" i="6"/>
  <c r="Q15" i="6"/>
  <c r="R12" i="7"/>
  <c r="S12" i="7" s="1"/>
  <c r="K13" i="6"/>
  <c r="T13" i="6"/>
  <c r="K14" i="6"/>
  <c r="K12" i="7"/>
  <c r="C69" i="8"/>
  <c r="E69" i="8" s="1"/>
  <c r="F15" i="8"/>
  <c r="B69" i="8"/>
  <c r="M69" i="8" s="1"/>
  <c r="L69" i="8"/>
  <c r="O15" i="8" s="1"/>
  <c r="O12" i="6"/>
  <c r="R14" i="3"/>
  <c r="S14" i="3" s="1"/>
  <c r="T13" i="3"/>
  <c r="K14" i="3"/>
  <c r="T14" i="3"/>
  <c r="R13" i="3"/>
  <c r="S13" i="3" s="1"/>
  <c r="T15" i="7"/>
  <c r="F15" i="6"/>
  <c r="L13" i="4"/>
  <c r="O14" i="16" s="1"/>
  <c r="L11" i="4"/>
  <c r="O12" i="16" s="1"/>
  <c r="K8" i="7"/>
  <c r="O13" i="2"/>
  <c r="T8" i="7"/>
  <c r="U8" i="7" s="1"/>
  <c r="J8" i="7" s="1"/>
  <c r="M8" i="7" s="1"/>
  <c r="T13" i="7"/>
  <c r="Q10" i="7"/>
  <c r="F13" i="2"/>
  <c r="Q11" i="7"/>
  <c r="R8" i="6"/>
  <c r="S8" i="6" s="1"/>
  <c r="F14" i="2"/>
  <c r="F10" i="7"/>
  <c r="L10" i="3"/>
  <c r="P11" i="16" s="1"/>
  <c r="F30" i="7"/>
  <c r="M68" i="7"/>
  <c r="F29" i="7"/>
  <c r="F15" i="5"/>
  <c r="T8" i="6"/>
  <c r="K8" i="6"/>
  <c r="O12" i="5"/>
  <c r="R12" i="5" s="1"/>
  <c r="S12" i="5" s="1"/>
  <c r="U12" i="5" s="1"/>
  <c r="J12" i="5" s="1"/>
  <c r="F35" i="5"/>
  <c r="F12" i="5"/>
  <c r="M69" i="5"/>
  <c r="K8" i="2"/>
  <c r="M70" i="2"/>
  <c r="F9" i="7"/>
  <c r="O11" i="7"/>
  <c r="F34" i="2"/>
  <c r="O10" i="7"/>
  <c r="F11" i="7"/>
  <c r="O9" i="7"/>
  <c r="R9" i="7" s="1"/>
  <c r="S9" i="7" s="1"/>
  <c r="L11" i="3"/>
  <c r="P12" i="16" s="1"/>
  <c r="E69" i="5"/>
  <c r="D15" i="5"/>
  <c r="D12" i="5"/>
  <c r="Q15" i="5"/>
  <c r="K15" i="5" s="1"/>
  <c r="D13" i="2"/>
  <c r="E70" i="2"/>
  <c r="Q14" i="2"/>
  <c r="K14" i="2" s="1"/>
  <c r="M13" i="4"/>
  <c r="G13" i="4" s="1"/>
  <c r="G14" i="16" s="1"/>
  <c r="L9" i="4"/>
  <c r="O10" i="16" s="1"/>
  <c r="R13" i="7"/>
  <c r="S13" i="7" s="1"/>
  <c r="Q13" i="2"/>
  <c r="U9" i="3"/>
  <c r="J9" i="3" s="1"/>
  <c r="L9" i="3" s="1"/>
  <c r="N30" i="5"/>
  <c r="L14" i="5"/>
  <c r="Q15" i="16" s="1"/>
  <c r="L13" i="5"/>
  <c r="Q14" i="16" s="1"/>
  <c r="K13" i="7"/>
  <c r="T8" i="2"/>
  <c r="U8" i="2" s="1"/>
  <c r="J8" i="2" s="1"/>
  <c r="M11" i="4"/>
  <c r="G11" i="4" s="1"/>
  <c r="T14" i="7"/>
  <c r="U14" i="7" s="1"/>
  <c r="J14" i="7" s="1"/>
  <c r="K14" i="7"/>
  <c r="D9" i="9"/>
  <c r="G10" i="13"/>
  <c r="T11" i="6"/>
  <c r="F29" i="8"/>
  <c r="M68" i="8"/>
  <c r="F30" i="8"/>
  <c r="F31" i="8"/>
  <c r="T11" i="2"/>
  <c r="K11" i="2"/>
  <c r="R11" i="2"/>
  <c r="S11" i="2" s="1"/>
  <c r="M11" i="5"/>
  <c r="L11" i="5"/>
  <c r="Q12"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L15" i="7" l="1"/>
  <c r="S16" i="16" s="1"/>
  <c r="K13" i="8"/>
  <c r="I12" i="16"/>
  <c r="K12" i="3"/>
  <c r="N30" i="4"/>
  <c r="L14" i="4"/>
  <c r="O15" i="16" s="1"/>
  <c r="I12" i="13"/>
  <c r="K12" i="6"/>
  <c r="T15" i="6"/>
  <c r="K15" i="3"/>
  <c r="U12" i="7"/>
  <c r="J12" i="7" s="1"/>
  <c r="M12" i="7" s="1"/>
  <c r="I11" i="13"/>
  <c r="E10" i="9"/>
  <c r="U13" i="7"/>
  <c r="J13" i="7" s="1"/>
  <c r="M13" i="7" s="1"/>
  <c r="T12" i="3"/>
  <c r="R14" i="8"/>
  <c r="S14" i="8" s="1"/>
  <c r="T15" i="3"/>
  <c r="L10" i="4"/>
  <c r="O11" i="16" s="1"/>
  <c r="R13" i="8"/>
  <c r="S13" i="8" s="1"/>
  <c r="U13" i="3"/>
  <c r="J13" i="3" s="1"/>
  <c r="L13" i="3" s="1"/>
  <c r="P14" i="16" s="1"/>
  <c r="T14" i="8"/>
  <c r="T13" i="8"/>
  <c r="U12" i="3"/>
  <c r="J12" i="3" s="1"/>
  <c r="K14" i="8"/>
  <c r="G11" i="13"/>
  <c r="D10" i="9"/>
  <c r="R15" i="3"/>
  <c r="S15" i="3" s="1"/>
  <c r="U15" i="3" s="1"/>
  <c r="J15" i="3" s="1"/>
  <c r="M15" i="3" s="1"/>
  <c r="G15" i="3" s="1"/>
  <c r="I16" i="16" s="1"/>
  <c r="O12" i="8"/>
  <c r="M14" i="13"/>
  <c r="K15" i="6"/>
  <c r="L13" i="6"/>
  <c r="R14" i="16" s="1"/>
  <c r="R15" i="6"/>
  <c r="S15" i="6" s="1"/>
  <c r="U15" i="6" s="1"/>
  <c r="J15" i="6" s="1"/>
  <c r="M15" i="6" s="1"/>
  <c r="G15" i="6" s="1"/>
  <c r="R12" i="6"/>
  <c r="S12" i="6" s="1"/>
  <c r="U12" i="6" s="1"/>
  <c r="J12" i="6" s="1"/>
  <c r="M12" i="6" s="1"/>
  <c r="G12" i="6" s="1"/>
  <c r="U14" i="3"/>
  <c r="J14" i="3" s="1"/>
  <c r="M14" i="3" s="1"/>
  <c r="G14" i="3" s="1"/>
  <c r="E14" i="9" s="1"/>
  <c r="Q15" i="8"/>
  <c r="R15" i="8" s="1"/>
  <c r="S15" i="8" s="1"/>
  <c r="U15" i="8" s="1"/>
  <c r="J15" i="8" s="1"/>
  <c r="D15" i="8"/>
  <c r="Q12" i="8"/>
  <c r="D12" i="8"/>
  <c r="F32" i="8"/>
  <c r="F35" i="8"/>
  <c r="T12" i="6"/>
  <c r="M13" i="9"/>
  <c r="U14" i="13"/>
  <c r="U12" i="13"/>
  <c r="M11" i="9"/>
  <c r="T13" i="2"/>
  <c r="U8" i="6"/>
  <c r="J8" i="6" s="1"/>
  <c r="M8" i="6" s="1"/>
  <c r="G8" i="6" s="1"/>
  <c r="M9" i="13" s="1"/>
  <c r="R13" i="2"/>
  <c r="S13" i="2" s="1"/>
  <c r="V11" i="13"/>
  <c r="G14" i="9"/>
  <c r="R10" i="7"/>
  <c r="S10" i="7" s="1"/>
  <c r="T11" i="7"/>
  <c r="T10" i="7"/>
  <c r="L8" i="2"/>
  <c r="N9" i="16" s="1"/>
  <c r="K13" i="2"/>
  <c r="R15" i="5"/>
  <c r="S15" i="5" s="1"/>
  <c r="U15" i="5" s="1"/>
  <c r="J15" i="5" s="1"/>
  <c r="M15" i="5" s="1"/>
  <c r="K11" i="7"/>
  <c r="T9" i="7"/>
  <c r="N10" i="9"/>
  <c r="N30" i="6"/>
  <c r="R11" i="7"/>
  <c r="S11" i="7" s="1"/>
  <c r="L14" i="6"/>
  <c r="R15" i="16" s="1"/>
  <c r="K12" i="5"/>
  <c r="L12" i="5" s="1"/>
  <c r="Q13" i="16" s="1"/>
  <c r="T12" i="5"/>
  <c r="K10" i="7"/>
  <c r="R14" i="2"/>
  <c r="S14" i="2" s="1"/>
  <c r="D13" i="9"/>
  <c r="G14" i="13"/>
  <c r="K9" i="7"/>
  <c r="T14" i="2"/>
  <c r="V12" i="13"/>
  <c r="U10" i="13"/>
  <c r="N11" i="9"/>
  <c r="T15" i="5"/>
  <c r="W14" i="13"/>
  <c r="M9" i="3"/>
  <c r="G9" i="3" s="1"/>
  <c r="I10" i="13" s="1"/>
  <c r="G12" i="13"/>
  <c r="G12" i="16"/>
  <c r="N9" i="9"/>
  <c r="P10" i="16"/>
  <c r="M14" i="7"/>
  <c r="N30" i="7"/>
  <c r="L14" i="7"/>
  <c r="S15" i="16" s="1"/>
  <c r="L8" i="7"/>
  <c r="S9" i="16" s="1"/>
  <c r="O13" i="9"/>
  <c r="M9" i="9"/>
  <c r="O14" i="9"/>
  <c r="V10" i="13"/>
  <c r="W15" i="13"/>
  <c r="U12" i="2"/>
  <c r="J12" i="2" s="1"/>
  <c r="L12" i="2" s="1"/>
  <c r="N13" i="16" s="1"/>
  <c r="D11" i="9"/>
  <c r="M8" i="2"/>
  <c r="G8" i="2" s="1"/>
  <c r="E9" i="16" s="1"/>
  <c r="U15" i="2"/>
  <c r="J15" i="2" s="1"/>
  <c r="M15" i="2" s="1"/>
  <c r="G15" i="2" s="1"/>
  <c r="E16" i="16" s="1"/>
  <c r="U9" i="7"/>
  <c r="J9" i="7" s="1"/>
  <c r="M9" i="7" s="1"/>
  <c r="U12" i="4"/>
  <c r="J12" i="4" s="1"/>
  <c r="L12" i="4" s="1"/>
  <c r="O13" i="16" s="1"/>
  <c r="U11" i="6"/>
  <c r="J11" i="6" s="1"/>
  <c r="M11" i="6" s="1"/>
  <c r="G11" i="6" s="1"/>
  <c r="O9" i="9"/>
  <c r="W10" i="13"/>
  <c r="U10" i="2"/>
  <c r="J10" i="2" s="1"/>
  <c r="M10" i="2" s="1"/>
  <c r="G10" i="2" s="1"/>
  <c r="E11" i="16" s="1"/>
  <c r="O10" i="9"/>
  <c r="W11" i="13"/>
  <c r="D14" i="9"/>
  <c r="G15" i="13"/>
  <c r="N8" i="9"/>
  <c r="V9" i="13"/>
  <c r="Q15" i="9"/>
  <c r="Y16"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K9" i="8"/>
  <c r="T9" i="8"/>
  <c r="L12" i="3" l="1"/>
  <c r="P13" i="16" s="1"/>
  <c r="M12" i="3"/>
  <c r="G12" i="3" s="1"/>
  <c r="I13" i="16" s="1"/>
  <c r="L12" i="7"/>
  <c r="S13" i="16" s="1"/>
  <c r="L12" i="6"/>
  <c r="R13" i="16" s="1"/>
  <c r="U11" i="7"/>
  <c r="J11" i="7" s="1"/>
  <c r="M11" i="7" s="1"/>
  <c r="U14" i="8"/>
  <c r="J14" i="8" s="1"/>
  <c r="N30" i="8" s="1"/>
  <c r="L13" i="7"/>
  <c r="S14" i="16" s="1"/>
  <c r="U10" i="7"/>
  <c r="J10" i="7" s="1"/>
  <c r="M10" i="7" s="1"/>
  <c r="M10" i="9"/>
  <c r="U11" i="13"/>
  <c r="U13" i="8"/>
  <c r="J13" i="8" s="1"/>
  <c r="M13" i="8" s="1"/>
  <c r="G13" i="8" s="1"/>
  <c r="I13" i="9" s="1"/>
  <c r="L15" i="3"/>
  <c r="P16" i="16" s="1"/>
  <c r="N13" i="9"/>
  <c r="V14" i="13"/>
  <c r="M13" i="3"/>
  <c r="G13" i="3" s="1"/>
  <c r="E13" i="9" s="1"/>
  <c r="R12" i="8"/>
  <c r="S12" i="8" s="1"/>
  <c r="I16" i="13"/>
  <c r="E15" i="9"/>
  <c r="L15" i="6"/>
  <c r="R16" i="16" s="1"/>
  <c r="P13" i="9"/>
  <c r="X14" i="13"/>
  <c r="U14" i="2"/>
  <c r="J14" i="2" s="1"/>
  <c r="M14" i="2" s="1"/>
  <c r="G14" i="2" s="1"/>
  <c r="E15" i="16" s="1"/>
  <c r="U13" i="2"/>
  <c r="J13" i="2" s="1"/>
  <c r="M13" i="2" s="1"/>
  <c r="G13" i="2" s="1"/>
  <c r="E14" i="16" s="1"/>
  <c r="I15" i="16"/>
  <c r="I15" i="13"/>
  <c r="L14" i="3"/>
  <c r="N30" i="3"/>
  <c r="K12" i="8"/>
  <c r="T12" i="8"/>
  <c r="T15" i="8"/>
  <c r="K15" i="8"/>
  <c r="L15" i="8" s="1"/>
  <c r="T16" i="16" s="1"/>
  <c r="L8" i="6"/>
  <c r="R9" i="16" s="1"/>
  <c r="L15" i="5"/>
  <c r="Q16" i="16" s="1"/>
  <c r="T9" i="13"/>
  <c r="L8" i="9"/>
  <c r="X15" i="13"/>
  <c r="P14" i="9"/>
  <c r="G8" i="9"/>
  <c r="Q14" i="9"/>
  <c r="Y15" i="13"/>
  <c r="E9" i="13"/>
  <c r="L10" i="2"/>
  <c r="N11" i="16" s="1"/>
  <c r="L11" i="6"/>
  <c r="R12" i="16" s="1"/>
  <c r="I10" i="16"/>
  <c r="C8" i="9"/>
  <c r="E9" i="9"/>
  <c r="G12" i="9"/>
  <c r="M13" i="13"/>
  <c r="G11" i="9"/>
  <c r="M12" i="13"/>
  <c r="G15" i="9"/>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D8" i="9"/>
  <c r="G9" i="13"/>
  <c r="U9" i="8"/>
  <c r="J9" i="8" s="1"/>
  <c r="M9" i="8" s="1"/>
  <c r="G9" i="8" s="1"/>
  <c r="K10" i="16" s="1"/>
  <c r="C10" i="9"/>
  <c r="E11" i="13"/>
  <c r="N12" i="9"/>
  <c r="V13" i="13"/>
  <c r="L12" i="9"/>
  <c r="T13" i="13"/>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E12" i="9" l="1"/>
  <c r="Q13" i="9"/>
  <c r="I13" i="13"/>
  <c r="L11" i="7"/>
  <c r="S12" i="16" s="1"/>
  <c r="Q12" i="9"/>
  <c r="N15" i="9"/>
  <c r="M14" i="8"/>
  <c r="G14" i="8" s="1"/>
  <c r="K15" i="16" s="1"/>
  <c r="Y13" i="13"/>
  <c r="X13" i="13"/>
  <c r="P12" i="9"/>
  <c r="L14" i="8"/>
  <c r="T15" i="16" s="1"/>
  <c r="V16" i="13"/>
  <c r="Y14" i="13"/>
  <c r="L10" i="7"/>
  <c r="S11" i="16" s="1"/>
  <c r="X16" i="13"/>
  <c r="L13" i="8"/>
  <c r="T14" i="16" s="1"/>
  <c r="U12" i="8"/>
  <c r="J12" i="8" s="1"/>
  <c r="L12" i="8" s="1"/>
  <c r="T13" i="16" s="1"/>
  <c r="Q14" i="13"/>
  <c r="K14" i="16"/>
  <c r="I14" i="16"/>
  <c r="I14" i="13"/>
  <c r="P15" i="9"/>
  <c r="E15" i="13"/>
  <c r="C14" i="9"/>
  <c r="E14" i="13"/>
  <c r="C13" i="9"/>
  <c r="L13" i="2"/>
  <c r="N14" i="16" s="1"/>
  <c r="N30" i="2"/>
  <c r="L14" i="2"/>
  <c r="N15" i="16" s="1"/>
  <c r="P15" i="16"/>
  <c r="N14" i="9"/>
  <c r="V15" i="13"/>
  <c r="P8" i="9"/>
  <c r="X9"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Y12" i="13"/>
  <c r="D15" i="9"/>
  <c r="G16" i="13"/>
  <c r="M10" i="8"/>
  <c r="G10" i="8" s="1"/>
  <c r="K11" i="16" s="1"/>
  <c r="L10" i="8"/>
  <c r="T11" i="16" s="1"/>
  <c r="L11" i="8"/>
  <c r="T12" i="16" s="1"/>
  <c r="M11" i="8"/>
  <c r="G11" i="8" s="1"/>
  <c r="K12" i="16" s="1"/>
  <c r="Q11" i="9" l="1"/>
  <c r="Y11" i="13"/>
  <c r="I14" i="9"/>
  <c r="Q15" i="13"/>
  <c r="Q10" i="9"/>
  <c r="Z15" i="13"/>
  <c r="R14" i="9"/>
  <c r="M12" i="8"/>
  <c r="G12" i="8" s="1"/>
  <c r="K13" i="16" s="1"/>
  <c r="R13" i="9"/>
  <c r="Z14" i="13"/>
  <c r="T14" i="13"/>
  <c r="L13" i="9"/>
  <c r="L14" i="9"/>
  <c r="T15" i="13"/>
  <c r="Z13" i="13"/>
  <c r="R12" i="9"/>
  <c r="R9" i="9"/>
  <c r="Z10" i="13"/>
  <c r="R10" i="9"/>
  <c r="Z11" i="13"/>
  <c r="I11" i="9"/>
  <c r="Q12" i="13"/>
  <c r="I10" i="9"/>
  <c r="Q11" i="13"/>
  <c r="R11" i="9"/>
  <c r="Z12" i="13"/>
  <c r="Q13" i="13" l="1"/>
  <c r="I12" i="9"/>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<sst xmlns="http://schemas.openxmlformats.org/spreadsheetml/2006/main" count="654" uniqueCount="141">
  <si>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</si>
  <si>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</si>
  <si>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</si>
  <si>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</si>
  <si>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</si>
  <si>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</si>
  <si>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</si>
  <si>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</si>
  <si>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</si>
  <si>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</si>
  <si>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</si>
  <si>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</si>
  <si>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</si>
  <si>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</si>
  <si>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</si>
  <si>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</si>
  <si>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</si>
  <si>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</si>
  <si>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</si>
  <si>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</si>
  <si>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</si>
  <si>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</si>
  <si>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</si>
  <si>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</si>
  <si>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</si>
  <si>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</si>
  <si>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</si>
  <si>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</si>
  <si>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</si>
  <si>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</si>
  <si>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</si>
  <si>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</si>
  <si>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</si>
  <si>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</si>
  <si>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</si>
  <si>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</si>
  <si>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</si>
  <si>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</si>
  <si>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</si>
  <si>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</si>
  <si>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</si>
  <si>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</si>
  <si>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</si>
  <si>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</si>
  <si>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</si>
  <si>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</si>
  <si>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</si>
  <si>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</si>
  <si>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</si>
  <si>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</si>
  <si>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</si>
  <si>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</si>
  <si>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</si>
  <si>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</si>
  <si>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</si>
  <si>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</si>
  <si>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</si>
  <si>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</si>
  <si>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</si>
  <si>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</si>
  <si>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</si>
  <si>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</si>
  <si>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</si>
  <si>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</si>
  <si>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</si>
  <si>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</si>
  <si>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</si>
  <si>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</si>
  <si>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</si>
  <si>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</si>
  <si>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</si>
  <si>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</si>
  <si>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</si>
  <si>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</si>
  <si>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</si>
  <si>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</si>
  <si>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</si>
  <si>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</si>
  <si>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</si>
  <si>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</si>
  <si>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</si>
  <si>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</si>
  <si>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</si>
  <si>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</si>
  <si>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</si>
  <si>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</si>
  <si>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</si>
  <si>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</si>
  <si>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</si>
  <si>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</si>
  <si>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</si>
  <si>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</si>
  <si>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</si>
  <si>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</si>
  <si>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</si>
  <si>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</si>
  <si>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</si>
  <si>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</si>
  <si>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</si>
  <si>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</si>
  <si>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</si>
  <si>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</si>
  <si>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</si>
  <si>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</si>
  <si>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</si>
  <si>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</si>
  <si>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</si>
  <si>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</si>
  <si>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</si>
  <si>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</si>
  <si>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</si>
  <si>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</si>
  <si>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</si>
  <si>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</si>
  <si>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</si>
  <si>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</si>
  <si>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</si>
  <si>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</si>
  <si>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</si>
  <si>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</si>
  <si>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</si>
  <si>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</si>
  <si>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</si>
  <si>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</si>
  <si>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</si>
  <si>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</si>
  <si>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</si>
  <si>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</si>
  <si>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</si>
  <si>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</si>
  <si>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</si>
  <si>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</si>
  <si>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</si>
  <si>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</si>
  <si>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</si>
  <si>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</si>
  <si>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</si>
  <si>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Livingston</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</si>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</sst>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4" fillId="0" borderId="0" xfId="0" applyNumberFormat="1" applyFont="1" applyFill="1" applyBorder="1" applyAlignment="1" applyProtection="1">
      <alignment vertical="top" wrapText="1"/>
    </xf>
    <xf numFmtId="4" fontId="2" fillId="2"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Livingston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c:v>
                </c:pt>
                <c:pt idx="2">
                  <c:v>Delinquent Findings, total N=24</c:v>
                </c:pt>
                <c:pt idx="3">
                  <c:v>Petitions, total N=68</c:v>
                </c:pt>
                <c:pt idx="4">
                  <c:v>Detentions, total N=11</c:v>
                </c:pt>
                <c:pt idx="5">
                  <c:v>Referrals, total N=102</c:v>
                </c:pt>
                <c:pt idx="6">
                  <c:v>Arrests, total N=14</c:v>
                </c:pt>
                <c:pt idx="7">
                  <c:v>Population, total N=16738</c:v>
                </c:pt>
              </c:strCache>
            </c:strRef>
          </c:cat>
          <c:val>
            <c:numRef>
              <c:f>'Stacked 100%'!$B$7:$B$14</c:f>
              <c:numCache>
                <c:formatCode>0%</c:formatCode>
                <c:ptCount val="8"/>
                <c:pt idx="0">
                  <c:v>0</c:v>
                </c:pt>
                <c:pt idx="1">
                  <c:v>0</c:v>
                </c:pt>
                <c:pt idx="2">
                  <c:v>8.3333333333333329E-2</c:v>
                </c:pt>
                <c:pt idx="3">
                  <c:v>2.9411764705882353E-2</c:v>
                </c:pt>
                <c:pt idx="4">
                  <c:v>0.18181818181818182</c:v>
                </c:pt>
                <c:pt idx="5">
                  <c:v>3.9215686274509803E-2</c:v>
                </c:pt>
                <c:pt idx="6">
                  <c:v>0.21428571428571427</c:v>
                </c:pt>
                <c:pt idx="7">
                  <c:v>1.1231927350937986E-2</c:v>
                </c:pt>
              </c:numCache>
            </c:numRef>
          </c:val>
          <c:extLst>
            <c:ext xmlns:c16="http://schemas.microsoft.com/office/drawing/2014/chart" uri="{C3380CC4-5D6E-409C-BE32-E72D297353CC}">
              <c16:uniqueId val="{00000000-66B7-4F84-9B9A-9559428BEFF5}"/>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c:v>
                </c:pt>
                <c:pt idx="2">
                  <c:v>Delinquent Findings, total N=24</c:v>
                </c:pt>
                <c:pt idx="3">
                  <c:v>Petitions, total N=68</c:v>
                </c:pt>
                <c:pt idx="4">
                  <c:v>Detentions, total N=11</c:v>
                </c:pt>
                <c:pt idx="5">
                  <c:v>Referrals, total N=102</c:v>
                </c:pt>
                <c:pt idx="6">
                  <c:v>Arrests, total N=14</c:v>
                </c:pt>
                <c:pt idx="7">
                  <c:v>Population, total N=16738</c:v>
                </c:pt>
              </c:strCache>
            </c:strRef>
          </c:cat>
          <c:val>
            <c:numRef>
              <c:f>'Stacked 100%'!$C$7:$C$14</c:f>
              <c:numCache>
                <c:formatCode>0%</c:formatCode>
                <c:ptCount val="8"/>
                <c:pt idx="0">
                  <c:v>0</c:v>
                </c:pt>
                <c:pt idx="1">
                  <c:v>0</c:v>
                </c:pt>
                <c:pt idx="2">
                  <c:v>0</c:v>
                </c:pt>
                <c:pt idx="3">
                  <c:v>0</c:v>
                </c:pt>
                <c:pt idx="4">
                  <c:v>0</c:v>
                </c:pt>
                <c:pt idx="5">
                  <c:v>0</c:v>
                </c:pt>
                <c:pt idx="6">
                  <c:v>0</c:v>
                </c:pt>
                <c:pt idx="7">
                  <c:v>3.769864977894611E-2</c:v>
                </c:pt>
              </c:numCache>
            </c:numRef>
          </c:val>
          <c:extLst>
            <c:ext xmlns:c16="http://schemas.microsoft.com/office/drawing/2014/chart" uri="{C3380CC4-5D6E-409C-BE32-E72D297353CC}">
              <c16:uniqueId val="{00000001-66B7-4F84-9B9A-9559428BEFF5}"/>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N=2</c:v>
                </c:pt>
                <c:pt idx="2">
                  <c:v>Delinquent Findings, total N=24</c:v>
                </c:pt>
                <c:pt idx="3">
                  <c:v>Petitions, total N=68</c:v>
                </c:pt>
                <c:pt idx="4">
                  <c:v>Detentions, total N=11</c:v>
                </c:pt>
                <c:pt idx="5">
                  <c:v>Referrals, total N=102</c:v>
                </c:pt>
                <c:pt idx="6">
                  <c:v>Arrests, total N=14</c:v>
                </c:pt>
                <c:pt idx="7">
                  <c:v>Population, total N=16738</c:v>
                </c:pt>
              </c:strCache>
            </c:strRef>
          </c:cat>
          <c:val>
            <c:numRef>
              <c:f>'Stacked 100%'!$H$7:$H$14</c:f>
              <c:numCache>
                <c:formatCode>0%</c:formatCode>
                <c:ptCount val="8"/>
                <c:pt idx="0">
                  <c:v>0</c:v>
                </c:pt>
                <c:pt idx="1">
                  <c:v>0</c:v>
                </c:pt>
                <c:pt idx="2">
                  <c:v>1.736111111111111E-3</c:v>
                </c:pt>
                <c:pt idx="3">
                  <c:v>4.3252595155709344E-4</c:v>
                </c:pt>
                <c:pt idx="4">
                  <c:v>0</c:v>
                </c:pt>
                <c:pt idx="5">
                  <c:v>1.9223375624759708E-4</c:v>
                </c:pt>
                <c:pt idx="6">
                  <c:v>0</c:v>
                </c:pt>
                <c:pt idx="7">
                  <c:v>1.0101347425514914E-6</c:v>
                </c:pt>
              </c:numCache>
            </c:numRef>
          </c:val>
          <c:extLst>
            <c:ext xmlns:c16="http://schemas.microsoft.com/office/drawing/2014/chart" uri="{C3380CC4-5D6E-409C-BE32-E72D297353CC}">
              <c16:uniqueId val="{00000002-66B7-4F84-9B9A-9559428BEFF5}"/>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c:v>
                </c:pt>
                <c:pt idx="2">
                  <c:v>Delinquent Findings, total N=24</c:v>
                </c:pt>
                <c:pt idx="3">
                  <c:v>Petitions, total N=68</c:v>
                </c:pt>
                <c:pt idx="4">
                  <c:v>Detentions, total N=11</c:v>
                </c:pt>
                <c:pt idx="5">
                  <c:v>Referrals, total N=102</c:v>
                </c:pt>
                <c:pt idx="6">
                  <c:v>Arrests, total N=14</c:v>
                </c:pt>
                <c:pt idx="7">
                  <c:v>Population, total N=16738</c:v>
                </c:pt>
              </c:strCache>
            </c:strRef>
          </c:cat>
          <c:val>
            <c:numRef>
              <c:f>'Stacked 100%'!$I$7:$I$14</c:f>
              <c:numCache>
                <c:formatCode>0%</c:formatCode>
                <c:ptCount val="8"/>
                <c:pt idx="0">
                  <c:v>0</c:v>
                </c:pt>
                <c:pt idx="1">
                  <c:v>1</c:v>
                </c:pt>
                <c:pt idx="2">
                  <c:v>0.875</c:v>
                </c:pt>
                <c:pt idx="3">
                  <c:v>0.94117647058823528</c:v>
                </c:pt>
                <c:pt idx="4">
                  <c:v>0.81818181818181823</c:v>
                </c:pt>
                <c:pt idx="5">
                  <c:v>0.94117647058823528</c:v>
                </c:pt>
                <c:pt idx="6">
                  <c:v>0.7857142857142857</c:v>
                </c:pt>
                <c:pt idx="7">
                  <c:v>0.93416178754928902</c:v>
                </c:pt>
              </c:numCache>
            </c:numRef>
          </c:val>
          <c:extLst>
            <c:ext xmlns:c16="http://schemas.microsoft.com/office/drawing/2014/chart" uri="{C3380CC4-5D6E-409C-BE32-E72D297353CC}">
              <c16:uniqueId val="{00000003-66B7-4F84-9B9A-9559428BEFF5}"/>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N=2</c:v>
                </c:pt>
                <c:pt idx="2">
                  <c:v>Delinquent Findings, total N=24</c:v>
                </c:pt>
                <c:pt idx="3">
                  <c:v>Petitions, total N=68</c:v>
                </c:pt>
                <c:pt idx="4">
                  <c:v>Detentions, total N=11</c:v>
                </c:pt>
                <c:pt idx="5">
                  <c:v>Referrals, total N=102</c:v>
                </c:pt>
                <c:pt idx="6">
                  <c:v>Arrests, total N=14</c:v>
                </c:pt>
                <c:pt idx="7">
                  <c:v>Population, total N=16738</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66B7-4F84-9B9A-9559428BEFF5}"/>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I14" sqref="I14"/>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6" t="s">
        <v>1</v>
      </c>
      <c r="C1" s="176"/>
      <c r="D1" s="176"/>
      <c r="E1" s="176"/>
      <c r="F1" s="176"/>
      <c r="G1" s="176"/>
      <c r="H1" s="176"/>
    </row>
    <row r="2" spans="1:11" ht="15" customHeight="1" x14ac:dyDescent="0.25">
      <c r="A2" s="3" t="s">
        <v>122</v>
      </c>
      <c r="B2" s="4"/>
      <c r="C2" s="4"/>
      <c r="D2" s="4"/>
      <c r="E2" s="4"/>
      <c r="F2" s="4"/>
    </row>
    <row r="3" spans="1:11" ht="15" customHeight="1" x14ac:dyDescent="0.25">
      <c r="A3" s="142" t="s">
        <v>137</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16738</v>
      </c>
      <c r="C6" s="11">
        <v>15636</v>
      </c>
      <c r="D6" s="11">
        <v>188</v>
      </c>
      <c r="E6" s="11">
        <v>631</v>
      </c>
      <c r="F6" s="11">
        <v>216</v>
      </c>
      <c r="G6" s="11"/>
      <c r="H6" s="11">
        <v>67</v>
      </c>
      <c r="I6" s="11"/>
      <c r="J6" s="91">
        <f>SUM(D6:I6)</f>
        <v>1102</v>
      </c>
      <c r="K6" s="92"/>
    </row>
    <row r="7" spans="1:11" ht="15.75" customHeight="1" thickBot="1" x14ac:dyDescent="0.25">
      <c r="A7" s="10" t="s">
        <v>8</v>
      </c>
      <c r="B7" s="11">
        <f t="shared" ref="B7:B15" si="0">SUM(C7:I7)+K7</f>
        <v>14</v>
      </c>
      <c r="C7" s="11">
        <v>11</v>
      </c>
      <c r="D7" s="11">
        <v>3</v>
      </c>
      <c r="E7" s="11"/>
      <c r="F7" s="11"/>
      <c r="G7" s="11"/>
      <c r="H7" s="11"/>
      <c r="I7" s="11"/>
      <c r="J7" s="91">
        <f t="shared" ref="J7:J15" si="1">SUM(D7:I7)</f>
        <v>3</v>
      </c>
      <c r="K7" s="92"/>
    </row>
    <row r="8" spans="1:11" ht="15.75" customHeight="1" thickBot="1" x14ac:dyDescent="0.25">
      <c r="A8" s="10" t="s">
        <v>9</v>
      </c>
      <c r="B8" s="11">
        <f t="shared" si="0"/>
        <v>102</v>
      </c>
      <c r="C8" s="11">
        <v>96</v>
      </c>
      <c r="D8" s="11">
        <v>4</v>
      </c>
      <c r="E8" s="11"/>
      <c r="F8" s="11"/>
      <c r="G8" s="11"/>
      <c r="H8" s="11"/>
      <c r="I8" s="11">
        <v>2</v>
      </c>
      <c r="J8" s="91">
        <f t="shared" si="1"/>
        <v>6</v>
      </c>
      <c r="K8" s="92"/>
    </row>
    <row r="9" spans="1:11" ht="15.75" customHeight="1" thickBot="1" x14ac:dyDescent="0.25">
      <c r="A9" s="10" t="s">
        <v>10</v>
      </c>
      <c r="B9" s="11">
        <f t="shared" si="0"/>
        <v>0</v>
      </c>
      <c r="C9" s="11"/>
      <c r="D9" s="11"/>
      <c r="E9" s="11"/>
      <c r="F9" s="11"/>
      <c r="G9" s="11"/>
      <c r="H9" s="11"/>
      <c r="I9" s="11"/>
      <c r="J9" s="91">
        <f t="shared" si="1"/>
        <v>0</v>
      </c>
      <c r="K9" s="92"/>
    </row>
    <row r="10" spans="1:11" ht="15.75" customHeight="1" thickBot="1" x14ac:dyDescent="0.25">
      <c r="A10" s="10" t="s">
        <v>11</v>
      </c>
      <c r="B10" s="11">
        <f t="shared" si="0"/>
        <v>11</v>
      </c>
      <c r="C10" s="11">
        <v>9</v>
      </c>
      <c r="D10" s="11">
        <v>2</v>
      </c>
      <c r="E10" s="11"/>
      <c r="F10" s="11"/>
      <c r="G10" s="11"/>
      <c r="H10" s="11"/>
      <c r="I10" s="11"/>
      <c r="J10" s="91">
        <f t="shared" si="1"/>
        <v>2</v>
      </c>
      <c r="K10" s="92"/>
    </row>
    <row r="11" spans="1:11" ht="15.75" customHeight="1" thickBot="1" x14ac:dyDescent="0.25">
      <c r="A11" s="10" t="s">
        <v>12</v>
      </c>
      <c r="B11" s="11">
        <f t="shared" si="0"/>
        <v>68</v>
      </c>
      <c r="C11" s="11">
        <v>64</v>
      </c>
      <c r="D11" s="11">
        <v>2</v>
      </c>
      <c r="E11" s="11"/>
      <c r="F11" s="11"/>
      <c r="G11" s="11"/>
      <c r="H11" s="11"/>
      <c r="I11" s="11">
        <v>2</v>
      </c>
      <c r="J11" s="91">
        <f t="shared" si="1"/>
        <v>4</v>
      </c>
      <c r="K11" s="92"/>
    </row>
    <row r="12" spans="1:11" ht="15.75" customHeight="1" thickBot="1" x14ac:dyDescent="0.25">
      <c r="A12" s="10" t="s">
        <v>13</v>
      </c>
      <c r="B12" s="11">
        <f t="shared" si="0"/>
        <v>24</v>
      </c>
      <c r="C12" s="11">
        <v>21</v>
      </c>
      <c r="D12" s="11">
        <v>2</v>
      </c>
      <c r="E12" s="11"/>
      <c r="F12" s="11"/>
      <c r="G12" s="11"/>
      <c r="H12" s="11"/>
      <c r="I12" s="11">
        <v>1</v>
      </c>
      <c r="J12" s="91">
        <f t="shared" si="1"/>
        <v>3</v>
      </c>
      <c r="K12" s="92"/>
    </row>
    <row r="13" spans="1:11" ht="15.75" customHeight="1" thickBot="1" x14ac:dyDescent="0.25">
      <c r="A13" s="10" t="s">
        <v>133</v>
      </c>
      <c r="B13" s="11">
        <f t="shared" si="0"/>
        <v>28</v>
      </c>
      <c r="C13" s="11">
        <v>24</v>
      </c>
      <c r="D13" s="11">
        <v>2</v>
      </c>
      <c r="E13" s="11"/>
      <c r="F13" s="11"/>
      <c r="G13" s="11"/>
      <c r="H13" s="11"/>
      <c r="I13" s="11">
        <v>2</v>
      </c>
      <c r="J13" s="91">
        <f t="shared" si="1"/>
        <v>4</v>
      </c>
      <c r="K13" s="92"/>
    </row>
    <row r="14" spans="1:11" ht="26.25" customHeight="1" thickBot="1" x14ac:dyDescent="0.25">
      <c r="A14" s="10" t="s">
        <v>123</v>
      </c>
      <c r="B14" s="11">
        <f t="shared" si="0"/>
        <v>2</v>
      </c>
      <c r="C14" s="11">
        <v>2</v>
      </c>
      <c r="D14" s="11"/>
      <c r="E14" s="11"/>
      <c r="F14" s="11"/>
      <c r="G14" s="11"/>
      <c r="H14" s="11"/>
      <c r="I14" s="11"/>
      <c r="J14" s="91">
        <f t="shared" si="1"/>
        <v>0</v>
      </c>
      <c r="K14" s="92"/>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thickBot="1" x14ac:dyDescent="0.25">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No</v>
      </c>
      <c r="I16" s="13" t="str">
        <f t="shared" si="2"/>
        <v>No</v>
      </c>
      <c r="J16" s="13" t="str">
        <f t="shared" si="2"/>
        <v>Yes</v>
      </c>
      <c r="K16" s="92">
        <v>0</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7" t="s">
        <v>138</v>
      </c>
      <c r="B19" s="177"/>
      <c r="C19" s="8"/>
      <c r="D19" s="177" t="s">
        <v>139</v>
      </c>
      <c r="E19" s="177"/>
      <c r="F19" s="177"/>
      <c r="G19" s="177"/>
      <c r="H19" s="177"/>
      <c r="I19" s="177"/>
    </row>
    <row r="20" spans="1:9" ht="15" customHeight="1" x14ac:dyDescent="0.25">
      <c r="A20" s="177" t="s">
        <v>108</v>
      </c>
      <c r="B20" s="177"/>
      <c r="C20" s="8"/>
      <c r="D20" s="177" t="s">
        <v>109</v>
      </c>
      <c r="E20" s="177"/>
      <c r="F20" s="177"/>
      <c r="G20" s="177"/>
      <c r="H20" s="177"/>
      <c r="I20" s="177"/>
    </row>
    <row r="21" spans="1:9" ht="15" customHeight="1" x14ac:dyDescent="0.25">
      <c r="A21" s="177" t="s">
        <v>110</v>
      </c>
      <c r="B21" s="177"/>
      <c r="C21" s="8"/>
      <c r="D21" s="177" t="s">
        <v>111</v>
      </c>
      <c r="E21" s="177"/>
      <c r="F21" s="177"/>
      <c r="G21" s="177"/>
      <c r="H21" s="177"/>
      <c r="I21" s="177"/>
    </row>
    <row r="22" spans="1:9" ht="15" customHeight="1" x14ac:dyDescent="0.25">
      <c r="A22" s="177" t="s">
        <v>112</v>
      </c>
      <c r="B22" s="177"/>
      <c r="C22" s="8"/>
      <c r="D22" s="177" t="s">
        <v>113</v>
      </c>
      <c r="E22" s="177"/>
      <c r="F22" s="177"/>
      <c r="G22" s="177"/>
      <c r="H22" s="177"/>
      <c r="I22" s="177"/>
    </row>
    <row r="23" spans="1:9" ht="15" customHeight="1" x14ac:dyDescent="0.25">
      <c r="A23" s="177" t="s">
        <v>114</v>
      </c>
      <c r="B23" s="177"/>
      <c r="C23" s="8"/>
      <c r="D23" s="177" t="s">
        <v>115</v>
      </c>
      <c r="E23" s="177"/>
      <c r="F23" s="177"/>
      <c r="G23" s="177"/>
      <c r="H23" s="177"/>
      <c r="I23" s="177"/>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Livingston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15636</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11</v>
      </c>
      <c r="D7" s="34">
        <f>IF((AND(C66&gt;0,C7&gt;0)),(C7/C66),0)</f>
        <v>0.70350473266820157</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11</v>
      </c>
      <c r="Q7" s="42">
        <f>C6-C7</f>
        <v>15625</v>
      </c>
      <c r="R7" s="42">
        <f t="shared" ref="R7:R15" si="5">SUM(N7:Q7)</f>
        <v>15636</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96</v>
      </c>
      <c r="D8" s="34">
        <f>IF((AND(C67&gt;0,C8&gt;0)),(C8/C67),0)</f>
        <v>872.72727272727275</v>
      </c>
      <c r="E8" s="33">
        <f>'Data Entry'!I8</f>
        <v>2</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2</v>
      </c>
      <c r="O8" s="42">
        <f>((D67*L67)-E8)+0.05</f>
        <v>-1.95</v>
      </c>
      <c r="P8" s="42">
        <f t="shared" si="4"/>
        <v>96</v>
      </c>
      <c r="Q8" s="42">
        <f>(C$67*L67)-C8</f>
        <v>-85</v>
      </c>
      <c r="R8" s="42">
        <f t="shared" si="5"/>
        <v>11.049999999999997</v>
      </c>
      <c r="S8" s="30">
        <f t="shared" si="6"/>
        <v>3269.0319999999952</v>
      </c>
      <c r="T8" s="30">
        <f t="shared" si="7"/>
        <v>-4686.6050000000041</v>
      </c>
      <c r="U8" s="31">
        <f t="shared" si="8"/>
        <v>-0.69752667442636884</v>
      </c>
    </row>
    <row r="9" spans="2:21" ht="18" customHeight="1" x14ac:dyDescent="0.25">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2</v>
      </c>
      <c r="P9" s="42">
        <f t="shared" si="4"/>
        <v>0</v>
      </c>
      <c r="Q9" s="42">
        <f>(C$68*L68)-C9</f>
        <v>96</v>
      </c>
      <c r="R9" s="42">
        <f t="shared" si="5"/>
        <v>98</v>
      </c>
      <c r="S9" s="30">
        <f t="shared" si="6"/>
        <v>0</v>
      </c>
      <c r="T9" s="30">
        <f t="shared" si="7"/>
        <v>0</v>
      </c>
      <c r="U9" s="31" t="str">
        <f t="shared" si="8"/>
        <v>- -</v>
      </c>
    </row>
    <row r="10" spans="2:21" ht="18" customHeight="1" x14ac:dyDescent="0.25">
      <c r="B10" s="32" t="str">
        <f>'Data Entry'!A10</f>
        <v>5. Cases Involving Secure Detention</v>
      </c>
      <c r="C10" s="33">
        <f>'Data Entry'!C10</f>
        <v>9</v>
      </c>
      <c r="D10" s="34">
        <f>IF(((AND(C68&gt;0,C10&gt;0))),(C10/(C68)),0)</f>
        <v>9.375</v>
      </c>
      <c r="E10" s="33">
        <f>'Data Entry'!I10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0</v>
      </c>
      <c r="O10" s="42">
        <f>(D$68*L68)-E10</f>
        <v>2</v>
      </c>
      <c r="P10" s="42">
        <f t="shared" si="4"/>
        <v>9</v>
      </c>
      <c r="Q10" s="42">
        <f>(C$68*L68)-C10</f>
        <v>87</v>
      </c>
      <c r="R10" s="42">
        <f t="shared" si="5"/>
        <v>98</v>
      </c>
      <c r="S10" s="30">
        <f t="shared" si="6"/>
        <v>31752</v>
      </c>
      <c r="T10" s="30">
        <f t="shared" si="7"/>
        <v>153792</v>
      </c>
      <c r="U10" s="31">
        <f t="shared" si="8"/>
        <v>0.20646067415730338</v>
      </c>
    </row>
    <row r="11" spans="2:21" ht="18" customHeight="1" x14ac:dyDescent="0.25">
      <c r="B11" s="32" t="str">
        <f>'Data Entry'!A11</f>
        <v>6. Cases Petitioned (Charge Filed)</v>
      </c>
      <c r="C11" s="33">
        <f>'Data Entry'!C11</f>
        <v>64</v>
      </c>
      <c r="D11" s="34">
        <f>IF(((AND(C68&gt;0,C11&gt;0))),(C11/(C68)),0)</f>
        <v>66.666666666666671</v>
      </c>
      <c r="E11" s="33">
        <f>'Data Entry'!I11</f>
        <v>2</v>
      </c>
      <c r="F11" s="34">
        <f>IF(((AND($E$11&gt;0,$D$68&gt;0))),($E$11/($D$68)),0)</f>
        <v>100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2</v>
      </c>
      <c r="O11" s="42">
        <f>(D$68*L68)-E11</f>
        <v>0</v>
      </c>
      <c r="P11" s="42">
        <f t="shared" si="4"/>
        <v>64</v>
      </c>
      <c r="Q11" s="42">
        <f>(C$68*L68)-C11</f>
        <v>32</v>
      </c>
      <c r="R11" s="42">
        <f t="shared" si="5"/>
        <v>98</v>
      </c>
      <c r="S11" s="30">
        <f t="shared" si="6"/>
        <v>401408</v>
      </c>
      <c r="T11" s="30">
        <f t="shared" si="7"/>
        <v>405504</v>
      </c>
      <c r="U11" s="31">
        <f t="shared" si="8"/>
        <v>0.98989898989898994</v>
      </c>
    </row>
    <row r="12" spans="2:21" ht="18" customHeight="1" x14ac:dyDescent="0.25">
      <c r="B12" s="32" t="str">
        <f>'Data Entry'!A12</f>
        <v>7. Cases Resulting in Delinquent Findings</v>
      </c>
      <c r="C12" s="33">
        <f>'Data Entry'!C12</f>
        <v>21</v>
      </c>
      <c r="D12" s="34">
        <f>IF(((AND(C69&gt;0,C12&gt;0))),(C12/(C69)),0)</f>
        <v>32.8125</v>
      </c>
      <c r="E12" s="33">
        <f>'Data Entry'!I12</f>
        <v>1</v>
      </c>
      <c r="F12" s="34">
        <f>IF(((AND($D$69&gt;0,$E$12&gt;0))),(E12/(D69)),0)</f>
        <v>50</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1</v>
      </c>
      <c r="O12" s="42">
        <f>(D69*L69)-E12</f>
        <v>1</v>
      </c>
      <c r="P12" s="42">
        <f t="shared" si="4"/>
        <v>21</v>
      </c>
      <c r="Q12" s="42">
        <f>(C69*L69)-C12</f>
        <v>43</v>
      </c>
      <c r="R12" s="42">
        <f t="shared" si="5"/>
        <v>66</v>
      </c>
      <c r="S12" s="30">
        <f t="shared" si="6"/>
        <v>31944</v>
      </c>
      <c r="T12" s="30">
        <f t="shared" si="7"/>
        <v>123904</v>
      </c>
      <c r="U12" s="31">
        <f t="shared" si="8"/>
        <v>0.2578125</v>
      </c>
    </row>
    <row r="13" spans="2:21" ht="18" customHeight="1" x14ac:dyDescent="0.25">
      <c r="B13" s="32" t="str">
        <f>'Data Entry'!A13</f>
        <v>8. Cases Resulting in Probation Placement</v>
      </c>
      <c r="C13" s="33">
        <f>'Data Entry'!C13</f>
        <v>24</v>
      </c>
      <c r="D13" s="34">
        <f>IF(((AND(C70&gt;0,C13&gt;0))),(C13/(C70)),0)</f>
        <v>114.28571428571429</v>
      </c>
      <c r="E13" s="33">
        <f>'Data Entry'!I13</f>
        <v>2</v>
      </c>
      <c r="F13" s="34">
        <f>IF(((AND($D$70&gt;0,$E$13&gt;0))),($E$13/($D$70)),0)</f>
        <v>200</v>
      </c>
      <c r="G13" s="39" t="str">
        <f t="shared" si="0"/>
        <v>*</v>
      </c>
      <c r="H13" s="40"/>
      <c r="I13" s="41"/>
      <c r="J13" s="40">
        <f>IF((ABS($U13)&gt;Defaults!D$7),1,2)</f>
        <v>2</v>
      </c>
      <c r="K13" s="39">
        <f>IF((AND(N13&gt;Defaults!B$12,(N13+O13)&gt;Defaults!B$13, P13 &gt; Defaults!B$12, (P13+Q13) &gt; Defaults!B$13)),1,20)</f>
        <v>20</v>
      </c>
      <c r="L13" s="1">
        <f t="shared" si="1"/>
        <v>139</v>
      </c>
      <c r="M13" s="1" t="b">
        <f t="shared" si="2"/>
        <v>1</v>
      </c>
      <c r="N13" s="42">
        <f t="shared" si="3"/>
        <v>2</v>
      </c>
      <c r="O13" s="42">
        <f>(D70*L70)-E13</f>
        <v>-1</v>
      </c>
      <c r="P13" s="42">
        <f t="shared" si="4"/>
        <v>24</v>
      </c>
      <c r="Q13" s="42">
        <f>(C70*L70)-C13</f>
        <v>-3</v>
      </c>
      <c r="R13" s="42">
        <f t="shared" si="5"/>
        <v>22</v>
      </c>
      <c r="S13" s="30">
        <f t="shared" si="6"/>
        <v>7128</v>
      </c>
      <c r="T13" s="30">
        <f t="shared" si="7"/>
        <v>-2184</v>
      </c>
      <c r="U13" s="31">
        <f t="shared" si="8"/>
        <v>-3.2637362637362637</v>
      </c>
    </row>
    <row r="14" spans="2:21" ht="30.75" customHeight="1" x14ac:dyDescent="0.25">
      <c r="B14" s="32" t="str">
        <f>'Data Entry'!A14</f>
        <v xml:space="preserve">9. Cases Resulting in Confinement in Secure Juvenile Correctional Facilities </v>
      </c>
      <c r="C14" s="33">
        <f>'Data Entry'!C14</f>
        <v>2</v>
      </c>
      <c r="D14" s="34">
        <f>IF(((AND(C70&gt;0,C14&gt;0))), ((C14/(C70))),0)</f>
        <v>9.5238095238095237</v>
      </c>
      <c r="E14" s="33">
        <f>'Data Entry'!I14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139</v>
      </c>
      <c r="M14" s="1" t="b">
        <f t="shared" si="2"/>
        <v>1</v>
      </c>
      <c r="N14" s="42">
        <f t="shared" si="3"/>
        <v>0</v>
      </c>
      <c r="O14" s="42">
        <f>(D70*L70)-E14</f>
        <v>1</v>
      </c>
      <c r="P14" s="42">
        <f t="shared" si="4"/>
        <v>2</v>
      </c>
      <c r="Q14" s="42">
        <f>(C70*L70)-C14</f>
        <v>19</v>
      </c>
      <c r="R14" s="42">
        <f t="shared" si="5"/>
        <v>22</v>
      </c>
      <c r="S14" s="30">
        <f t="shared" si="6"/>
        <v>88</v>
      </c>
      <c r="T14" s="30">
        <f t="shared" si="7"/>
        <v>840</v>
      </c>
      <c r="U14" s="31">
        <f t="shared" si="8"/>
        <v>0.10476190476190476</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64</v>
      </c>
      <c r="R15" s="42">
        <f t="shared" si="5"/>
        <v>66</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15.635999999999999</v>
      </c>
      <c r="D42" s="56">
        <f>E6/1000</f>
        <v>0</v>
      </c>
      <c r="E42" s="56">
        <f>MAX(C42:D42)</f>
        <v>15.635999999999999</v>
      </c>
      <c r="G42" s="1" t="str">
        <f>B42</f>
        <v>per 1000 youth</v>
      </c>
      <c r="L42" s="57">
        <v>1000</v>
      </c>
      <c r="M42" s="57"/>
      <c r="R42" s="49"/>
    </row>
    <row r="43" spans="2:18" ht="15" hidden="1" customHeight="1" x14ac:dyDescent="0.25">
      <c r="B43" s="49" t="s">
        <v>87</v>
      </c>
      <c r="C43" s="56">
        <f>C7/100</f>
        <v>0.11</v>
      </c>
      <c r="D43" s="56">
        <f>E7/100</f>
        <v>0</v>
      </c>
      <c r="E43" s="56">
        <f>MAX(C43:D43,0)</f>
        <v>0.11</v>
      </c>
      <c r="G43" s="1" t="str">
        <f>B43</f>
        <v>per 100 arrests</v>
      </c>
      <c r="L43" s="57">
        <v>100</v>
      </c>
      <c r="M43" s="57"/>
      <c r="R43" s="49"/>
    </row>
    <row r="44" spans="2:18" ht="15" hidden="1" customHeight="1" x14ac:dyDescent="0.25">
      <c r="B44" s="49" t="s">
        <v>88</v>
      </c>
      <c r="C44" s="56">
        <f>C8/100</f>
        <v>0.96</v>
      </c>
      <c r="D44" s="56">
        <f>E8/100</f>
        <v>0.02</v>
      </c>
      <c r="E44" s="56">
        <f>MAX(C44:D44,0)</f>
        <v>0.96</v>
      </c>
      <c r="G44" s="1" t="str">
        <f>B44</f>
        <v>per 100 referrals</v>
      </c>
      <c r="L44" s="57">
        <v>100</v>
      </c>
      <c r="M44" s="57"/>
      <c r="R44" s="49"/>
    </row>
    <row r="45" spans="2:18" ht="15" hidden="1" customHeight="1" x14ac:dyDescent="0.25">
      <c r="B45" s="49" t="s">
        <v>89</v>
      </c>
      <c r="C45" s="49">
        <f>C11/100</f>
        <v>0.64</v>
      </c>
      <c r="D45" s="49">
        <f>E11/100</f>
        <v>0.02</v>
      </c>
      <c r="E45" s="56">
        <f>MAX(C45:D45,0)</f>
        <v>0.64</v>
      </c>
      <c r="G45" s="1" t="str">
        <f>B45</f>
        <v>per 100 youth petitioned</v>
      </c>
      <c r="L45" s="57">
        <v>100</v>
      </c>
      <c r="M45" s="57"/>
      <c r="R45" s="49"/>
    </row>
    <row r="46" spans="2:18" ht="15" hidden="1" customHeight="1" x14ac:dyDescent="0.25">
      <c r="B46" s="49" t="s">
        <v>90</v>
      </c>
      <c r="C46" s="49">
        <f>C12/100</f>
        <v>0.21</v>
      </c>
      <c r="D46" s="49">
        <f>E12/100</f>
        <v>0.01</v>
      </c>
      <c r="E46" s="56">
        <f>MAX(C46:D46)</f>
        <v>0.21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15.635999999999999</v>
      </c>
      <c r="D48" s="56">
        <f>D42</f>
        <v>0</v>
      </c>
      <c r="E48" s="56">
        <f>MAX(C48:D48)</f>
        <v>15.635999999999999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0.11</v>
      </c>
      <c r="D49" s="49">
        <f t="shared" si="9"/>
        <v>0</v>
      </c>
      <c r="E49" s="49">
        <f>MAX(C49:D49)</f>
        <v>0.11</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0.96</v>
      </c>
      <c r="D50" s="49">
        <f t="shared" si="9"/>
        <v>0.02</v>
      </c>
      <c r="E50" s="49">
        <f>MAX(C50:D50)</f>
        <v>0.96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0.64</v>
      </c>
      <c r="D51" s="49">
        <f>IF(($E45&gt;0),D45,D44)</f>
        <v>0.02</v>
      </c>
      <c r="E51" s="49">
        <f>MAX(C51:D51)</f>
        <v>0.64</v>
      </c>
      <c r="G51" s="1" t="str">
        <f>G45</f>
        <v>per 100 youth petitioned</v>
      </c>
      <c r="L51" s="58">
        <f>IF(($E45&gt;0),L45,L44)</f>
        <v>100</v>
      </c>
      <c r="M51" s="58"/>
    </row>
    <row r="52" spans="2:18" ht="15" hidden="1" customHeight="1" x14ac:dyDescent="0.25">
      <c r="B52" s="49" t="str">
        <f>IF(($E46&gt;0),B46,B45)</f>
        <v>per 100 youth found delinquent</v>
      </c>
      <c r="C52" s="49">
        <f>IF(($E46&gt;0),C46,C45)</f>
        <v>0.21</v>
      </c>
      <c r="D52" s="49">
        <f>IF(($E46&gt;0),D46,D45)</f>
        <v>0.01</v>
      </c>
      <c r="E52" s="56">
        <f>MAX(C52:D52)</f>
        <v>0.21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15.635999999999999</v>
      </c>
      <c r="D54" s="56">
        <f>D48</f>
        <v>0</v>
      </c>
      <c r="E54" s="56">
        <f>MAX(C54:D54)</f>
        <v>15.635999999999999</v>
      </c>
      <c r="G54" s="1" t="str">
        <f>G48</f>
        <v>per 1000 youth</v>
      </c>
      <c r="L54" s="58">
        <f>L48</f>
        <v>1000</v>
      </c>
      <c r="M54" s="58"/>
    </row>
    <row r="55" spans="2:18" ht="15" hidden="1" customHeight="1" x14ac:dyDescent="0.25">
      <c r="B55" s="49" t="str">
        <f t="shared" ref="B55:D56" si="10">IF(($E49&gt;0),B49,B48)</f>
        <v>per 100 arrests</v>
      </c>
      <c r="C55" s="49">
        <f t="shared" si="10"/>
        <v>0.11</v>
      </c>
      <c r="D55" s="49">
        <f t="shared" si="10"/>
        <v>0</v>
      </c>
      <c r="E55" s="49">
        <f>MAX(C55:D55)</f>
        <v>0.11</v>
      </c>
      <c r="G55" s="1" t="str">
        <f>G49</f>
        <v>per 100 arrests</v>
      </c>
      <c r="L55" s="58">
        <f>IF(($E49&gt;0),L49,L48)</f>
        <v>100</v>
      </c>
      <c r="M55" s="58"/>
    </row>
    <row r="56" spans="2:18" ht="15" hidden="1" customHeight="1" x14ac:dyDescent="0.25">
      <c r="B56" s="49" t="str">
        <f t="shared" si="10"/>
        <v>per 100 referrals</v>
      </c>
      <c r="C56" s="49">
        <f t="shared" si="10"/>
        <v>0.96</v>
      </c>
      <c r="D56" s="49">
        <f t="shared" si="10"/>
        <v>0.02</v>
      </c>
      <c r="E56" s="49">
        <f>MAX(C56:D56)</f>
        <v>0.96</v>
      </c>
      <c r="G56" s="1" t="str">
        <f>G50</f>
        <v>per 100 referrals</v>
      </c>
      <c r="L56" s="58">
        <f>IF(($E50&gt;0),L50,L49)</f>
        <v>100</v>
      </c>
      <c r="M56" s="58"/>
    </row>
    <row r="57" spans="2:18" ht="15" hidden="1" customHeight="1" x14ac:dyDescent="0.25">
      <c r="B57" s="49" t="str">
        <f>IF(($E51&gt;0),B51,B49)</f>
        <v>per 100 youth petitioned</v>
      </c>
      <c r="C57" s="49">
        <f>IF(($E51&gt;0),C51,C50)</f>
        <v>0.64</v>
      </c>
      <c r="D57" s="49">
        <f>IF(($E51&gt;0),D51,D50)</f>
        <v>0.02</v>
      </c>
      <c r="E57" s="49">
        <f>MAX(C57:D57)</f>
        <v>0.64</v>
      </c>
      <c r="G57" s="1" t="str">
        <f>G51</f>
        <v>per 100 youth petitioned</v>
      </c>
      <c r="L57" s="58">
        <f>IF(($E51&gt;0),L51,L50)</f>
        <v>100</v>
      </c>
      <c r="M57" s="58"/>
    </row>
    <row r="58" spans="2:18" ht="15" hidden="1" customHeight="1" x14ac:dyDescent="0.25">
      <c r="B58" s="49" t="str">
        <f>IF(($E52&gt;0),B52,B51)</f>
        <v>per 100 youth found delinquent</v>
      </c>
      <c r="C58" s="49">
        <f>IF(($E52&gt;0),C52,C51)</f>
        <v>0.21</v>
      </c>
      <c r="D58" s="49">
        <f>IF(($E52&gt;0),D52,D51)</f>
        <v>0.01</v>
      </c>
      <c r="E58" s="56">
        <f>MAX(C58:D58)</f>
        <v>0.21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15.635999999999999</v>
      </c>
      <c r="D60" s="56">
        <f>D54</f>
        <v>0</v>
      </c>
      <c r="E60" s="56">
        <f>MAX(C60:D60)</f>
        <v>15.635999999999999</v>
      </c>
      <c r="G60" s="1" t="str">
        <f>G54</f>
        <v>per 1000 youth</v>
      </c>
      <c r="L60" s="58">
        <f>L54</f>
        <v>1000</v>
      </c>
      <c r="M60" s="58"/>
    </row>
    <row r="61" spans="2:18" ht="15" hidden="1" customHeight="1" x14ac:dyDescent="0.25">
      <c r="B61" s="49" t="str">
        <f t="shared" ref="B61:D62" si="11">IF(($E55&gt;0),B55,B54)</f>
        <v>per 100 arrests</v>
      </c>
      <c r="C61" s="49">
        <f t="shared" si="11"/>
        <v>0.11</v>
      </c>
      <c r="D61" s="49">
        <f t="shared" si="11"/>
        <v>0</v>
      </c>
      <c r="E61" s="49">
        <f>MAX(C61:D61)</f>
        <v>0.11</v>
      </c>
      <c r="G61" s="1" t="str">
        <f>G55</f>
        <v>per 100 arrests</v>
      </c>
      <c r="L61" s="58">
        <f>IF(($E55&gt;0),L55,L54)</f>
        <v>100</v>
      </c>
      <c r="M61" s="58"/>
    </row>
    <row r="62" spans="2:18" ht="15" hidden="1" customHeight="1" x14ac:dyDescent="0.25">
      <c r="B62" s="49" t="str">
        <f t="shared" si="11"/>
        <v>per 100 referrals</v>
      </c>
      <c r="C62" s="49">
        <f t="shared" si="11"/>
        <v>0.96</v>
      </c>
      <c r="D62" s="49">
        <f t="shared" si="11"/>
        <v>0.02</v>
      </c>
      <c r="E62" s="49">
        <f>MAX(C62:D62)</f>
        <v>0.96</v>
      </c>
      <c r="G62" s="1" t="str">
        <f>G56</f>
        <v>per 100 referrals</v>
      </c>
      <c r="L62" s="58">
        <f>IF(($E56&gt;0),L56,L55)</f>
        <v>100</v>
      </c>
      <c r="M62" s="58"/>
    </row>
    <row r="63" spans="2:18" ht="15" hidden="1" customHeight="1" x14ac:dyDescent="0.25">
      <c r="B63" s="49" t="str">
        <f>IF(($E57&gt;0),B57,B55)</f>
        <v>per 100 youth petitioned</v>
      </c>
      <c r="C63" s="49">
        <f>IF(($E57&gt;0),C57,C56)</f>
        <v>0.64</v>
      </c>
      <c r="D63" s="49">
        <f>IF(($E57&gt;0),D57,D56)</f>
        <v>0.02</v>
      </c>
      <c r="E63" s="49">
        <f>MAX(C63:D63)</f>
        <v>0.64</v>
      </c>
      <c r="G63" s="1" t="str">
        <f>G57</f>
        <v>per 100 youth petitioned</v>
      </c>
      <c r="L63" s="58">
        <f>IF(($E57&gt;0),L57,L56)</f>
        <v>100</v>
      </c>
      <c r="M63" s="58"/>
    </row>
    <row r="64" spans="2:18" ht="15" hidden="1" customHeight="1" x14ac:dyDescent="0.25">
      <c r="B64" s="49" t="str">
        <f>IF(($E58&gt;0),B58,B57)</f>
        <v>per 100 youth found delinquent</v>
      </c>
      <c r="C64" s="49">
        <f>IF(($E58&gt;0),C58,C57)</f>
        <v>0.21</v>
      </c>
      <c r="D64" s="49">
        <f>IF(($E58&gt;0),D58,D57)</f>
        <v>0.01</v>
      </c>
      <c r="E64" s="56">
        <f>MAX(C64:D64)</f>
        <v>0.21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15.635999999999999</v>
      </c>
      <c r="D66" s="56">
        <f>D60</f>
        <v>0</v>
      </c>
      <c r="E66" s="56">
        <f>MAX(C66:D66)</f>
        <v>15.635999999999999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0.11</v>
      </c>
      <c r="D67" s="49">
        <f t="shared" si="12"/>
        <v>0</v>
      </c>
      <c r="E67" s="49">
        <f>MAX(C67:D67)</f>
        <v>0.11</v>
      </c>
      <c r="G67" s="1" t="str">
        <f>G61</f>
        <v>per 100 arrests</v>
      </c>
      <c r="L67" s="58">
        <f>IF(($E61&gt;0),L61,L60)</f>
        <v>100</v>
      </c>
      <c r="M67" s="58">
        <f>IF((B67=G67),1,2)</f>
        <v>1</v>
      </c>
    </row>
    <row r="68" spans="2:13" ht="15" hidden="1" customHeight="1" x14ac:dyDescent="0.25">
      <c r="B68" s="49" t="str">
        <f t="shared" si="12"/>
        <v>per 100 referrals</v>
      </c>
      <c r="C68" s="49">
        <f t="shared" si="12"/>
        <v>0.96</v>
      </c>
      <c r="D68" s="49">
        <f t="shared" si="12"/>
        <v>0.02</v>
      </c>
      <c r="E68" s="49">
        <f>MAX(C68:D68)</f>
        <v>0.96</v>
      </c>
      <c r="G68" s="1" t="str">
        <f>G62</f>
        <v>per 100 referrals</v>
      </c>
      <c r="L68" s="58">
        <f>IF(($E62&gt;0),L62,L61)</f>
        <v>100</v>
      </c>
      <c r="M68" s="58">
        <f>IF((B68=G68),1,2)</f>
        <v>1</v>
      </c>
    </row>
    <row r="69" spans="2:13" ht="15" hidden="1" customHeight="1" x14ac:dyDescent="0.25">
      <c r="B69" s="49" t="str">
        <f>IF(($E63&gt;0),B63,B61)</f>
        <v>per 100 youth petitioned</v>
      </c>
      <c r="C69" s="49">
        <f>IF(($E63&gt;0),C63,C62)</f>
        <v>0.64</v>
      </c>
      <c r="D69" s="49">
        <f>IF(($E63&gt;0),D63,D62)</f>
        <v>0.02</v>
      </c>
      <c r="E69" s="49">
        <f>MAX(C69:D69)</f>
        <v>0.64</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0.21</v>
      </c>
      <c r="D70" s="49">
        <f>IF(($E64&gt;0),D64,D63)</f>
        <v>0.01</v>
      </c>
      <c r="E70" s="56">
        <f>MAX(C70:D70)</f>
        <v>0.21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Livingston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15636</v>
      </c>
      <c r="D6" s="34"/>
      <c r="E6" s="33">
        <f>'Data Entry'!J6</f>
        <v>1102</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11</v>
      </c>
      <c r="D7" s="34">
        <f>IF((AND(C66&gt;0,C7&gt;0)),(C7/C66),0)</f>
        <v>0.70350473266820157</v>
      </c>
      <c r="E7" s="33">
        <f>'Data Entry'!J7</f>
        <v>3</v>
      </c>
      <c r="F7" s="34">
        <f>IF((AND($E$7&gt;0,$D$66&gt;0)),($E$7/$D$66),0)</f>
        <v>2.7223230490018149</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3</v>
      </c>
      <c r="O7" s="42">
        <f>E6-E7</f>
        <v>1099</v>
      </c>
      <c r="P7" s="42">
        <f t="shared" ref="P7:P15" si="4">C7</f>
        <v>11</v>
      </c>
      <c r="Q7" s="42">
        <f>C6-C7</f>
        <v>15625</v>
      </c>
      <c r="R7" s="42">
        <f t="shared" ref="R7:R15" si="5">SUM(N7:Q7)</f>
        <v>16738</v>
      </c>
      <c r="S7" s="30">
        <f t="shared" ref="S7:S15" si="6">R7*((((N7*Q7)-(O7*P7))^2))</f>
        <v>20254081293448</v>
      </c>
      <c r="T7" s="30">
        <f t="shared" ref="T7:T15" si="7">(N7+O7)*(P7+Q7)*(N7+P7)*(O7+Q7)</f>
        <v>4034367446592</v>
      </c>
      <c r="U7" s="31">
        <f t="shared" ref="U7:U15" si="8">IF((S7&gt;0),S7/T7,"- -")</f>
        <v>5.0203858626108726</v>
      </c>
    </row>
    <row r="8" spans="2:21" ht="18" customHeight="1" x14ac:dyDescent="0.25">
      <c r="B8" s="32" t="str">
        <f>'Data Entry'!A8</f>
        <v>3. Refer to Juvenile Court</v>
      </c>
      <c r="C8" s="33">
        <f>'Data Entry'!C8</f>
        <v>96</v>
      </c>
      <c r="D8" s="34">
        <f>IF((AND(C67&gt;0,C8&gt;0)),(C8/C67),0)</f>
        <v>872.72727272727275</v>
      </c>
      <c r="E8" s="33">
        <f>'Data Entry'!J8</f>
        <v>6</v>
      </c>
      <c r="F8" s="34">
        <f>IF((AND($E$8&gt;0,$D$67&gt;0)),($E8/$D67),0)</f>
        <v>200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6</v>
      </c>
      <c r="O8" s="42">
        <f>((D67*L67)-E8)+0.05</f>
        <v>-2.95</v>
      </c>
      <c r="P8" s="42">
        <f t="shared" si="4"/>
        <v>96</v>
      </c>
      <c r="Q8" s="42">
        <f>(C$67*L67)-C8</f>
        <v>-85</v>
      </c>
      <c r="R8" s="42">
        <f t="shared" si="5"/>
        <v>14.049999999999997</v>
      </c>
      <c r="S8" s="30">
        <f t="shared" si="6"/>
        <v>722707.27199999953</v>
      </c>
      <c r="T8" s="30">
        <f t="shared" si="7"/>
        <v>-300973.69500000001</v>
      </c>
      <c r="U8" s="31">
        <f t="shared" si="8"/>
        <v>-2.4012306856251988</v>
      </c>
    </row>
    <row r="9" spans="2:21" ht="18" customHeight="1" x14ac:dyDescent="0.25">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6</v>
      </c>
      <c r="P9" s="42">
        <f t="shared" si="4"/>
        <v>0</v>
      </c>
      <c r="Q9" s="42">
        <f>(C$68*L68)-C9</f>
        <v>96</v>
      </c>
      <c r="R9" s="42">
        <f t="shared" si="5"/>
        <v>102</v>
      </c>
      <c r="S9" s="30">
        <f t="shared" si="6"/>
        <v>0</v>
      </c>
      <c r="T9" s="30">
        <f t="shared" si="7"/>
        <v>0</v>
      </c>
      <c r="U9" s="31" t="str">
        <f t="shared" si="8"/>
        <v>- -</v>
      </c>
    </row>
    <row r="10" spans="2:21" ht="18" customHeight="1" x14ac:dyDescent="0.25">
      <c r="B10" s="32" t="str">
        <f>'Data Entry'!A10</f>
        <v>5. Cases Involving Secure Detention</v>
      </c>
      <c r="C10" s="33">
        <f>'Data Entry'!C10</f>
        <v>9</v>
      </c>
      <c r="D10" s="34">
        <f>IF(((AND(C68&gt;0,C10&gt;0))),(C10/(C68)),0)</f>
        <v>9.375</v>
      </c>
      <c r="E10" s="33">
        <f>'Data Entry'!J10</f>
        <v>2</v>
      </c>
      <c r="F10" s="34">
        <f>IF(((AND($E$10&gt;0,$D$68&gt;0))),($E$10/($D$68)),0)</f>
        <v>33.333333333333336</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2</v>
      </c>
      <c r="O10" s="42">
        <f>(D$68*L68)-E10</f>
        <v>4</v>
      </c>
      <c r="P10" s="42">
        <f t="shared" si="4"/>
        <v>9</v>
      </c>
      <c r="Q10" s="42">
        <f>(C$68*L68)-C10</f>
        <v>87</v>
      </c>
      <c r="R10" s="42">
        <f t="shared" si="5"/>
        <v>102</v>
      </c>
      <c r="S10" s="30">
        <f t="shared" si="6"/>
        <v>1942488</v>
      </c>
      <c r="T10" s="30">
        <f t="shared" si="7"/>
        <v>576576</v>
      </c>
      <c r="U10" s="31">
        <f t="shared" si="8"/>
        <v>3.369005994005994</v>
      </c>
    </row>
    <row r="11" spans="2:21" ht="18" customHeight="1" x14ac:dyDescent="0.25">
      <c r="B11" s="32" t="str">
        <f>'Data Entry'!A11</f>
        <v>6. Cases Petitioned (Charge Filed)</v>
      </c>
      <c r="C11" s="33">
        <f>'Data Entry'!C11</f>
        <v>64</v>
      </c>
      <c r="D11" s="34">
        <f>IF(((AND(C68&gt;0,C11&gt;0))),(C11/(C68)),0)</f>
        <v>66.666666666666671</v>
      </c>
      <c r="E11" s="33">
        <f>'Data Entry'!J11</f>
        <v>4</v>
      </c>
      <c r="F11" s="34">
        <f>IF(((AND($E$11&gt;0,$D$68&gt;0))),($E$11/($D$68)),0)</f>
        <v>66.666666666666671</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4</v>
      </c>
      <c r="O11" s="42">
        <f>(D$68*L68)-E11</f>
        <v>2</v>
      </c>
      <c r="P11" s="42">
        <f t="shared" si="4"/>
        <v>64</v>
      </c>
      <c r="Q11" s="42">
        <f>(C$68*L68)-C11</f>
        <v>32</v>
      </c>
      <c r="R11" s="42">
        <f t="shared" si="5"/>
        <v>102</v>
      </c>
      <c r="S11" s="30">
        <f t="shared" si="6"/>
        <v>0</v>
      </c>
      <c r="T11" s="30">
        <f t="shared" si="7"/>
        <v>1331712</v>
      </c>
      <c r="U11" s="31" t="str">
        <f t="shared" si="8"/>
        <v>- -</v>
      </c>
    </row>
    <row r="12" spans="2:21" ht="18" customHeight="1" x14ac:dyDescent="0.25">
      <c r="B12" s="32" t="str">
        <f>'Data Entry'!A12</f>
        <v>7. Cases Resulting in Delinquent Findings</v>
      </c>
      <c r="C12" s="33">
        <f>'Data Entry'!C12</f>
        <v>21</v>
      </c>
      <c r="D12" s="34">
        <f>IF(((AND(C69&gt;0,C12&gt;0))),(C12/(C69)),0)</f>
        <v>32.8125</v>
      </c>
      <c r="E12" s="33">
        <f>'Data Entry'!J12</f>
        <v>3</v>
      </c>
      <c r="F12" s="34">
        <f>IF(((AND($D$69&gt;0,$E$12&gt;0))),(E12/(D69)),0)</f>
        <v>75</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3</v>
      </c>
      <c r="O12" s="42">
        <f>(D69*L69)-E12</f>
        <v>1</v>
      </c>
      <c r="P12" s="42">
        <f t="shared" si="4"/>
        <v>21</v>
      </c>
      <c r="Q12" s="42">
        <f>(C69*L69)-C12</f>
        <v>43</v>
      </c>
      <c r="R12" s="42">
        <f t="shared" si="5"/>
        <v>68</v>
      </c>
      <c r="S12" s="30">
        <f t="shared" si="6"/>
        <v>793152</v>
      </c>
      <c r="T12" s="30">
        <f t="shared" si="7"/>
        <v>270336</v>
      </c>
      <c r="U12" s="31">
        <f t="shared" si="8"/>
        <v>2.9339488636363638</v>
      </c>
    </row>
    <row r="13" spans="2:21" ht="18" customHeight="1" x14ac:dyDescent="0.25">
      <c r="B13" s="32" t="str">
        <f>'Data Entry'!A13</f>
        <v>8. Cases Resulting in Probation Placement</v>
      </c>
      <c r="C13" s="33">
        <f>'Data Entry'!C13</f>
        <v>24</v>
      </c>
      <c r="D13" s="34">
        <f>IF(((AND(C70&gt;0,C13&gt;0))),(C13/(C70)),0)</f>
        <v>114.28571428571429</v>
      </c>
      <c r="E13" s="33">
        <f>'Data Entry'!J13</f>
        <v>4</v>
      </c>
      <c r="F13" s="34">
        <f>IF(((AND($D$70&gt;0,$E$13&gt;0))),($E$13/($D$70)),0)</f>
        <v>133.33333333333334</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4</v>
      </c>
      <c r="O13" s="42">
        <f>(D70*L70)-E13</f>
        <v>-1</v>
      </c>
      <c r="P13" s="42">
        <f t="shared" si="4"/>
        <v>24</v>
      </c>
      <c r="Q13" s="42">
        <f>(C70*L70)-C13</f>
        <v>-3</v>
      </c>
      <c r="R13" s="42">
        <f t="shared" si="5"/>
        <v>24</v>
      </c>
      <c r="S13" s="30">
        <f t="shared" si="6"/>
        <v>3456</v>
      </c>
      <c r="T13" s="30">
        <f t="shared" si="7"/>
        <v>-7056</v>
      </c>
      <c r="U13" s="31">
        <f t="shared" si="8"/>
        <v>-0.48979591836734693</v>
      </c>
    </row>
    <row r="14" spans="2:21" ht="30.75" customHeight="1" x14ac:dyDescent="0.25">
      <c r="B14" s="32" t="str">
        <f>'Data Entry'!A14</f>
        <v xml:space="preserve">9. Cases Resulting in Confinement in Secure Juvenile Correctional Facilities </v>
      </c>
      <c r="C14" s="33">
        <f>'Data Entry'!C14</f>
        <v>2</v>
      </c>
      <c r="D14" s="34">
        <f>IF(((AND(C70&gt;0,C14&gt;0))), ((C14/(C70))),0)</f>
        <v>9.5238095238095237</v>
      </c>
      <c r="E14" s="33">
        <f>'Data Entry'!J14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0</v>
      </c>
      <c r="O14" s="42">
        <f>(D70*L70)-E14</f>
        <v>3</v>
      </c>
      <c r="P14" s="42">
        <f t="shared" si="4"/>
        <v>2</v>
      </c>
      <c r="Q14" s="42">
        <f>(C70*L70)-C14</f>
        <v>19</v>
      </c>
      <c r="R14" s="42">
        <f t="shared" si="5"/>
        <v>24</v>
      </c>
      <c r="S14" s="30">
        <f t="shared" si="6"/>
        <v>864</v>
      </c>
      <c r="T14" s="30">
        <f t="shared" si="7"/>
        <v>2772</v>
      </c>
      <c r="U14" s="31">
        <f t="shared" si="8"/>
        <v>0.31168831168831168</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4</v>
      </c>
      <c r="P15" s="42">
        <f t="shared" si="4"/>
        <v>0</v>
      </c>
      <c r="Q15" s="42">
        <f>(C69*L69)-C15</f>
        <v>64</v>
      </c>
      <c r="R15" s="42">
        <f t="shared" si="5"/>
        <v>68</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15.635999999999999</v>
      </c>
      <c r="D42" s="56">
        <f>E6/1000</f>
        <v>1.1020000000000001</v>
      </c>
      <c r="E42" s="56">
        <f>MAX(C42:D42)</f>
        <v>15.635999999999999</v>
      </c>
      <c r="G42" s="1" t="str">
        <f>B42</f>
        <v>per 1000 youth</v>
      </c>
      <c r="L42" s="57">
        <v>1000</v>
      </c>
      <c r="M42" s="57"/>
      <c r="R42" s="49"/>
    </row>
    <row r="43" spans="2:18" ht="15" hidden="1" customHeight="1" x14ac:dyDescent="0.25">
      <c r="B43" s="49" t="s">
        <v>87</v>
      </c>
      <c r="C43" s="56">
        <f>C7/100</f>
        <v>0.11</v>
      </c>
      <c r="D43" s="56">
        <f>E7/100</f>
        <v>0.03</v>
      </c>
      <c r="E43" s="56">
        <f>MAX(C43:D43,0)</f>
        <v>0.11</v>
      </c>
      <c r="G43" s="1" t="str">
        <f>B43</f>
        <v>per 100 arrests</v>
      </c>
      <c r="L43" s="57">
        <v>100</v>
      </c>
      <c r="M43" s="57"/>
      <c r="R43" s="49"/>
    </row>
    <row r="44" spans="2:18" ht="15" hidden="1" customHeight="1" x14ac:dyDescent="0.25">
      <c r="B44" s="49" t="s">
        <v>88</v>
      </c>
      <c r="C44" s="56">
        <f>C8/100</f>
        <v>0.96</v>
      </c>
      <c r="D44" s="56">
        <f>E8/100</f>
        <v>0.06</v>
      </c>
      <c r="E44" s="56">
        <f>MAX(C44:D44,0)</f>
        <v>0.96</v>
      </c>
      <c r="G44" s="1" t="str">
        <f>B44</f>
        <v>per 100 referrals</v>
      </c>
      <c r="L44" s="57">
        <v>100</v>
      </c>
      <c r="M44" s="57"/>
      <c r="R44" s="49"/>
    </row>
    <row r="45" spans="2:18" ht="15" hidden="1" customHeight="1" x14ac:dyDescent="0.25">
      <c r="B45" s="49" t="s">
        <v>89</v>
      </c>
      <c r="C45" s="49">
        <f>C11/100</f>
        <v>0.64</v>
      </c>
      <c r="D45" s="49">
        <f>E11/100</f>
        <v>0.04</v>
      </c>
      <c r="E45" s="56">
        <f>MAX(C45:D45,0)</f>
        <v>0.64</v>
      </c>
      <c r="G45" s="1" t="str">
        <f>B45</f>
        <v>per 100 youth petitioned</v>
      </c>
      <c r="L45" s="57">
        <v>100</v>
      </c>
      <c r="M45" s="57"/>
      <c r="R45" s="49"/>
    </row>
    <row r="46" spans="2:18" ht="15" hidden="1" customHeight="1" x14ac:dyDescent="0.25">
      <c r="B46" s="49" t="s">
        <v>90</v>
      </c>
      <c r="C46" s="49">
        <f>C12/100</f>
        <v>0.21</v>
      </c>
      <c r="D46" s="49">
        <f>E12/100</f>
        <v>0.03</v>
      </c>
      <c r="E46" s="56">
        <f>MAX(C46:D46)</f>
        <v>0.21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15.635999999999999</v>
      </c>
      <c r="D48" s="56">
        <f>D42</f>
        <v>1.1020000000000001</v>
      </c>
      <c r="E48" s="56">
        <f>MAX(C48:D48)</f>
        <v>15.635999999999999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0.11</v>
      </c>
      <c r="D49" s="49">
        <f t="shared" si="9"/>
        <v>0.03</v>
      </c>
      <c r="E49" s="49">
        <f>MAX(C49:D49)</f>
        <v>0.11</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0.96</v>
      </c>
      <c r="D50" s="49">
        <f t="shared" si="9"/>
        <v>0.06</v>
      </c>
      <c r="E50" s="49">
        <f>MAX(C50:D50)</f>
        <v>0.96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0.64</v>
      </c>
      <c r="D51" s="49">
        <f>IF(($E45&gt;0),D45,D44)</f>
        <v>0.04</v>
      </c>
      <c r="E51" s="49">
        <f>MAX(C51:D51)</f>
        <v>0.64</v>
      </c>
      <c r="G51" s="1" t="str">
        <f>G45</f>
        <v>per 100 youth petitioned</v>
      </c>
      <c r="L51" s="58">
        <f>IF(($E45&gt;0),L45,L44)</f>
        <v>100</v>
      </c>
      <c r="M51" s="58"/>
    </row>
    <row r="52" spans="2:18" ht="15" hidden="1" customHeight="1" x14ac:dyDescent="0.25">
      <c r="B52" s="49" t="str">
        <f>IF(($E46&gt;0),B46,B45)</f>
        <v>per 100 youth found delinquent</v>
      </c>
      <c r="C52" s="49">
        <f>IF(($E46&gt;0),C46,C45)</f>
        <v>0.21</v>
      </c>
      <c r="D52" s="49">
        <f>IF(($E46&gt;0),D46,D45)</f>
        <v>0.03</v>
      </c>
      <c r="E52" s="56">
        <f>MAX(C52:D52)</f>
        <v>0.21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15.635999999999999</v>
      </c>
      <c r="D54" s="56">
        <f>D48</f>
        <v>1.1020000000000001</v>
      </c>
      <c r="E54" s="56">
        <f>MAX(C54:D54)</f>
        <v>15.635999999999999</v>
      </c>
      <c r="G54" s="1" t="str">
        <f>G48</f>
        <v>per 1000 youth</v>
      </c>
      <c r="L54" s="58">
        <f>L48</f>
        <v>1000</v>
      </c>
      <c r="M54" s="58"/>
    </row>
    <row r="55" spans="2:18" ht="15" hidden="1" customHeight="1" x14ac:dyDescent="0.25">
      <c r="B55" s="49" t="str">
        <f t="shared" ref="B55:D56" si="10">IF(($E49&gt;0),B49,B48)</f>
        <v>per 100 arrests</v>
      </c>
      <c r="C55" s="49">
        <f t="shared" si="10"/>
        <v>0.11</v>
      </c>
      <c r="D55" s="49">
        <f t="shared" si="10"/>
        <v>0.03</v>
      </c>
      <c r="E55" s="49">
        <f>MAX(C55:D55)</f>
        <v>0.11</v>
      </c>
      <c r="G55" s="1" t="str">
        <f>G49</f>
        <v>per 100 arrests</v>
      </c>
      <c r="L55" s="58">
        <f>IF(($E49&gt;0),L49,L48)</f>
        <v>100</v>
      </c>
      <c r="M55" s="58"/>
    </row>
    <row r="56" spans="2:18" ht="15" hidden="1" customHeight="1" x14ac:dyDescent="0.25">
      <c r="B56" s="49" t="str">
        <f t="shared" si="10"/>
        <v>per 100 referrals</v>
      </c>
      <c r="C56" s="49">
        <f t="shared" si="10"/>
        <v>0.96</v>
      </c>
      <c r="D56" s="49">
        <f t="shared" si="10"/>
        <v>0.06</v>
      </c>
      <c r="E56" s="49">
        <f>MAX(C56:D56)</f>
        <v>0.96</v>
      </c>
      <c r="G56" s="1" t="str">
        <f>G50</f>
        <v>per 100 referrals</v>
      </c>
      <c r="L56" s="58">
        <f>IF(($E50&gt;0),L50,L49)</f>
        <v>100</v>
      </c>
      <c r="M56" s="58"/>
    </row>
    <row r="57" spans="2:18" ht="15" hidden="1" customHeight="1" x14ac:dyDescent="0.25">
      <c r="B57" s="49" t="str">
        <f>IF(($E51&gt;0),B51,B49)</f>
        <v>per 100 youth petitioned</v>
      </c>
      <c r="C57" s="49">
        <f>IF(($E51&gt;0),C51,C50)</f>
        <v>0.64</v>
      </c>
      <c r="D57" s="49">
        <f>IF(($E51&gt;0),D51,D50)</f>
        <v>0.04</v>
      </c>
      <c r="E57" s="49">
        <f>MAX(C57:D57)</f>
        <v>0.64</v>
      </c>
      <c r="G57" s="1" t="str">
        <f>G51</f>
        <v>per 100 youth petitioned</v>
      </c>
      <c r="L57" s="58">
        <f>IF(($E51&gt;0),L51,L50)</f>
        <v>100</v>
      </c>
      <c r="M57" s="58"/>
    </row>
    <row r="58" spans="2:18" ht="15" hidden="1" customHeight="1" x14ac:dyDescent="0.25">
      <c r="B58" s="49" t="str">
        <f>IF(($E52&gt;0),B52,B51)</f>
        <v>per 100 youth found delinquent</v>
      </c>
      <c r="C58" s="49">
        <f>IF(($E52&gt;0),C52,C51)</f>
        <v>0.21</v>
      </c>
      <c r="D58" s="49">
        <f>IF(($E52&gt;0),D52,D51)</f>
        <v>0.03</v>
      </c>
      <c r="E58" s="56">
        <f>MAX(C58:D58)</f>
        <v>0.21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15.635999999999999</v>
      </c>
      <c r="D60" s="56">
        <f>D54</f>
        <v>1.1020000000000001</v>
      </c>
      <c r="E60" s="56">
        <f>MAX(C60:D60)</f>
        <v>15.635999999999999</v>
      </c>
      <c r="G60" s="1" t="str">
        <f>G54</f>
        <v>per 1000 youth</v>
      </c>
      <c r="L60" s="58">
        <f>L54</f>
        <v>1000</v>
      </c>
      <c r="M60" s="58"/>
    </row>
    <row r="61" spans="2:18" ht="15" hidden="1" customHeight="1" x14ac:dyDescent="0.25">
      <c r="B61" s="49" t="str">
        <f t="shared" ref="B61:D62" si="11">IF(($E55&gt;0),B55,B54)</f>
        <v>per 100 arrests</v>
      </c>
      <c r="C61" s="49">
        <f t="shared" si="11"/>
        <v>0.11</v>
      </c>
      <c r="D61" s="49">
        <f t="shared" si="11"/>
        <v>0.03</v>
      </c>
      <c r="E61" s="49">
        <f>MAX(C61:D61)</f>
        <v>0.11</v>
      </c>
      <c r="G61" s="1" t="str">
        <f>G55</f>
        <v>per 100 arrests</v>
      </c>
      <c r="L61" s="58">
        <f>IF(($E55&gt;0),L55,L54)</f>
        <v>100</v>
      </c>
      <c r="M61" s="58"/>
    </row>
    <row r="62" spans="2:18" ht="15" hidden="1" customHeight="1" x14ac:dyDescent="0.25">
      <c r="B62" s="49" t="str">
        <f t="shared" si="11"/>
        <v>per 100 referrals</v>
      </c>
      <c r="C62" s="49">
        <f t="shared" si="11"/>
        <v>0.96</v>
      </c>
      <c r="D62" s="49">
        <f t="shared" si="11"/>
        <v>0.06</v>
      </c>
      <c r="E62" s="49">
        <f>MAX(C62:D62)</f>
        <v>0.96</v>
      </c>
      <c r="G62" s="1" t="str">
        <f>G56</f>
        <v>per 100 referrals</v>
      </c>
      <c r="L62" s="58">
        <f>IF(($E56&gt;0),L56,L55)</f>
        <v>100</v>
      </c>
      <c r="M62" s="58"/>
    </row>
    <row r="63" spans="2:18" ht="15" hidden="1" customHeight="1" x14ac:dyDescent="0.25">
      <c r="B63" s="49" t="str">
        <f>IF(($E57&gt;0),B57,B55)</f>
        <v>per 100 youth petitioned</v>
      </c>
      <c r="C63" s="49">
        <f>IF(($E57&gt;0),C57,C56)</f>
        <v>0.64</v>
      </c>
      <c r="D63" s="49">
        <f>IF(($E57&gt;0),D57,D56)</f>
        <v>0.04</v>
      </c>
      <c r="E63" s="49">
        <f>MAX(C63:D63)</f>
        <v>0.64</v>
      </c>
      <c r="G63" s="1" t="str">
        <f>G57</f>
        <v>per 100 youth petitioned</v>
      </c>
      <c r="L63" s="58">
        <f>IF(($E57&gt;0),L57,L56)</f>
        <v>100</v>
      </c>
      <c r="M63" s="58"/>
    </row>
    <row r="64" spans="2:18" ht="15" hidden="1" customHeight="1" x14ac:dyDescent="0.25">
      <c r="B64" s="49" t="str">
        <f>IF(($E58&gt;0),B58,B57)</f>
        <v>per 100 youth found delinquent</v>
      </c>
      <c r="C64" s="49">
        <f>IF(($E58&gt;0),C58,C57)</f>
        <v>0.21</v>
      </c>
      <c r="D64" s="49">
        <f>IF(($E58&gt;0),D58,D57)</f>
        <v>0.03</v>
      </c>
      <c r="E64" s="56">
        <f>MAX(C64:D64)</f>
        <v>0.21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15.635999999999999</v>
      </c>
      <c r="D66" s="56">
        <f>D60</f>
        <v>1.1020000000000001</v>
      </c>
      <c r="E66" s="56">
        <f>MAX(C66:D66)</f>
        <v>15.635999999999999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0.11</v>
      </c>
      <c r="D67" s="49">
        <f t="shared" si="12"/>
        <v>0.03</v>
      </c>
      <c r="E67" s="49">
        <f>MAX(C67:D67)</f>
        <v>0.11</v>
      </c>
      <c r="G67" s="1" t="str">
        <f>G61</f>
        <v>per 100 arrests</v>
      </c>
      <c r="L67" s="58">
        <f>IF(($E61&gt;0),L61,L60)</f>
        <v>100</v>
      </c>
      <c r="M67" s="58">
        <f>IF((B67=G67),1,2)</f>
        <v>1</v>
      </c>
    </row>
    <row r="68" spans="2:13" ht="15" hidden="1" customHeight="1" x14ac:dyDescent="0.25">
      <c r="B68" s="49" t="str">
        <f t="shared" si="12"/>
        <v>per 100 referrals</v>
      </c>
      <c r="C68" s="49">
        <f t="shared" si="12"/>
        <v>0.96</v>
      </c>
      <c r="D68" s="49">
        <f t="shared" si="12"/>
        <v>0.06</v>
      </c>
      <c r="E68" s="49">
        <f>MAX(C68:D68)</f>
        <v>0.96</v>
      </c>
      <c r="G68" s="1" t="str">
        <f>G62</f>
        <v>per 100 referrals</v>
      </c>
      <c r="L68" s="58">
        <f>IF(($E62&gt;0),L62,L61)</f>
        <v>100</v>
      </c>
      <c r="M68" s="58">
        <f>IF((B68=G68),1,2)</f>
        <v>1</v>
      </c>
    </row>
    <row r="69" spans="2:13" ht="15" hidden="1" customHeight="1" x14ac:dyDescent="0.25">
      <c r="B69" s="49" t="str">
        <f>IF(($E63&gt;0),B63,B61)</f>
        <v>per 100 youth petitioned</v>
      </c>
      <c r="C69" s="49">
        <f>IF(($E63&gt;0),C63,C62)</f>
        <v>0.64</v>
      </c>
      <c r="D69" s="49">
        <f>IF(($E63&gt;0),D63,D62)</f>
        <v>0.04</v>
      </c>
      <c r="E69" s="49">
        <f>MAX(C69:D69)</f>
        <v>0.64</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0.21</v>
      </c>
      <c r="D70" s="49">
        <f>IF(($E64&gt;0),D64,D63)</f>
        <v>0.03</v>
      </c>
      <c r="E70" s="56">
        <f>MAX(C70:D70)</f>
        <v>0.21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Livingston</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20</v>
      </c>
      <c r="M7" s="1">
        <f>Hispanic!L7</f>
        <v>40</v>
      </c>
      <c r="N7" s="1">
        <f>Asian!L7</f>
        <v>40</v>
      </c>
      <c r="O7" s="1" t="e">
        <f>Hawaiian!L7</f>
        <v>#VALUE!</v>
      </c>
      <c r="P7" s="1">
        <f>'Am Indian'!L7</f>
        <v>139</v>
      </c>
      <c r="Q7" s="1" t="e">
        <f>'Other - Mixed'!L7</f>
        <v>#VALUE!</v>
      </c>
      <c r="R7" s="1">
        <f>'All Minorities'!L7</f>
        <v>20</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40</v>
      </c>
      <c r="O8" s="1">
        <f>Hawaiian!L8</f>
        <v>139</v>
      </c>
      <c r="P8" s="1">
        <f>'Am Indian'!L8</f>
        <v>139</v>
      </c>
      <c r="Q8" s="1">
        <f>'Other - Mixed'!L8</f>
        <v>139</v>
      </c>
      <c r="R8" s="1">
        <f>'All Minorities'!L8</f>
        <v>40</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20</v>
      </c>
      <c r="M10" s="1" t="e">
        <f>Hispanic!L10</f>
        <v>#VALUE!</v>
      </c>
      <c r="N10" s="1" t="e">
        <f>Asian!L10</f>
        <v>#VALUE!</v>
      </c>
      <c r="O10" s="1" t="e">
        <f>Hawaiian!L10</f>
        <v>#VALUE!</v>
      </c>
      <c r="P10" s="1" t="e">
        <f>'Am Indian'!L10</f>
        <v>#VALUE!</v>
      </c>
      <c r="Q10" s="1">
        <f>'Other - Mixed'!L10</f>
        <v>139</v>
      </c>
      <c r="R10" s="1">
        <f>'All Minorities'!L10</f>
        <v>40</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t="e">
        <f>Hispanic!L11</f>
        <v>#VALUE!</v>
      </c>
      <c r="N11" s="1" t="e">
        <f>Asian!L11</f>
        <v>#VALUE!</v>
      </c>
      <c r="O11" s="1" t="e">
        <f>Hawaiian!L11</f>
        <v>#VALUE!</v>
      </c>
      <c r="P11" s="1" t="e">
        <f>'Am Indian'!L11</f>
        <v>#VALUE!</v>
      </c>
      <c r="Q11" s="1">
        <f>'Other - Mixed'!L11</f>
        <v>139</v>
      </c>
      <c r="R11" s="1" t="e">
        <f>'All Minorities'!L11</f>
        <v>#VALUE!</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20</v>
      </c>
      <c r="M12" s="1" t="e">
        <f>Hispanic!L12</f>
        <v>#VALUE!</v>
      </c>
      <c r="N12" s="1" t="e">
        <f>Asian!L12</f>
        <v>#VALUE!</v>
      </c>
      <c r="O12" s="1" t="e">
        <f>Hawaiian!L12</f>
        <v>#VALUE!</v>
      </c>
      <c r="P12" s="1" t="e">
        <f>'Am Indian'!L12</f>
        <v>#VALUE!</v>
      </c>
      <c r="Q12" s="1">
        <f>'Other - Mixed'!L12</f>
        <v>139</v>
      </c>
      <c r="R12" s="1">
        <f>'All Minorities'!L12</f>
        <v>40</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f>'Black or African-American'!L13</f>
        <v>40</v>
      </c>
      <c r="M13" s="1" t="e">
        <f>Hispanic!L13</f>
        <v>#VALUE!</v>
      </c>
      <c r="N13" s="1" t="e">
        <f>Asian!L13</f>
        <v>#VALUE!</v>
      </c>
      <c r="O13" s="1" t="e">
        <f>Hawaiian!L13</f>
        <v>#VALUE!</v>
      </c>
      <c r="P13" s="1" t="e">
        <f>'Am Indian'!L13</f>
        <v>#VALUE!</v>
      </c>
      <c r="Q13" s="1">
        <f>'Other - Mixed'!L13</f>
        <v>139</v>
      </c>
      <c r="R13" s="1">
        <f>'All Minorities'!L13</f>
        <v>40</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40</v>
      </c>
      <c r="M14" s="1" t="e">
        <f>Hispanic!L14</f>
        <v>#VALUE!</v>
      </c>
      <c r="N14" s="1" t="e">
        <f>Asian!L14</f>
        <v>#VALUE!</v>
      </c>
      <c r="O14" s="1" t="e">
        <f>Hawaiian!L14</f>
        <v>#VALUE!</v>
      </c>
      <c r="P14" s="1" t="e">
        <f>'Am Indian'!L14</f>
        <v>#VALUE!</v>
      </c>
      <c r="Q14" s="1">
        <f>'Other - Mixed'!L14</f>
        <v>139</v>
      </c>
      <c r="R14" s="1">
        <f>'All Minorities'!L14</f>
        <v>40</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16738</v>
      </c>
      <c r="D3" s="57">
        <f>'Data Entry'!C6</f>
        <v>15636</v>
      </c>
      <c r="E3" s="57">
        <f>'Data Entry'!D6</f>
        <v>188</v>
      </c>
      <c r="F3" s="57">
        <f>'Data Entry'!E6</f>
        <v>631</v>
      </c>
      <c r="G3" s="57">
        <f>'Data Entry'!F6</f>
        <v>216</v>
      </c>
      <c r="H3" s="57">
        <f>'Data Entry'!G6</f>
        <v>0</v>
      </c>
      <c r="I3" s="57">
        <f>'Data Entry'!H6</f>
        <v>67</v>
      </c>
      <c r="J3" s="57">
        <f>'Data Entry'!I6</f>
        <v>0</v>
      </c>
      <c r="K3" s="57">
        <f>'Data Entry'!J6</f>
        <v>1102</v>
      </c>
    </row>
    <row r="4" spans="2:11" ht="15" customHeight="1" x14ac:dyDescent="0.25">
      <c r="B4" s="16" t="s">
        <v>8</v>
      </c>
      <c r="C4" s="1">
        <f>IF((C$3&gt;0),(1000*('Data Entry'!B7/'Data Entry'!B$6)), 0)</f>
        <v>0.83642012187836068</v>
      </c>
      <c r="D4" s="1">
        <f>IF((D$3&gt;0),(1000*('Data Entry'!C7/'Data Entry'!C$6)), 0)</f>
        <v>0.70350473266820157</v>
      </c>
      <c r="E4" s="1">
        <f>IF((E$3&gt;0),(1000*('Data Entry'!D7/'Data Entry'!D$6)), 0)</f>
        <v>15.957446808510637</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2.7223230490018149</v>
      </c>
    </row>
    <row r="5" spans="2:11" ht="15" customHeight="1" x14ac:dyDescent="0.25">
      <c r="B5" s="16" t="s">
        <v>9</v>
      </c>
      <c r="C5" s="1">
        <f>IF((C$3&gt;0),(1000*('Data Entry'!B8/'Data Entry'!B$6)), 0)</f>
        <v>6.0939180308280561</v>
      </c>
      <c r="D5" s="1">
        <f>IF((D$3&gt;0),(1000*('Data Entry'!C8/'Data Entry'!C$6)), 0)</f>
        <v>6.1396776669224868</v>
      </c>
      <c r="E5" s="1">
        <f>IF((E$3&gt;0),(1000*('Data Entry'!D8/'Data Entry'!D$6)), 0)</f>
        <v>21.276595744680851</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5.4446460980036298</v>
      </c>
    </row>
    <row r="6" spans="2:11" ht="15" customHeight="1" x14ac:dyDescent="0.25">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0.65718723861871187</v>
      </c>
      <c r="D7" s="1">
        <f>IF((D$3&gt;0),(1000*('Data Entry'!C10/'Data Entry'!C$6)), 0)</f>
        <v>0.57559478127398311</v>
      </c>
      <c r="E7" s="1">
        <f>IF((E$3&gt;0),(1000*('Data Entry'!D10/'Data Entry'!D$6)), 0)</f>
        <v>10.638297872340425</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1.8148820326678765</v>
      </c>
    </row>
    <row r="8" spans="2:11" ht="15" customHeight="1" x14ac:dyDescent="0.25">
      <c r="B8" s="16" t="s">
        <v>95</v>
      </c>
      <c r="C8" s="1">
        <f>IF((C$3&gt;0),(1000*('Data Entry'!B11/'Data Entry'!B$6)), 0)</f>
        <v>4.062612020552038</v>
      </c>
      <c r="D8" s="1">
        <f>IF((D$3&gt;0),(1000*('Data Entry'!C11/'Data Entry'!C$6)), 0)</f>
        <v>4.0931184446149915</v>
      </c>
      <c r="E8" s="1">
        <f>IF((E$3&gt;0),(1000*('Data Entry'!D11/'Data Entry'!D$6)), 0)</f>
        <v>10.638297872340425</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3.629764065335753</v>
      </c>
    </row>
    <row r="9" spans="2:11" ht="15" customHeight="1" x14ac:dyDescent="0.25">
      <c r="B9" s="16" t="s">
        <v>13</v>
      </c>
      <c r="C9" s="1">
        <f>IF((C$3&gt;0),(1000*('Data Entry'!B12/'Data Entry'!B$6)), 0)</f>
        <v>1.4338630660771896</v>
      </c>
      <c r="D9" s="1">
        <f>IF((D$3&gt;0),(1000*('Data Entry'!C12/'Data Entry'!C$6)), 0)</f>
        <v>1.343054489639294</v>
      </c>
      <c r="E9" s="1">
        <f>IF((E$3&gt;0),(1000*('Data Entry'!D12/'Data Entry'!D$6)), 0)</f>
        <v>10.638297872340425</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2.7223230490018149</v>
      </c>
    </row>
    <row r="10" spans="2:11" ht="15" customHeight="1" x14ac:dyDescent="0.25">
      <c r="B10" s="16" t="s">
        <v>14</v>
      </c>
      <c r="C10" s="1">
        <f>IF((C$3&gt;0),(1000*('Data Entry'!B13/'Data Entry'!B$6)), 0)</f>
        <v>1.6728402437567214</v>
      </c>
      <c r="D10" s="1">
        <f>IF((D$3&gt;0),(1000*('Data Entry'!C13/'Data Entry'!C$6)), 0)</f>
        <v>1.5349194167306217</v>
      </c>
      <c r="E10" s="1">
        <f>IF((E$3&gt;0),(1000*('Data Entry'!D13/'Data Entry'!D$6)), 0)</f>
        <v>10.638297872340425</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3.629764065335753</v>
      </c>
    </row>
    <row r="11" spans="2:11" ht="25.5" customHeight="1" x14ac:dyDescent="0.25">
      <c r="B11" s="16" t="s">
        <v>15</v>
      </c>
      <c r="C11" s="1">
        <f>IF((C$3&gt;0),(1000*('Data Entry'!B14/'Data Entry'!B$6)), 0)</f>
        <v>0.11948858883976579</v>
      </c>
      <c r="D11" s="1">
        <f>IF((D$3&gt;0),(1000*('Data Entry'!C14/'Data Entry'!C$6)), 0)</f>
        <v>0.12790995139421849</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Livingston</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f t="shared" ref="D19:J19" si="1">IF(AND(($D4&gt;0),(E4&gt;0)), (E4/$D4),"--")</f>
        <v>22.682785299806575</v>
      </c>
      <c r="E19" s="72" t="str">
        <f t="shared" si="1"/>
        <v>--</v>
      </c>
      <c r="F19" s="72" t="str">
        <f t="shared" si="1"/>
        <v>--</v>
      </c>
      <c r="G19" s="72" t="str">
        <f t="shared" si="1"/>
        <v>--</v>
      </c>
      <c r="H19" s="72" t="str">
        <f t="shared" si="1"/>
        <v>--</v>
      </c>
      <c r="I19" s="72" t="str">
        <f t="shared" si="1"/>
        <v>--</v>
      </c>
      <c r="J19" s="73">
        <f t="shared" si="1"/>
        <v>3.869658472199307</v>
      </c>
    </row>
    <row r="20" spans="2:10" ht="15" customHeight="1" x14ac:dyDescent="0.25">
      <c r="B20" s="71" t="s">
        <v>9</v>
      </c>
      <c r="C20" s="72">
        <f t="shared" ref="C20:J27" si="2">IF(AND(($D5&gt;0),(D5&gt;0)), (D5/$D5),"--")</f>
        <v>1</v>
      </c>
      <c r="D20" s="72">
        <f t="shared" si="2"/>
        <v>3.4654255319148932</v>
      </c>
      <c r="E20" s="72" t="str">
        <f t="shared" si="2"/>
        <v>--</v>
      </c>
      <c r="F20" s="72" t="str">
        <f t="shared" si="2"/>
        <v>--</v>
      </c>
      <c r="G20" s="72" t="str">
        <f t="shared" si="2"/>
        <v>--</v>
      </c>
      <c r="H20" s="72" t="str">
        <f t="shared" si="2"/>
        <v>--</v>
      </c>
      <c r="I20" s="72" t="str">
        <f t="shared" si="2"/>
        <v>--</v>
      </c>
      <c r="J20" s="73">
        <f t="shared" si="2"/>
        <v>0.8867967332123412</v>
      </c>
    </row>
    <row r="21" spans="2:10" ht="15" customHeight="1" x14ac:dyDescent="0.25">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f t="shared" si="2"/>
        <v>1</v>
      </c>
      <c r="D22" s="72">
        <f t="shared" si="2"/>
        <v>18.4822695035461</v>
      </c>
      <c r="E22" s="72" t="str">
        <f t="shared" si="2"/>
        <v>--</v>
      </c>
      <c r="F22" s="72" t="str">
        <f t="shared" si="2"/>
        <v>--</v>
      </c>
      <c r="G22" s="72" t="str">
        <f t="shared" si="2"/>
        <v>--</v>
      </c>
      <c r="H22" s="72" t="str">
        <f t="shared" si="2"/>
        <v>--</v>
      </c>
      <c r="I22" s="72" t="str">
        <f t="shared" si="2"/>
        <v>--</v>
      </c>
      <c r="J22" s="73">
        <f t="shared" si="2"/>
        <v>3.1530550514216573</v>
      </c>
    </row>
    <row r="23" spans="2:10" ht="15" customHeight="1" x14ac:dyDescent="0.25">
      <c r="B23" s="71" t="s">
        <v>95</v>
      </c>
      <c r="C23" s="72">
        <f t="shared" si="2"/>
        <v>1</v>
      </c>
      <c r="D23" s="72">
        <f t="shared" si="2"/>
        <v>2.5990691489361697</v>
      </c>
      <c r="E23" s="72" t="str">
        <f t="shared" si="2"/>
        <v>--</v>
      </c>
      <c r="F23" s="72" t="str">
        <f t="shared" si="2"/>
        <v>--</v>
      </c>
      <c r="G23" s="72" t="str">
        <f t="shared" si="2"/>
        <v>--</v>
      </c>
      <c r="H23" s="72" t="str">
        <f t="shared" si="2"/>
        <v>--</v>
      </c>
      <c r="I23" s="72" t="str">
        <f t="shared" si="2"/>
        <v>--</v>
      </c>
      <c r="J23" s="73">
        <f t="shared" si="2"/>
        <v>0.88679673321234109</v>
      </c>
    </row>
    <row r="24" spans="2:10" ht="15" customHeight="1" x14ac:dyDescent="0.25">
      <c r="B24" s="71" t="s">
        <v>13</v>
      </c>
      <c r="C24" s="72">
        <f t="shared" si="2"/>
        <v>1</v>
      </c>
      <c r="D24" s="72">
        <f t="shared" si="2"/>
        <v>7.9209726443768993</v>
      </c>
      <c r="E24" s="72" t="str">
        <f t="shared" si="2"/>
        <v>--</v>
      </c>
      <c r="F24" s="72" t="str">
        <f t="shared" si="2"/>
        <v>--</v>
      </c>
      <c r="G24" s="72" t="str">
        <f t="shared" si="2"/>
        <v>--</v>
      </c>
      <c r="H24" s="72" t="str">
        <f t="shared" si="2"/>
        <v>--</v>
      </c>
      <c r="I24" s="72" t="str">
        <f t="shared" si="2"/>
        <v>--</v>
      </c>
      <c r="J24" s="73">
        <f t="shared" si="2"/>
        <v>2.0269639616282085</v>
      </c>
    </row>
    <row r="25" spans="2:10" ht="15" customHeight="1" x14ac:dyDescent="0.25">
      <c r="B25" s="71" t="s">
        <v>14</v>
      </c>
      <c r="C25" s="72">
        <f t="shared" si="2"/>
        <v>1</v>
      </c>
      <c r="D25" s="72">
        <f t="shared" si="2"/>
        <v>6.9308510638297864</v>
      </c>
      <c r="E25" s="72" t="str">
        <f t="shared" si="2"/>
        <v>--</v>
      </c>
      <c r="F25" s="72" t="str">
        <f t="shared" si="2"/>
        <v>--</v>
      </c>
      <c r="G25" s="72" t="str">
        <f t="shared" si="2"/>
        <v>--</v>
      </c>
      <c r="H25" s="72" t="str">
        <f t="shared" si="2"/>
        <v>--</v>
      </c>
      <c r="I25" s="72" t="str">
        <f t="shared" si="2"/>
        <v>--</v>
      </c>
      <c r="J25" s="73">
        <f t="shared" si="2"/>
        <v>2.3647912885662428</v>
      </c>
    </row>
    <row r="26" spans="2:10" ht="25.5" customHeight="1" x14ac:dyDescent="0.25">
      <c r="B26" s="71" t="s">
        <v>15</v>
      </c>
      <c r="C26" s="72">
        <f t="shared" si="2"/>
        <v>1</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121</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Livingston</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119</v>
      </c>
      <c r="C6" s="153" t="s">
        <v>117</v>
      </c>
      <c r="D6" s="154" t="s">
        <v>117</v>
      </c>
      <c r="E6" s="155" t="s">
        <v>118</v>
      </c>
      <c r="F6" s="154" t="s">
        <v>117</v>
      </c>
      <c r="G6" s="155" t="s">
        <v>118</v>
      </c>
      <c r="H6" s="154" t="s">
        <v>117</v>
      </c>
      <c r="I6" s="155" t="s">
        <v>118</v>
      </c>
      <c r="J6" s="154" t="s">
        <v>117</v>
      </c>
      <c r="K6" s="155" t="s">
        <v>118</v>
      </c>
      <c r="L6" s="154" t="s">
        <v>117</v>
      </c>
      <c r="M6" s="155" t="s">
        <v>118</v>
      </c>
      <c r="N6" s="154" t="s">
        <v>117</v>
      </c>
      <c r="O6" s="155" t="s">
        <v>118</v>
      </c>
      <c r="P6" s="154" t="s">
        <v>117</v>
      </c>
      <c r="Q6" s="156" t="s">
        <v>118</v>
      </c>
    </row>
    <row r="7" spans="2:26" s="135" customFormat="1" ht="18" customHeight="1" x14ac:dyDescent="0.3">
      <c r="B7" s="150" t="str">
        <f>'Data Entry'!A6</f>
        <v xml:space="preserve">1. Population at Risk (age 10 through 16) </v>
      </c>
      <c r="C7" s="104">
        <f>'Data Entry'!C6</f>
        <v>15636</v>
      </c>
      <c r="D7" s="105">
        <f>'Data Entry'!D6</f>
        <v>188</v>
      </c>
      <c r="E7" s="106"/>
      <c r="F7" s="107">
        <f>'Data Entry'!E6</f>
        <v>631</v>
      </c>
      <c r="G7" s="106"/>
      <c r="H7" s="107">
        <f>'Data Entry'!F6</f>
        <v>216</v>
      </c>
      <c r="I7" s="106"/>
      <c r="J7" s="107">
        <f>'Data Entry'!G6</f>
        <v>0</v>
      </c>
      <c r="K7" s="106"/>
      <c r="L7" s="107">
        <f>'Data Entry'!H6</f>
        <v>67</v>
      </c>
      <c r="M7" s="106"/>
      <c r="N7" s="107">
        <f>'Data Entry'!I6</f>
        <v>0</v>
      </c>
      <c r="O7" s="106"/>
      <c r="P7" s="107">
        <f>'Data Entry'!J6</f>
        <v>1102</v>
      </c>
      <c r="Q7" s="108"/>
    </row>
    <row r="8" spans="2:26" s="1" customFormat="1" ht="15" customHeight="1" x14ac:dyDescent="0.3">
      <c r="B8" s="149" t="s">
        <v>8</v>
      </c>
      <c r="C8" s="104">
        <f>'Data Entry'!C7</f>
        <v>11</v>
      </c>
      <c r="D8" s="105">
        <f>'Data Entry'!D7</f>
        <v>3</v>
      </c>
      <c r="E8" s="106" t="str">
        <f>'Black or African-American'!$G7</f>
        <v>**</v>
      </c>
      <c r="F8" s="107">
        <f>'Data Entry'!E7</f>
        <v>0</v>
      </c>
      <c r="G8" s="106" t="str">
        <f>Hispanic!G7</f>
        <v>**</v>
      </c>
      <c r="H8" s="107">
        <f>'Data Entry'!F7</f>
        <v>0</v>
      </c>
      <c r="I8" s="106" t="str">
        <f>Asian!G7</f>
        <v>**</v>
      </c>
      <c r="J8" s="107">
        <f>'Data Entry'!G7</f>
        <v>0</v>
      </c>
      <c r="K8" s="106" t="str">
        <f>Hawaiian!G7</f>
        <v>*</v>
      </c>
      <c r="L8" s="107">
        <f>'Data Entry'!H7</f>
        <v>0</v>
      </c>
      <c r="M8" s="106" t="str">
        <f>'Am Indian'!G7</f>
        <v>*</v>
      </c>
      <c r="N8" s="107">
        <f>'Data Entry'!I7</f>
        <v>0</v>
      </c>
      <c r="O8" s="106" t="str">
        <f>'Other - Mixed'!G7</f>
        <v>*</v>
      </c>
      <c r="P8" s="107">
        <f>'Data Entry'!J7</f>
        <v>3</v>
      </c>
      <c r="Q8" s="108" t="str">
        <f>'All Minorities'!G7</f>
        <v>**</v>
      </c>
      <c r="R8"/>
      <c r="T8" s="1">
        <f>'Black or African-American'!L7</f>
        <v>20</v>
      </c>
      <c r="U8" s="1">
        <f>Hispanic!L7</f>
        <v>40</v>
      </c>
      <c r="V8" s="1">
        <f>Asian!L7</f>
        <v>40</v>
      </c>
      <c r="W8" s="1" t="e">
        <f>Hawaiian!L7</f>
        <v>#VALUE!</v>
      </c>
      <c r="X8" s="1">
        <f>'Am Indian'!L7</f>
        <v>139</v>
      </c>
      <c r="Y8" s="1" t="e">
        <f>'Other - Mixed'!L7</f>
        <v>#VALUE!</v>
      </c>
      <c r="Z8" s="1">
        <f>'All Minorities'!L7</f>
        <v>20</v>
      </c>
    </row>
    <row r="9" spans="2:26" s="1" customFormat="1" ht="15" customHeight="1" x14ac:dyDescent="0.3">
      <c r="B9" s="149" t="s">
        <v>134</v>
      </c>
      <c r="C9" s="104">
        <f>'Data Entry'!C8</f>
        <v>96</v>
      </c>
      <c r="D9" s="109">
        <f>'Data Entry'!D8</f>
        <v>4</v>
      </c>
      <c r="E9" s="110" t="str">
        <f>'Black or African-American'!$G8</f>
        <v>**</v>
      </c>
      <c r="F9" s="111">
        <f>'Data Entry'!E8</f>
        <v>0</v>
      </c>
      <c r="G9" s="110" t="str">
        <f>Hispanic!G8</f>
        <v>**</v>
      </c>
      <c r="H9" s="111">
        <f>'Data Entry'!F8</f>
        <v>0</v>
      </c>
      <c r="I9" s="110" t="str">
        <f>Asian!G8</f>
        <v>**</v>
      </c>
      <c r="J9" s="111">
        <f>'Data Entry'!G8</f>
        <v>0</v>
      </c>
      <c r="K9" s="110" t="str">
        <f>Hawaiian!G8</f>
        <v>*</v>
      </c>
      <c r="L9" s="111">
        <f>'Data Entry'!H8</f>
        <v>0</v>
      </c>
      <c r="M9" s="110" t="str">
        <f>'Am Indian'!G8</f>
        <v>*</v>
      </c>
      <c r="N9" s="111">
        <f>'Data Entry'!I8</f>
        <v>2</v>
      </c>
      <c r="O9" s="110" t="str">
        <f>'Other - Mixed'!G8</f>
        <v>*</v>
      </c>
      <c r="P9" s="111">
        <f>'Data Entry'!J8</f>
        <v>6</v>
      </c>
      <c r="Q9" s="112" t="str">
        <f>'All Minorities'!G8</f>
        <v>**</v>
      </c>
      <c r="R9"/>
      <c r="T9" s="1">
        <f>'Black or African-American'!L8</f>
        <v>40</v>
      </c>
      <c r="U9" s="1">
        <f>Hispanic!L8</f>
        <v>40</v>
      </c>
      <c r="V9" s="1">
        <f>Asian!L8</f>
        <v>40</v>
      </c>
      <c r="W9" s="1">
        <f>Hawaiian!L8</f>
        <v>139</v>
      </c>
      <c r="X9" s="1">
        <f>'Am Indian'!L8</f>
        <v>139</v>
      </c>
      <c r="Y9" s="1">
        <f>'Other - Mixed'!L8</f>
        <v>139</v>
      </c>
      <c r="Z9" s="1">
        <f>'All Minorities'!L8</f>
        <v>40</v>
      </c>
    </row>
    <row r="10" spans="2:26" s="1" customFormat="1" ht="15" customHeight="1" x14ac:dyDescent="0.3">
      <c r="B10" s="149"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0</v>
      </c>
      <c r="Q10" s="116"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x14ac:dyDescent="0.3">
      <c r="B11" s="149" t="s">
        <v>11</v>
      </c>
      <c r="C11" s="104">
        <f>'Data Entry'!C10</f>
        <v>9</v>
      </c>
      <c r="D11" s="109">
        <f>'Data Entry'!D10</f>
        <v>2</v>
      </c>
      <c r="E11" s="110" t="str">
        <f>'Black or African-American'!$G10</f>
        <v>**</v>
      </c>
      <c r="F11" s="111">
        <f>'Data Entry'!E10</f>
        <v>0</v>
      </c>
      <c r="G11" s="110" t="str">
        <f>Hispanic!G10</f>
        <v>--</v>
      </c>
      <c r="H11" s="111">
        <f>'Data Entry'!F10</f>
        <v>0</v>
      </c>
      <c r="I11" s="110" t="str">
        <f>Asian!G10</f>
        <v>--</v>
      </c>
      <c r="J11" s="111">
        <f>'Data Entry'!G10</f>
        <v>0</v>
      </c>
      <c r="K11" s="110" t="str">
        <f>Hawaiian!G10</f>
        <v>*</v>
      </c>
      <c r="L11" s="111">
        <f>'Data Entry'!H10</f>
        <v>0</v>
      </c>
      <c r="M11" s="110" t="str">
        <f>'Am Indian'!G10</f>
        <v>*</v>
      </c>
      <c r="N11" s="111">
        <f>'Data Entry'!I10</f>
        <v>0</v>
      </c>
      <c r="O11" s="110" t="str">
        <f>'Other - Mixed'!G10</f>
        <v>*</v>
      </c>
      <c r="P11" s="111">
        <f>'Data Entry'!J10</f>
        <v>2</v>
      </c>
      <c r="Q11" s="112" t="str">
        <f>'All Minorities'!G10</f>
        <v>**</v>
      </c>
      <c r="R11"/>
      <c r="T11" s="1">
        <f>'Black or African-American'!L10</f>
        <v>20</v>
      </c>
      <c r="U11" s="1" t="e">
        <f>Hispanic!L10</f>
        <v>#VALUE!</v>
      </c>
      <c r="V11" s="1" t="e">
        <f>Asian!L10</f>
        <v>#VALUE!</v>
      </c>
      <c r="W11" s="1" t="e">
        <f>Hawaiian!L10</f>
        <v>#VALUE!</v>
      </c>
      <c r="X11" s="1" t="e">
        <f>'Am Indian'!L10</f>
        <v>#VALUE!</v>
      </c>
      <c r="Y11" s="1">
        <f>'Other - Mixed'!L10</f>
        <v>139</v>
      </c>
      <c r="Z11" s="1">
        <f>'All Minorities'!L10</f>
        <v>40</v>
      </c>
    </row>
    <row r="12" spans="2:26" s="1" customFormat="1" ht="15" customHeight="1" x14ac:dyDescent="0.3">
      <c r="B12" s="149" t="s">
        <v>95</v>
      </c>
      <c r="C12" s="104">
        <f>'Data Entry'!C11</f>
        <v>64</v>
      </c>
      <c r="D12" s="113">
        <f>'Data Entry'!D11</f>
        <v>2</v>
      </c>
      <c r="E12" s="114" t="str">
        <f>'Black or African-American'!$G11</f>
        <v>**</v>
      </c>
      <c r="F12" s="115">
        <f>'Data Entry'!E11</f>
        <v>0</v>
      </c>
      <c r="G12" s="114" t="str">
        <f>Hispanic!G11</f>
        <v>--</v>
      </c>
      <c r="H12" s="115">
        <f>'Data Entry'!F11</f>
        <v>0</v>
      </c>
      <c r="I12" s="114" t="str">
        <f>Asian!G11</f>
        <v>--</v>
      </c>
      <c r="J12" s="115">
        <f>'Data Entry'!G11</f>
        <v>0</v>
      </c>
      <c r="K12" s="114" t="str">
        <f>Hawaiian!G11</f>
        <v>*</v>
      </c>
      <c r="L12" s="115">
        <f>'Data Entry'!H11</f>
        <v>0</v>
      </c>
      <c r="M12" s="114" t="str">
        <f>'Am Indian'!G11</f>
        <v>*</v>
      </c>
      <c r="N12" s="115">
        <f>'Data Entry'!I11</f>
        <v>2</v>
      </c>
      <c r="O12" s="114" t="str">
        <f>'Other - Mixed'!G11</f>
        <v>*</v>
      </c>
      <c r="P12" s="115">
        <f>'Data Entry'!J11</f>
        <v>4</v>
      </c>
      <c r="Q12" s="116" t="str">
        <f>'All Minorities'!G11</f>
        <v>--</v>
      </c>
      <c r="R12"/>
      <c r="T12" s="1">
        <f>'Black or African-American'!L11</f>
        <v>40</v>
      </c>
      <c r="U12" s="1" t="e">
        <f>Hispanic!L11</f>
        <v>#VALUE!</v>
      </c>
      <c r="V12" s="1" t="e">
        <f>Asian!L11</f>
        <v>#VALUE!</v>
      </c>
      <c r="W12" s="1" t="e">
        <f>Hawaiian!L11</f>
        <v>#VALUE!</v>
      </c>
      <c r="X12" s="1" t="e">
        <f>'Am Indian'!L11</f>
        <v>#VALUE!</v>
      </c>
      <c r="Y12" s="1">
        <f>'Other - Mixed'!L11</f>
        <v>139</v>
      </c>
      <c r="Z12" s="1" t="e">
        <f>'All Minorities'!L11</f>
        <v>#VALUE!</v>
      </c>
    </row>
    <row r="13" spans="2:26" s="1" customFormat="1" ht="15" customHeight="1" x14ac:dyDescent="0.3">
      <c r="B13" s="149" t="s">
        <v>13</v>
      </c>
      <c r="C13" s="104">
        <f>'Data Entry'!C12</f>
        <v>21</v>
      </c>
      <c r="D13" s="109">
        <f>'Data Entry'!D12</f>
        <v>2</v>
      </c>
      <c r="E13" s="110" t="str">
        <f>'Black or African-American'!$G12</f>
        <v>**</v>
      </c>
      <c r="F13" s="111">
        <f>'Data Entry'!E12</f>
        <v>0</v>
      </c>
      <c r="G13" s="110" t="str">
        <f>Hispanic!G12</f>
        <v>--</v>
      </c>
      <c r="H13" s="111">
        <f>'Data Entry'!F12</f>
        <v>0</v>
      </c>
      <c r="I13" s="110" t="str">
        <f>Asian!G12</f>
        <v>--</v>
      </c>
      <c r="J13" s="111">
        <f>'Data Entry'!G12</f>
        <v>0</v>
      </c>
      <c r="K13" s="110" t="str">
        <f>Hawaiian!G12</f>
        <v>*</v>
      </c>
      <c r="L13" s="111">
        <f>'Data Entry'!H12</f>
        <v>0</v>
      </c>
      <c r="M13" s="110" t="str">
        <f>'Am Indian'!G12</f>
        <v>*</v>
      </c>
      <c r="N13" s="111">
        <f>'Data Entry'!I12</f>
        <v>1</v>
      </c>
      <c r="O13" s="110" t="str">
        <f>'Other - Mixed'!G12</f>
        <v>*</v>
      </c>
      <c r="P13" s="111">
        <f>'Data Entry'!J12</f>
        <v>3</v>
      </c>
      <c r="Q13" s="112" t="str">
        <f>'All Minorities'!G12</f>
        <v>**</v>
      </c>
      <c r="R13"/>
      <c r="T13" s="1">
        <f>'Black or African-American'!L12</f>
        <v>20</v>
      </c>
      <c r="U13" s="1" t="e">
        <f>Hispanic!L12</f>
        <v>#VALUE!</v>
      </c>
      <c r="V13" s="1" t="e">
        <f>Asian!L12</f>
        <v>#VALUE!</v>
      </c>
      <c r="W13" s="1" t="e">
        <f>Hawaiian!L12</f>
        <v>#VALUE!</v>
      </c>
      <c r="X13" s="1" t="e">
        <f>'Am Indian'!L12</f>
        <v>#VALUE!</v>
      </c>
      <c r="Y13" s="1">
        <f>'Other - Mixed'!L12</f>
        <v>139</v>
      </c>
      <c r="Z13" s="1">
        <f>'All Minorities'!L12</f>
        <v>40</v>
      </c>
    </row>
    <row r="14" spans="2:26" s="1" customFormat="1" ht="15" customHeight="1" x14ac:dyDescent="0.3">
      <c r="B14" s="149" t="s">
        <v>133</v>
      </c>
      <c r="C14" s="104">
        <f>'Data Entry'!C13</f>
        <v>24</v>
      </c>
      <c r="D14" s="113">
        <f>'Data Entry'!D13</f>
        <v>2</v>
      </c>
      <c r="E14" s="114" t="str">
        <f>'Black or African-American'!$G13</f>
        <v>**</v>
      </c>
      <c r="F14" s="115">
        <f>'Data Entry'!E13</f>
        <v>0</v>
      </c>
      <c r="G14" s="114" t="str">
        <f>Hispanic!G13</f>
        <v>--</v>
      </c>
      <c r="H14" s="115">
        <f>'Data Entry'!F13</f>
        <v>0</v>
      </c>
      <c r="I14" s="114" t="str">
        <f>Asian!G13</f>
        <v>--</v>
      </c>
      <c r="J14" s="115">
        <f>'Data Entry'!G13</f>
        <v>0</v>
      </c>
      <c r="K14" s="114" t="str">
        <f>Hawaiian!G13</f>
        <v>*</v>
      </c>
      <c r="L14" s="115">
        <f>'Data Entry'!H13</f>
        <v>0</v>
      </c>
      <c r="M14" s="114" t="str">
        <f>'Am Indian'!G13</f>
        <v>*</v>
      </c>
      <c r="N14" s="115">
        <f>'Data Entry'!I13</f>
        <v>2</v>
      </c>
      <c r="O14" s="114" t="str">
        <f>'Other - Mixed'!G13</f>
        <v>*</v>
      </c>
      <c r="P14" s="115">
        <f>'Data Entry'!J13</f>
        <v>4</v>
      </c>
      <c r="Q14" s="116" t="str">
        <f>'All Minorities'!G13</f>
        <v>**</v>
      </c>
      <c r="R14"/>
      <c r="T14" s="1">
        <f>'Black or African-American'!L13</f>
        <v>40</v>
      </c>
      <c r="U14" s="1" t="e">
        <f>Hispanic!L13</f>
        <v>#VALUE!</v>
      </c>
      <c r="V14" s="1" t="e">
        <f>Asian!L13</f>
        <v>#VALUE!</v>
      </c>
      <c r="W14" s="1" t="e">
        <f>Hawaiian!L13</f>
        <v>#VALUE!</v>
      </c>
      <c r="X14" s="1" t="e">
        <f>'Am Indian'!L13</f>
        <v>#VALUE!</v>
      </c>
      <c r="Y14" s="1">
        <f>'Other - Mixed'!L13</f>
        <v>139</v>
      </c>
      <c r="Z14" s="1">
        <f>'All Minorities'!L13</f>
        <v>40</v>
      </c>
    </row>
    <row r="15" spans="2:26" s="1" customFormat="1" ht="33" x14ac:dyDescent="0.3">
      <c r="B15" s="151" t="s">
        <v>123</v>
      </c>
      <c r="C15" s="104">
        <f>'Data Entry'!C14</f>
        <v>2</v>
      </c>
      <c r="D15" s="109">
        <f>'Data Entry'!D14</f>
        <v>0</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f>'Data Entry'!I14</f>
        <v>0</v>
      </c>
      <c r="O15" s="110" t="str">
        <f>'Other - Mixed'!G14</f>
        <v>*</v>
      </c>
      <c r="P15" s="111">
        <f>'Data Entry'!J14</f>
        <v>0</v>
      </c>
      <c r="Q15" s="112" t="str">
        <f>'All Minorities'!G14</f>
        <v>**</v>
      </c>
      <c r="R15"/>
      <c r="T15" s="1">
        <f>'Black or African-American'!L14</f>
        <v>40</v>
      </c>
      <c r="U15" s="1" t="e">
        <f>Hispanic!L14</f>
        <v>#VALUE!</v>
      </c>
      <c r="V15" s="1" t="e">
        <f>Asian!L14</f>
        <v>#VALUE!</v>
      </c>
      <c r="W15" s="1" t="e">
        <f>Hawaiian!L14</f>
        <v>#VALUE!</v>
      </c>
      <c r="X15" s="1" t="e">
        <f>'Am Indian'!L14</f>
        <v>#VALUE!</v>
      </c>
      <c r="Y15" s="1">
        <f>'Other - Mixed'!L14</f>
        <v>139</v>
      </c>
      <c r="Z15" s="1">
        <f>'All Minorities'!L14</f>
        <v>40</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Yes</v>
      </c>
      <c r="J17" s="133"/>
      <c r="K17" s="146" t="str">
        <f>'Data Entry'!G16</f>
        <v>No</v>
      </c>
      <c r="L17" s="133"/>
      <c r="M17" s="146" t="str">
        <f>'Data Entry'!H16</f>
        <v>No</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128</v>
      </c>
      <c r="I19" s="139" t="s">
        <v>51</v>
      </c>
      <c r="J19" s="136"/>
      <c r="K19" s="136"/>
      <c r="L19" s="136"/>
      <c r="M19" s="136"/>
      <c r="N19" s="136"/>
      <c r="O19" s="137"/>
      <c r="P19" s="94"/>
      <c r="Q19" s="94"/>
    </row>
    <row r="20" spans="2:18" ht="16.5" x14ac:dyDescent="0.3">
      <c r="B20" s="94"/>
      <c r="C20" s="160" t="s">
        <v>125</v>
      </c>
      <c r="D20" s="166"/>
      <c r="E20" s="167"/>
      <c r="F20" s="168"/>
      <c r="G20" s="169" t="s">
        <v>53</v>
      </c>
      <c r="H20" s="166"/>
      <c r="I20" s="160" t="s">
        <v>56</v>
      </c>
      <c r="J20" s="166"/>
      <c r="K20" s="166"/>
      <c r="L20" s="166"/>
      <c r="M20" s="166"/>
      <c r="N20" s="166"/>
      <c r="O20" s="161" t="s">
        <v>57</v>
      </c>
      <c r="Q20" s="94"/>
    </row>
    <row r="21" spans="2:18" ht="15" customHeight="1" x14ac:dyDescent="0.3">
      <c r="B21" s="94"/>
      <c r="C21" s="162" t="s">
        <v>127</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State Court Administrative Office</v>
      </c>
      <c r="E27" s="1" t="str">
        <f>'Data Entry'!D20</f>
        <v>Item 4.Diversion: State Court Administrative Office</v>
      </c>
      <c r="I27" s="97"/>
      <c r="J27" s="97"/>
    </row>
    <row r="28" spans="2:18" ht="12.75" customHeight="1" x14ac:dyDescent="0.25">
      <c r="B28" s="1" t="str">
        <f>'Data Entry'!A21</f>
        <v>Item 5.Detention: State Court Administrative Office</v>
      </c>
      <c r="E28" s="1" t="str">
        <f>'Data Entry'!D21</f>
        <v>Item 6.Petitioned: State Court Administrative Office</v>
      </c>
      <c r="I28" s="97"/>
      <c r="J28" s="97"/>
    </row>
    <row r="29" spans="2:18" ht="12.75" customHeight="1" x14ac:dyDescent="0.25">
      <c r="B29" s="1" t="str">
        <f>'Data Entry'!A22</f>
        <v>Item 7.Delinquent: State Court Administrative Office</v>
      </c>
      <c r="E29" s="1" t="str">
        <f>'Data Entry'!D22</f>
        <v>Item 8.Probation: State Court Administrative Office</v>
      </c>
      <c r="I29" s="97"/>
      <c r="J29" s="97"/>
    </row>
    <row r="30" spans="2:18" ht="12.75" customHeight="1" x14ac:dyDescent="0.25">
      <c r="B30" s="1" t="str">
        <f>'Data Entry'!A23</f>
        <v>Item 9.Confinement: State Court Administrative Office</v>
      </c>
      <c r="E30" s="1" t="str">
        <f>'Data Entry'!D23</f>
        <v>Item 10.Transferred: State Court Administrative Office</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Livingston</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Livingston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130</v>
      </c>
      <c r="I6" s="97" t="str">
        <f>'Data Entry'!C5</f>
        <v>White</v>
      </c>
      <c r="K6" s="143" t="s">
        <v>131</v>
      </c>
      <c r="L6" s="143" t="s">
        <v>129</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14.188747731397461</v>
      </c>
    </row>
    <row r="8" spans="1:12" ht="25.5" customHeight="1" x14ac:dyDescent="0.2">
      <c r="A8" s="158" t="str">
        <f>CONCATENATE("Confinement, total N=", 'Data Entry'!B14)</f>
        <v>Confinement, total N=2</v>
      </c>
      <c r="B8" s="157">
        <f>'Data Entry'!D14/'Data Entry'!B14</f>
        <v>0</v>
      </c>
      <c r="C8" s="157">
        <f>'Data Entry'!E14/'Data Entry'!B14</f>
        <v>0</v>
      </c>
      <c r="D8" s="157">
        <f>'Data Entry'!F14/'Data Entry'!B14</f>
        <v>0</v>
      </c>
      <c r="E8" s="157">
        <f>'Data Entry'!G14/'Data Entry'!B14</f>
        <v>0</v>
      </c>
      <c r="F8" s="157">
        <f>'Data Entry'!H14/'Data Entry'!B14</f>
        <v>0</v>
      </c>
      <c r="G8" s="157">
        <f>'Data Entry'!I14/'Data Entry'!B14</f>
        <v>0</v>
      </c>
      <c r="H8" s="157">
        <f>SUM(D8:G8)/'Data Entry'!B14</f>
        <v>0</v>
      </c>
      <c r="I8" s="157">
        <f>'Data Entry'!C14/'Data Entry'!B14</f>
        <v>1</v>
      </c>
      <c r="K8" s="97" t="str">
        <f>A8</f>
        <v>Confinement, total N=2</v>
      </c>
      <c r="L8">
        <f>I14/(SUM(B14:G14))</f>
        <v>14.188747731397461</v>
      </c>
    </row>
    <row r="9" spans="1:12" x14ac:dyDescent="0.2">
      <c r="A9" s="132" t="str">
        <f>CONCATENATE("Delinquent Findings, total N=", 'Data Entry'!B12)</f>
        <v>Delinquent Findings, total N=24</v>
      </c>
      <c r="B9" s="157">
        <f>'Data Entry'!D12/'Data Entry'!B12</f>
        <v>8.3333333333333329E-2</v>
      </c>
      <c r="C9" s="157">
        <f>'Data Entry'!E12/'Data Entry'!B12</f>
        <v>0</v>
      </c>
      <c r="D9" s="157">
        <f>'Data Entry'!F12/'Data Entry'!B12</f>
        <v>0</v>
      </c>
      <c r="E9" s="157">
        <f>'Data Entry'!G12/'Data Entry'!B12</f>
        <v>0</v>
      </c>
      <c r="F9" s="157">
        <f>'Data Entry'!H12/'Data Entry'!B12</f>
        <v>0</v>
      </c>
      <c r="G9" s="157">
        <f>'Data Entry'!I12/'Data Entry'!B12</f>
        <v>4.1666666666666664E-2</v>
      </c>
      <c r="H9" s="157">
        <f>SUM(D9:G9)/'Data Entry'!B12</f>
        <v>1.736111111111111E-3</v>
      </c>
      <c r="I9" s="157">
        <f>'Data Entry'!C12/'Data Entry'!B12</f>
        <v>0.875</v>
      </c>
      <c r="K9" s="97" t="str">
        <f t="shared" si="0"/>
        <v>Delinquent Findings, total N=24</v>
      </c>
      <c r="L9">
        <f>I14/(SUM(B14:G14))</f>
        <v>14.188747731397461</v>
      </c>
    </row>
    <row r="10" spans="1:12" x14ac:dyDescent="0.2">
      <c r="A10" s="132" t="str">
        <f>CONCATENATE("Petitions, total N=", 'Data Entry'!B11)</f>
        <v>Petitions, total N=68</v>
      </c>
      <c r="B10" s="157">
        <f>'Data Entry'!D11/'Data Entry'!B11</f>
        <v>2.9411764705882353E-2</v>
      </c>
      <c r="C10" s="157">
        <f>'Data Entry'!E11/'Data Entry'!B11</f>
        <v>0</v>
      </c>
      <c r="D10" s="157">
        <f>'Data Entry'!F11/'Data Entry'!B11</f>
        <v>0</v>
      </c>
      <c r="E10" s="157">
        <f>'Data Entry'!G11/'Data Entry'!B11</f>
        <v>0</v>
      </c>
      <c r="F10" s="157">
        <f>'Data Entry'!H11/'Data Entry'!B11</f>
        <v>0</v>
      </c>
      <c r="G10" s="157">
        <f>'Data Entry'!I11/'Data Entry'!B11</f>
        <v>2.9411764705882353E-2</v>
      </c>
      <c r="H10" s="157">
        <f>SUM(D10:G10)/'Data Entry'!B11</f>
        <v>4.3252595155709344E-4</v>
      </c>
      <c r="I10" s="157">
        <f>'Data Entry'!C11/'Data Entry'!B11</f>
        <v>0.94117647058823528</v>
      </c>
      <c r="K10" s="97" t="str">
        <f t="shared" si="0"/>
        <v>Petitions, total N=68</v>
      </c>
      <c r="L10">
        <f>I14/(SUM(B14:G14))</f>
        <v>14.188747731397461</v>
      </c>
    </row>
    <row r="11" spans="1:12" x14ac:dyDescent="0.2">
      <c r="A11" s="132" t="str">
        <f>CONCATENATE("Detentions, total N=", 'Data Entry'!B10)</f>
        <v>Detentions, total N=11</v>
      </c>
      <c r="B11" s="157">
        <f>'Data Entry'!D10/'Data Entry'!B10</f>
        <v>0.18181818181818182</v>
      </c>
      <c r="C11" s="157">
        <f>'Data Entry'!E10/'Data Entry'!B10</f>
        <v>0</v>
      </c>
      <c r="D11" s="157">
        <f>'Data Entry'!F10/'Data Entry'!B10</f>
        <v>0</v>
      </c>
      <c r="E11" s="157">
        <f>'Data Entry'!G10/'Data Entry'!B10</f>
        <v>0</v>
      </c>
      <c r="F11" s="157">
        <f>'Data Entry'!H10/'Data Entry'!B10</f>
        <v>0</v>
      </c>
      <c r="G11" s="157">
        <f>'Data Entry'!I10/'Data Entry'!B10</f>
        <v>0</v>
      </c>
      <c r="H11" s="157">
        <f>SUM(D11:G11)/'Data Entry'!B10</f>
        <v>0</v>
      </c>
      <c r="I11" s="157">
        <f>'Data Entry'!C10/'Data Entry'!B10</f>
        <v>0.81818181818181823</v>
      </c>
      <c r="K11" s="97" t="str">
        <f t="shared" si="0"/>
        <v>Detentions, total N=11</v>
      </c>
      <c r="L11">
        <f>I14/(SUM(B14:G14))</f>
        <v>14.188747731397461</v>
      </c>
    </row>
    <row r="12" spans="1:12" x14ac:dyDescent="0.2">
      <c r="A12" s="132" t="str">
        <f>CONCATENATE("Referrals, total N=", 'Data Entry'!B8)</f>
        <v>Referrals, total N=102</v>
      </c>
      <c r="B12" s="157">
        <f>'Data Entry'!D8/'Data Entry'!B8</f>
        <v>3.9215686274509803E-2</v>
      </c>
      <c r="C12" s="157">
        <f>'Data Entry'!E8/'Data Entry'!B8</f>
        <v>0</v>
      </c>
      <c r="D12" s="157">
        <f>'Data Entry'!F8/'Data Entry'!B8</f>
        <v>0</v>
      </c>
      <c r="E12" s="157">
        <f>'Data Entry'!G8/'Data Entry'!B8</f>
        <v>0</v>
      </c>
      <c r="F12" s="157">
        <f>'Data Entry'!H8/'Data Entry'!B8</f>
        <v>0</v>
      </c>
      <c r="G12" s="157">
        <f>'Data Entry'!I8/'Data Entry'!B8</f>
        <v>1.9607843137254902E-2</v>
      </c>
      <c r="H12" s="157">
        <f>SUM(D12:G12)/'Data Entry'!B8</f>
        <v>1.9223375624759708E-4</v>
      </c>
      <c r="I12" s="157">
        <f>'Data Entry'!C8/'Data Entry'!B8</f>
        <v>0.94117647058823528</v>
      </c>
      <c r="K12" s="97" t="str">
        <f t="shared" si="0"/>
        <v>Referrals, total N=102</v>
      </c>
      <c r="L12">
        <f>I14/(SUM(B14:G14))</f>
        <v>14.188747731397461</v>
      </c>
    </row>
    <row r="13" spans="1:12" x14ac:dyDescent="0.2">
      <c r="A13" s="132" t="str">
        <f>CONCATENATE("Arrests, total N=", 'Data Entry'!B7)</f>
        <v>Arrests, total N=14</v>
      </c>
      <c r="B13" s="157">
        <f>'Data Entry'!D7/'Data Entry'!B7</f>
        <v>0.21428571428571427</v>
      </c>
      <c r="C13" s="157">
        <f>'Data Entry'!E7/'Data Entry'!B7</f>
        <v>0</v>
      </c>
      <c r="D13" s="157">
        <f>'Data Entry'!F7/'Data Entry'!B7</f>
        <v>0</v>
      </c>
      <c r="E13" s="157">
        <f>'Data Entry'!G7/'Data Entry'!B7</f>
        <v>0</v>
      </c>
      <c r="F13" s="157">
        <f>'Data Entry'!H7/'Data Entry'!B7</f>
        <v>0</v>
      </c>
      <c r="G13" s="157">
        <f>'Data Entry'!I7/'Data Entry'!B7</f>
        <v>0</v>
      </c>
      <c r="H13" s="157">
        <f>SUM(D13:G13)/'Data Entry'!B7</f>
        <v>0</v>
      </c>
      <c r="I13" s="157">
        <f>'Data Entry'!C7/'Data Entry'!B7</f>
        <v>0.7857142857142857</v>
      </c>
      <c r="K13" s="97" t="str">
        <f t="shared" si="0"/>
        <v>Arrests, total N=14</v>
      </c>
      <c r="L13">
        <f>I14/(SUM(B14:G14))</f>
        <v>14.188747731397461</v>
      </c>
    </row>
    <row r="14" spans="1:12" x14ac:dyDescent="0.2">
      <c r="A14" s="132" t="str">
        <f>CONCATENATE("Population, total N=", 'Data Entry'!B6)</f>
        <v>Population, total N=16738</v>
      </c>
      <c r="B14" s="157">
        <f>'Data Entry'!D6/'Data Entry'!B6</f>
        <v>1.1231927350937986E-2</v>
      </c>
      <c r="C14" s="157">
        <f>'Data Entry'!E6/'Data Entry'!B6</f>
        <v>3.769864977894611E-2</v>
      </c>
      <c r="D14" s="157">
        <f>'Data Entry'!F6/'Data Entry'!B6</f>
        <v>1.2904767594694706E-2</v>
      </c>
      <c r="E14" s="157">
        <f>'Data Entry'!G6/'Data Entry'!B6</f>
        <v>0</v>
      </c>
      <c r="F14" s="157">
        <f>'Data Entry'!H6/'Data Entry'!B6</f>
        <v>4.0028677261321546E-3</v>
      </c>
      <c r="G14" s="157">
        <f>'Data Entry'!I6/'Data Entry'!B6</f>
        <v>0</v>
      </c>
      <c r="H14" s="157">
        <f>SUM(D14:G14)/'Data Entry'!B6</f>
        <v>1.0101347425514914E-6</v>
      </c>
      <c r="I14" s="157">
        <f>'Data Entry'!C6/'Data Entry'!B6</f>
        <v>0.93416178754928902</v>
      </c>
      <c r="K14" s="97" t="str">
        <f t="shared" si="0"/>
        <v>Population, total N=16738</v>
      </c>
      <c r="L14">
        <f>I14/(SUM(B14:G14))</f>
        <v>14.188747731397461</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121</v>
      </c>
      <c r="C2" s="180"/>
      <c r="D2" s="180"/>
      <c r="E2" s="180"/>
      <c r="F2" s="180"/>
      <c r="G2" s="180"/>
      <c r="H2" s="180"/>
      <c r="I2" s="180"/>
      <c r="J2" s="180"/>
      <c r="K2" s="181"/>
    </row>
    <row r="3" spans="2:30" s="1" customFormat="1" ht="19.5" thickTop="1" x14ac:dyDescent="0.35">
      <c r="B3" s="98" t="str">
        <f>'Data Entry'!A2</f>
        <v>State: Michigan</v>
      </c>
      <c r="C3" s="122"/>
      <c r="D3" s="122"/>
      <c r="H3" s="194" t="str">
        <f>'Data Entry'!C3</f>
        <v xml:space="preserve">Reporting Period:  </v>
      </c>
      <c r="I3" s="195"/>
      <c r="J3" s="195"/>
      <c r="K3" s="196"/>
    </row>
    <row r="4" spans="2:30" s="1" customFormat="1" ht="19.5" thickBot="1" x14ac:dyDescent="0.4">
      <c r="B4" s="102" t="str">
        <f>'Data Entry'!A3</f>
        <v>County: Livingston</v>
      </c>
      <c r="C4" s="121"/>
      <c r="D4" s="121"/>
      <c r="E4" s="124"/>
      <c r="F4" s="124"/>
      <c r="G4" s="124"/>
      <c r="H4" s="184" t="str">
        <f>'Data Entry'!C4</f>
        <v>10/1/20 through 9/30/21</v>
      </c>
      <c r="I4" s="197"/>
      <c r="J4" s="197"/>
      <c r="K4" s="198"/>
    </row>
    <row r="5" spans="2:30" s="123" customFormat="1" ht="69" customHeight="1" x14ac:dyDescent="0.35">
      <c r="B5" s="100"/>
      <c r="C5" s="101" t="s">
        <v>3</v>
      </c>
      <c r="D5" s="191" t="str">
        <f>'Black or African-American'!$F$1</f>
        <v>Black or African American</v>
      </c>
      <c r="E5" s="192"/>
      <c r="F5" s="191" t="str">
        <f>Hispanic!F1</f>
        <v>Hispanic or Latino</v>
      </c>
      <c r="G5" s="192"/>
      <c r="H5" s="191" t="str">
        <f>Asian!F1</f>
        <v>Asian</v>
      </c>
      <c r="I5" s="192"/>
      <c r="J5" s="191" t="str">
        <f>'Data Entry'!J5</f>
        <v>All Minorities</v>
      </c>
      <c r="K5" s="193"/>
      <c r="N5" s="69"/>
      <c r="O5" s="69"/>
      <c r="P5" s="69"/>
      <c r="Q5" s="69"/>
    </row>
    <row r="6" spans="2:30" s="123" customFormat="1" ht="18" customHeight="1" x14ac:dyDescent="0.35">
      <c r="B6" s="159" t="s">
        <v>119</v>
      </c>
      <c r="C6" s="126" t="s">
        <v>117</v>
      </c>
      <c r="D6" s="127" t="s">
        <v>117</v>
      </c>
      <c r="E6" s="128" t="s">
        <v>118</v>
      </c>
      <c r="F6" s="127" t="s">
        <v>117</v>
      </c>
      <c r="G6" s="128" t="s">
        <v>118</v>
      </c>
      <c r="H6" s="127" t="s">
        <v>117</v>
      </c>
      <c r="I6" s="128" t="s">
        <v>118</v>
      </c>
      <c r="J6" s="127" t="s">
        <v>117</v>
      </c>
      <c r="K6" s="129" t="s">
        <v>118</v>
      </c>
    </row>
    <row r="7" spans="2:30" s="135" customFormat="1" ht="18" customHeight="1" x14ac:dyDescent="0.3">
      <c r="B7" s="148" t="str">
        <f>'Data Entry'!A6</f>
        <v xml:space="preserve">1. Population at Risk (age 10 through 16) </v>
      </c>
      <c r="C7" s="104">
        <f>'Data Entry'!C6</f>
        <v>15636</v>
      </c>
      <c r="D7" s="105">
        <f>'Data Entry'!D6</f>
        <v>188</v>
      </c>
      <c r="E7" s="106"/>
      <c r="F7" s="107">
        <f>'Data Entry'!E6</f>
        <v>631</v>
      </c>
      <c r="G7" s="106"/>
      <c r="H7" s="107">
        <f>'Data Entry'!F6</f>
        <v>216</v>
      </c>
      <c r="I7" s="106"/>
      <c r="J7" s="107">
        <f>'Data Entry'!J6</f>
        <v>1102</v>
      </c>
      <c r="K7" s="108"/>
    </row>
    <row r="8" spans="2:30" s="1" customFormat="1" ht="15" customHeight="1" x14ac:dyDescent="0.3">
      <c r="B8" s="125" t="s">
        <v>8</v>
      </c>
      <c r="C8" s="104">
        <f>'Data Entry'!C7</f>
        <v>11</v>
      </c>
      <c r="D8" s="105">
        <f>'Data Entry'!D7</f>
        <v>3</v>
      </c>
      <c r="E8" s="106" t="str">
        <f>'Black or African-American'!$G7</f>
        <v>**</v>
      </c>
      <c r="F8" s="107">
        <f>'Data Entry'!E7</f>
        <v>0</v>
      </c>
      <c r="G8" s="106" t="str">
        <f>Hispanic!G7</f>
        <v>**</v>
      </c>
      <c r="H8" s="107">
        <f>'Data Entry'!F7</f>
        <v>0</v>
      </c>
      <c r="I8" s="106" t="str">
        <f>Asian!G7</f>
        <v>**</v>
      </c>
      <c r="J8" s="107">
        <f>'Data Entry'!J7</f>
        <v>3</v>
      </c>
      <c r="K8" s="108" t="str">
        <f>'All Minorities'!G7</f>
        <v>**</v>
      </c>
      <c r="L8"/>
      <c r="N8" s="1">
        <f>'Black or African-American'!L7</f>
        <v>20</v>
      </c>
      <c r="O8" s="1">
        <f>Hispanic!L7</f>
        <v>40</v>
      </c>
      <c r="P8" s="1">
        <f>Asian!L7</f>
        <v>40</v>
      </c>
      <c r="Q8" s="1" t="e">
        <f>Hawaiian!L7</f>
        <v>#VALUE!</v>
      </c>
      <c r="R8" s="1">
        <f>'Am Indian'!L7</f>
        <v>139</v>
      </c>
      <c r="S8" s="1" t="e">
        <f>'Other - Mixed'!L7</f>
        <v>#VALUE!</v>
      </c>
      <c r="T8" s="1">
        <f>'All Minorities'!L7</f>
        <v>20</v>
      </c>
    </row>
    <row r="9" spans="2:30" s="1" customFormat="1" ht="15" customHeight="1" x14ac:dyDescent="0.3">
      <c r="B9" s="125" t="s">
        <v>134</v>
      </c>
      <c r="C9" s="104">
        <f>'Data Entry'!C8</f>
        <v>96</v>
      </c>
      <c r="D9" s="109">
        <f>'Data Entry'!D8</f>
        <v>4</v>
      </c>
      <c r="E9" s="110" t="str">
        <f>'Black or African-American'!$G8</f>
        <v>**</v>
      </c>
      <c r="F9" s="111">
        <f>'Data Entry'!E8</f>
        <v>0</v>
      </c>
      <c r="G9" s="110" t="str">
        <f>Hispanic!G8</f>
        <v>**</v>
      </c>
      <c r="H9" s="111">
        <f>'Data Entry'!F8</f>
        <v>0</v>
      </c>
      <c r="I9" s="110" t="str">
        <f>Asian!G8</f>
        <v>**</v>
      </c>
      <c r="J9" s="111">
        <f>'Data Entry'!J8</f>
        <v>6</v>
      </c>
      <c r="K9" s="112" t="str">
        <f>'All Minorities'!G8</f>
        <v>**</v>
      </c>
      <c r="L9"/>
      <c r="N9" s="1">
        <f>'Black or African-American'!L8</f>
        <v>40</v>
      </c>
      <c r="O9" s="1">
        <f>Hispanic!L8</f>
        <v>40</v>
      </c>
      <c r="P9" s="1">
        <f>Asian!L8</f>
        <v>40</v>
      </c>
      <c r="Q9" s="1">
        <f>Hawaiian!L8</f>
        <v>139</v>
      </c>
      <c r="R9" s="1">
        <f>'Am Indian'!L8</f>
        <v>139</v>
      </c>
      <c r="S9" s="1">
        <f>'Other - Mixed'!L8</f>
        <v>139</v>
      </c>
      <c r="T9" s="1">
        <f>'All Minorities'!L8</f>
        <v>40</v>
      </c>
    </row>
    <row r="10" spans="2:30" s="1" customFormat="1" ht="15" customHeight="1" x14ac:dyDescent="0.3">
      <c r="B10" s="125"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Entry'!J9</f>
        <v>0</v>
      </c>
      <c r="K10" s="116"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x14ac:dyDescent="0.3">
      <c r="B11" s="125" t="s">
        <v>11</v>
      </c>
      <c r="C11" s="104">
        <f>'Data Entry'!C10</f>
        <v>9</v>
      </c>
      <c r="D11" s="109">
        <f>'Data Entry'!D10</f>
        <v>2</v>
      </c>
      <c r="E11" s="110" t="str">
        <f>'Black or African-American'!$G10</f>
        <v>**</v>
      </c>
      <c r="F11" s="111">
        <f>'Data Entry'!E10</f>
        <v>0</v>
      </c>
      <c r="G11" s="110" t="str">
        <f>Hispanic!G10</f>
        <v>--</v>
      </c>
      <c r="H11" s="111">
        <f>'Data Entry'!F10</f>
        <v>0</v>
      </c>
      <c r="I11" s="110" t="str">
        <f>Asian!G10</f>
        <v>--</v>
      </c>
      <c r="J11" s="111">
        <f>'Data Entry'!J10</f>
        <v>2</v>
      </c>
      <c r="K11" s="112" t="str">
        <f>'All Minorities'!G10</f>
        <v>**</v>
      </c>
      <c r="L11"/>
      <c r="N11" s="1">
        <f>'Black or African-American'!L10</f>
        <v>20</v>
      </c>
      <c r="O11" s="1" t="e">
        <f>Hispanic!L10</f>
        <v>#VALUE!</v>
      </c>
      <c r="P11" s="1" t="e">
        <f>Asian!L10</f>
        <v>#VALUE!</v>
      </c>
      <c r="Q11" s="1" t="e">
        <f>Hawaiian!L10</f>
        <v>#VALUE!</v>
      </c>
      <c r="R11" s="1" t="e">
        <f>'Am Indian'!L10</f>
        <v>#VALUE!</v>
      </c>
      <c r="S11" s="1">
        <f>'Other - Mixed'!L10</f>
        <v>139</v>
      </c>
      <c r="T11" s="1">
        <f>'All Minorities'!L10</f>
        <v>40</v>
      </c>
    </row>
    <row r="12" spans="2:30" s="1" customFormat="1" ht="15" customHeight="1" x14ac:dyDescent="0.3">
      <c r="B12" s="125" t="s">
        <v>95</v>
      </c>
      <c r="C12" s="104">
        <f>'Data Entry'!C11</f>
        <v>64</v>
      </c>
      <c r="D12" s="113">
        <f>'Data Entry'!D11</f>
        <v>2</v>
      </c>
      <c r="E12" s="114" t="str">
        <f>'Black or African-American'!$G11</f>
        <v>**</v>
      </c>
      <c r="F12" s="115">
        <f>'Data Entry'!E11</f>
        <v>0</v>
      </c>
      <c r="G12" s="114" t="str">
        <f>Hispanic!G11</f>
        <v>--</v>
      </c>
      <c r="H12" s="115">
        <f>'Data Entry'!F11</f>
        <v>0</v>
      </c>
      <c r="I12" s="114" t="str">
        <f>Asian!G11</f>
        <v>--</v>
      </c>
      <c r="J12" s="115">
        <f>'Data Entry'!J11</f>
        <v>4</v>
      </c>
      <c r="K12" s="116" t="str">
        <f>'All Minorities'!G11</f>
        <v>--</v>
      </c>
      <c r="L12"/>
      <c r="N12" s="1">
        <f>'Black or African-American'!L11</f>
        <v>40</v>
      </c>
      <c r="O12" s="1" t="e">
        <f>Hispanic!L11</f>
        <v>#VALUE!</v>
      </c>
      <c r="P12" s="1" t="e">
        <f>Asian!L11</f>
        <v>#VALUE!</v>
      </c>
      <c r="Q12" s="1" t="e">
        <f>Hawaiian!L11</f>
        <v>#VALUE!</v>
      </c>
      <c r="R12" s="1" t="e">
        <f>'Am Indian'!L11</f>
        <v>#VALUE!</v>
      </c>
      <c r="S12" s="1">
        <f>'Other - Mixed'!L11</f>
        <v>139</v>
      </c>
      <c r="T12" s="1" t="e">
        <f>'All Minorities'!L11</f>
        <v>#VALUE!</v>
      </c>
    </row>
    <row r="13" spans="2:30" s="1" customFormat="1" ht="15" customHeight="1" x14ac:dyDescent="0.3">
      <c r="B13" s="125" t="s">
        <v>13</v>
      </c>
      <c r="C13" s="104">
        <f>'Data Entry'!C12</f>
        <v>21</v>
      </c>
      <c r="D13" s="109">
        <f>'Data Entry'!D12</f>
        <v>2</v>
      </c>
      <c r="E13" s="110" t="str">
        <f>'Black or African-American'!$G12</f>
        <v>**</v>
      </c>
      <c r="F13" s="111">
        <f>'Data Entry'!E12</f>
        <v>0</v>
      </c>
      <c r="G13" s="110" t="str">
        <f>Hispanic!G12</f>
        <v>--</v>
      </c>
      <c r="H13" s="111">
        <f>'Data Entry'!F12</f>
        <v>0</v>
      </c>
      <c r="I13" s="110" t="str">
        <f>Asian!G12</f>
        <v>--</v>
      </c>
      <c r="J13" s="111">
        <f>'Data Entry'!J12</f>
        <v>3</v>
      </c>
      <c r="K13" s="112" t="str">
        <f>'All Minorities'!G12</f>
        <v>**</v>
      </c>
      <c r="L13"/>
      <c r="N13" s="1">
        <f>'Black or African-American'!L12</f>
        <v>20</v>
      </c>
      <c r="O13" s="1" t="e">
        <f>Hispanic!L12</f>
        <v>#VALUE!</v>
      </c>
      <c r="P13" s="1" t="e">
        <f>Asian!L12</f>
        <v>#VALUE!</v>
      </c>
      <c r="Q13" s="1" t="e">
        <f>Hawaiian!L12</f>
        <v>#VALUE!</v>
      </c>
      <c r="R13" s="1" t="e">
        <f>'Am Indian'!L12</f>
        <v>#VALUE!</v>
      </c>
      <c r="S13" s="1">
        <f>'Other - Mixed'!L12</f>
        <v>139</v>
      </c>
      <c r="T13" s="1">
        <f>'All Minorities'!L12</f>
        <v>40</v>
      </c>
      <c r="W13" s="135"/>
      <c r="X13" s="135"/>
      <c r="Y13" s="135"/>
      <c r="Z13" s="135"/>
      <c r="AA13" s="135"/>
      <c r="AB13" s="135"/>
      <c r="AC13" s="135"/>
      <c r="AD13" s="135"/>
    </row>
    <row r="14" spans="2:30" s="1" customFormat="1" ht="15" customHeight="1" x14ac:dyDescent="0.3">
      <c r="B14" s="125" t="s">
        <v>14</v>
      </c>
      <c r="C14" s="104">
        <f>'Data Entry'!C13</f>
        <v>24</v>
      </c>
      <c r="D14" s="113">
        <f>'Data Entry'!D13</f>
        <v>2</v>
      </c>
      <c r="E14" s="114" t="str">
        <f>'Black or African-American'!$G13</f>
        <v>**</v>
      </c>
      <c r="F14" s="115">
        <f>'Data Entry'!E13</f>
        <v>0</v>
      </c>
      <c r="G14" s="114" t="str">
        <f>Hispanic!G13</f>
        <v>--</v>
      </c>
      <c r="H14" s="115">
        <f>'Data Entry'!F13</f>
        <v>0</v>
      </c>
      <c r="I14" s="114" t="str">
        <f>Asian!G13</f>
        <v>--</v>
      </c>
      <c r="J14" s="115">
        <f>'Data Entry'!J13</f>
        <v>4</v>
      </c>
      <c r="K14" s="116" t="str">
        <f>'All Minorities'!G13</f>
        <v>**</v>
      </c>
      <c r="L14"/>
      <c r="N14" s="1">
        <f>'Black or African-American'!L13</f>
        <v>40</v>
      </c>
      <c r="O14" s="1" t="e">
        <f>Hispanic!L13</f>
        <v>#VALUE!</v>
      </c>
      <c r="P14" s="1" t="e">
        <f>Asian!L13</f>
        <v>#VALUE!</v>
      </c>
      <c r="Q14" s="1" t="e">
        <f>Hawaiian!L13</f>
        <v>#VALUE!</v>
      </c>
      <c r="R14" s="1" t="e">
        <f>'Am Indian'!L13</f>
        <v>#VALUE!</v>
      </c>
      <c r="S14" s="1">
        <f>'Other - Mixed'!L13</f>
        <v>139</v>
      </c>
      <c r="T14" s="1">
        <f>'All Minorities'!L13</f>
        <v>40</v>
      </c>
      <c r="W14" s="135"/>
      <c r="X14" s="135"/>
      <c r="Y14" s="135"/>
      <c r="Z14" s="135"/>
      <c r="AA14" s="135"/>
      <c r="AB14" s="135"/>
      <c r="AC14" s="135"/>
      <c r="AD14" s="135"/>
    </row>
    <row r="15" spans="2:30" s="1" customFormat="1" ht="33" x14ac:dyDescent="0.3">
      <c r="B15" s="130" t="s">
        <v>123</v>
      </c>
      <c r="C15" s="104">
        <f>'Data Entry'!C14</f>
        <v>2</v>
      </c>
      <c r="D15" s="109">
        <f>'Data Entry'!D14</f>
        <v>0</v>
      </c>
      <c r="E15" s="110" t="str">
        <f>'Black or African-American'!$G14</f>
        <v>**</v>
      </c>
      <c r="F15" s="111">
        <f>'Data Entry'!E14</f>
        <v>0</v>
      </c>
      <c r="G15" s="110" t="str">
        <f>Hispanic!G14</f>
        <v>--</v>
      </c>
      <c r="H15" s="111">
        <f>'Data Entry'!F14</f>
        <v>0</v>
      </c>
      <c r="I15" s="110" t="str">
        <f>Asian!G14</f>
        <v>--</v>
      </c>
      <c r="J15" s="111">
        <f>'Data Entry'!J14</f>
        <v>0</v>
      </c>
      <c r="K15" s="112" t="str">
        <f>'All Minorities'!G14</f>
        <v>**</v>
      </c>
      <c r="L15"/>
      <c r="N15" s="1">
        <f>'Black or African-American'!L14</f>
        <v>40</v>
      </c>
      <c r="O15" s="1" t="e">
        <f>Hispanic!L14</f>
        <v>#VALUE!</v>
      </c>
      <c r="P15" s="1" t="e">
        <f>Asian!L14</f>
        <v>#VALUE!</v>
      </c>
      <c r="Q15" s="1" t="e">
        <f>Hawaiian!L14</f>
        <v>#VALUE!</v>
      </c>
      <c r="R15" s="1" t="e">
        <f>'Am Indian'!L14</f>
        <v>#VALUE!</v>
      </c>
      <c r="S15" s="1">
        <f>'Other - Mixed'!L14</f>
        <v>139</v>
      </c>
      <c r="T15" s="1">
        <f>'All Minorities'!L14</f>
        <v>40</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Yes</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207" t="s">
        <v>120</v>
      </c>
      <c r="C19" s="208"/>
      <c r="D19" s="208"/>
      <c r="E19" s="208"/>
      <c r="F19" s="208"/>
      <c r="G19" s="208"/>
      <c r="H19" s="208"/>
      <c r="I19" s="209"/>
      <c r="J19" s="210"/>
      <c r="K19" s="211"/>
    </row>
    <row r="20" spans="2:30" ht="15.75" x14ac:dyDescent="0.3">
      <c r="B20" s="160" t="s">
        <v>125</v>
      </c>
      <c r="C20" s="215" t="s">
        <v>53</v>
      </c>
      <c r="D20" s="216"/>
      <c r="E20" s="199" t="s">
        <v>56</v>
      </c>
      <c r="F20" s="200"/>
      <c r="G20" s="200"/>
      <c r="H20" s="200"/>
      <c r="I20" s="200"/>
      <c r="J20" s="200"/>
      <c r="K20" s="161" t="s">
        <v>57</v>
      </c>
    </row>
    <row r="21" spans="2:30" ht="15" customHeight="1" x14ac:dyDescent="0.3">
      <c r="B21" s="162" t="s">
        <v>126</v>
      </c>
      <c r="C21" s="201" t="s">
        <v>55</v>
      </c>
      <c r="D21" s="202"/>
      <c r="E21" s="203" t="s">
        <v>58</v>
      </c>
      <c r="F21" s="204"/>
      <c r="G21" s="204"/>
      <c r="H21" s="204"/>
      <c r="I21" s="204"/>
      <c r="J21" s="204"/>
      <c r="K21" s="163" t="s">
        <v>59</v>
      </c>
    </row>
    <row r="22" spans="2:30" ht="15" customHeight="1" thickBot="1" x14ac:dyDescent="0.35">
      <c r="B22" s="212"/>
      <c r="C22" s="213"/>
      <c r="D22" s="214"/>
      <c r="E22" s="205" t="s">
        <v>60</v>
      </c>
      <c r="F22" s="206"/>
      <c r="G22" s="206"/>
      <c r="H22" s="206"/>
      <c r="I22" s="206"/>
      <c r="J22" s="206"/>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State Court Administrative Office</v>
      </c>
      <c r="E27" s="1" t="str">
        <f>'Data Entry'!D20</f>
        <v>Item 4.Diversion: State Court Administrative Office</v>
      </c>
      <c r="I27" s="97"/>
    </row>
    <row r="28" spans="2:30" ht="12.75" customHeight="1" x14ac:dyDescent="0.25">
      <c r="B28" s="1" t="str">
        <f>'Data Entry'!A21</f>
        <v>Item 5.Detention: State Court Administrative Office</v>
      </c>
      <c r="E28" s="1" t="str">
        <f>'Data Entry'!D21</f>
        <v>Item 6.Petitioned: State Court Administrative Office</v>
      </c>
      <c r="I28" s="97"/>
    </row>
    <row r="29" spans="2:30" ht="12.75" customHeight="1" x14ac:dyDescent="0.25">
      <c r="B29" s="1" t="str">
        <f>'Data Entry'!A22</f>
        <v>Item 7.Delinquent: State Court Administrative Office</v>
      </c>
      <c r="E29" s="1" t="str">
        <f>'Data Entry'!D22</f>
        <v>Item 8.Probation: State Court Administrative Office</v>
      </c>
      <c r="I29" s="97"/>
    </row>
    <row r="30" spans="2:30" ht="12.75" customHeight="1" x14ac:dyDescent="0.25">
      <c r="B30" s="1" t="str">
        <f>'Data Entry'!A23</f>
        <v>Item 9.Confinement: State Court Administrative Office</v>
      </c>
      <c r="E30" s="1" t="str">
        <f>'Data Entry'!D23</f>
        <v>Item 10.Transferred: State Court Administrative Office</v>
      </c>
      <c r="I30" s="97"/>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Livingston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15636</v>
      </c>
      <c r="D6" s="34"/>
      <c r="E6" s="33">
        <f>'Data Entry'!D6</f>
        <v>188</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11</v>
      </c>
      <c r="D7" s="34">
        <f>IF((AND(C66&gt;0,C7&gt;0)),(C7/C66),0)</f>
        <v>0.70350473266820157</v>
      </c>
      <c r="E7" s="33">
        <f>'Data Entry'!D7</f>
        <v>3</v>
      </c>
      <c r="F7" s="34">
        <f>IF((AND($E$7&gt;0,$D$66&gt;0)),($E$7/$D$66),0)</f>
        <v>15.957446808510639</v>
      </c>
      <c r="G7" s="39" t="str">
        <f>IF(L$6=100,"*",IF(M7=FALSE,"--",IF(K7=20,"**",($F7/$D7))))</f>
        <v>**</v>
      </c>
      <c r="H7" s="40"/>
      <c r="I7" s="41"/>
      <c r="J7" s="40">
        <f>IF((ABS($U7)&gt;Defaults!D$7),1,2)</f>
        <v>1</v>
      </c>
      <c r="K7" s="39">
        <f>IF((AND(N7&gt;Defaults!B$12,(N7+O7)&gt;Defaults!B$13, P7 &gt; Defaults!B$12, (P7+Q7) &gt; Defaults!B$13)),1,20)</f>
        <v>20</v>
      </c>
      <c r="L7" s="1">
        <f>(J7*K7+L$6)-1</f>
        <v>20</v>
      </c>
      <c r="M7" s="1" t="b">
        <f t="shared" ref="M7:M15" si="0">(ISNUMBER(J7))</f>
        <v>1</v>
      </c>
      <c r="N7" s="42">
        <f t="shared" ref="N7:N15" si="1">E7</f>
        <v>3</v>
      </c>
      <c r="O7" s="42">
        <f>E6-E7</f>
        <v>185</v>
      </c>
      <c r="P7" s="42">
        <f t="shared" ref="P7:P15" si="2">C7</f>
        <v>11</v>
      </c>
      <c r="Q7" s="42">
        <f>C6-C7</f>
        <v>15625</v>
      </c>
      <c r="R7" s="42">
        <f t="shared" ref="R7:R15" si="3">SUM(N7:Q7)</f>
        <v>15824</v>
      </c>
      <c r="S7" s="30">
        <f t="shared" ref="S7:S15" si="4">R7*((((N7*Q7)-(O7*P7))^2))</f>
        <v>31816139494400</v>
      </c>
      <c r="T7" s="30">
        <f t="shared" ref="T7:T15" si="5">(N7+O7)*(P7+Q7)*(N7+P7)*(O7+Q7)</f>
        <v>650643981120</v>
      </c>
      <c r="U7" s="31">
        <f t="shared" ref="U7:U15" si="6">IF((S7&gt;0),S7/T7,"- -")</f>
        <v>48.899460254181719</v>
      </c>
    </row>
    <row r="8" spans="2:21" ht="18" customHeight="1" x14ac:dyDescent="0.25">
      <c r="B8" s="32" t="str">
        <f>'Data Entry'!A8</f>
        <v>3. Refer to Juvenile Court</v>
      </c>
      <c r="C8" s="33">
        <f>'Data Entry'!C8</f>
        <v>96</v>
      </c>
      <c r="D8" s="34">
        <f>IF((AND(C67&gt;0,C8&gt;0)),(C8/C67),0)</f>
        <v>872.72727272727275</v>
      </c>
      <c r="E8" s="33">
        <f>'Data Entry'!D8</f>
        <v>4</v>
      </c>
      <c r="F8" s="34">
        <f>IF((AND($E$8&gt;0,$D$67&gt;0)),($E8/$D67),0)</f>
        <v>133.33333333333334</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4</v>
      </c>
      <c r="O8" s="42">
        <f>((D67*L67)-E8)+0.05</f>
        <v>-0.95</v>
      </c>
      <c r="P8" s="42">
        <f t="shared" si="2"/>
        <v>96</v>
      </c>
      <c r="Q8" s="42">
        <f>(C$67*L67)-C8</f>
        <v>-85</v>
      </c>
      <c r="R8" s="42">
        <f t="shared" si="3"/>
        <v>14.049999999999997</v>
      </c>
      <c r="S8" s="30">
        <f t="shared" si="4"/>
        <v>869715.23199999984</v>
      </c>
      <c r="T8" s="30">
        <f t="shared" si="5"/>
        <v>-288362.24999999994</v>
      </c>
      <c r="U8" s="31">
        <f t="shared" si="6"/>
        <v>-3.0160509289964272</v>
      </c>
    </row>
    <row r="9" spans="2:21" ht="18" customHeight="1" x14ac:dyDescent="0.25">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4</v>
      </c>
      <c r="P9" s="42">
        <f t="shared" si="2"/>
        <v>0</v>
      </c>
      <c r="Q9" s="42">
        <f>(C$68*L68)-C9</f>
        <v>96</v>
      </c>
      <c r="R9" s="42">
        <f t="shared" si="3"/>
        <v>100</v>
      </c>
      <c r="S9" s="30">
        <f t="shared" si="4"/>
        <v>0</v>
      </c>
      <c r="T9" s="30">
        <f t="shared" si="5"/>
        <v>0</v>
      </c>
      <c r="U9" s="31" t="str">
        <f t="shared" si="6"/>
        <v>- -</v>
      </c>
    </row>
    <row r="10" spans="2:21" ht="18" customHeight="1" x14ac:dyDescent="0.25">
      <c r="B10" s="32" t="str">
        <f>'Data Entry'!A10</f>
        <v>5. Cases Involving Secure Detention</v>
      </c>
      <c r="C10" s="33">
        <f>'Data Entry'!C10</f>
        <v>9</v>
      </c>
      <c r="D10" s="34">
        <f>IF(((AND(C68&gt;0,C10&gt;0))),(C10/(C68)),0)</f>
        <v>9.375</v>
      </c>
      <c r="E10" s="33">
        <f>'Data Entry'!D10</f>
        <v>2</v>
      </c>
      <c r="F10" s="34">
        <f>IF(((AND($E$10&gt;0,$D$68&gt;0))),($E$10/($D$68)),0)</f>
        <v>50</v>
      </c>
      <c r="G10" s="39" t="str">
        <f t="shared" si="7"/>
        <v>**</v>
      </c>
      <c r="H10" s="40"/>
      <c r="I10" s="41"/>
      <c r="J10" s="40">
        <f>IF((ABS($U10)&gt;Defaults!D$7),1,2)</f>
        <v>1</v>
      </c>
      <c r="K10" s="39">
        <f>IF((AND(N10&gt;Defaults!B$12,(N10+O10)&gt;Defaults!B$13, P10 &gt; Defaults!B$12, (P10+Q10) &gt; Defaults!B$13)),1,20)</f>
        <v>20</v>
      </c>
      <c r="L10" s="1">
        <f t="shared" si="8"/>
        <v>20</v>
      </c>
      <c r="M10" s="1" t="b">
        <f t="shared" si="0"/>
        <v>1</v>
      </c>
      <c r="N10" s="42">
        <f t="shared" si="1"/>
        <v>2</v>
      </c>
      <c r="O10" s="42">
        <f>(D$68*L68)-E10</f>
        <v>2</v>
      </c>
      <c r="P10" s="42">
        <f t="shared" si="2"/>
        <v>9</v>
      </c>
      <c r="Q10" s="42">
        <f>(C$68*L68)-C10</f>
        <v>87</v>
      </c>
      <c r="R10" s="42">
        <f t="shared" si="3"/>
        <v>100</v>
      </c>
      <c r="S10" s="30">
        <f t="shared" si="4"/>
        <v>2433600</v>
      </c>
      <c r="T10" s="30">
        <f t="shared" si="5"/>
        <v>375936</v>
      </c>
      <c r="U10" s="31">
        <f t="shared" si="6"/>
        <v>6.4734422880490294</v>
      </c>
    </row>
    <row r="11" spans="2:21" ht="18" customHeight="1" x14ac:dyDescent="0.25">
      <c r="B11" s="32" t="str">
        <f>'Data Entry'!A11</f>
        <v>6. Cases Petitioned (Charge Filed)</v>
      </c>
      <c r="C11" s="33">
        <f>'Data Entry'!C11</f>
        <v>64</v>
      </c>
      <c r="D11" s="34">
        <f>IF(((AND(C68&gt;0,C11&gt;0))),(C11/(C68)),0)</f>
        <v>66.666666666666671</v>
      </c>
      <c r="E11" s="33">
        <f>'Data Entry'!D11</f>
        <v>2</v>
      </c>
      <c r="F11" s="34">
        <f>IF(((AND($E$11&gt;0,$D$68&gt;0))),($E$11/($D$68)),0)</f>
        <v>50</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2</v>
      </c>
      <c r="O11" s="42">
        <f>(D$68*L68)-E11</f>
        <v>2</v>
      </c>
      <c r="P11" s="42">
        <f t="shared" si="2"/>
        <v>64</v>
      </c>
      <c r="Q11" s="42">
        <f>(C$68*L68)-C11</f>
        <v>32</v>
      </c>
      <c r="R11" s="42">
        <f t="shared" si="3"/>
        <v>100</v>
      </c>
      <c r="S11" s="30">
        <f t="shared" si="4"/>
        <v>409600</v>
      </c>
      <c r="T11" s="30">
        <f t="shared" si="5"/>
        <v>861696</v>
      </c>
      <c r="U11" s="31">
        <f t="shared" si="6"/>
        <v>0.47534165181224003</v>
      </c>
    </row>
    <row r="12" spans="2:21" ht="18" customHeight="1" x14ac:dyDescent="0.25">
      <c r="B12" s="32" t="str">
        <f>'Data Entry'!A12</f>
        <v>7. Cases Resulting in Delinquent Findings</v>
      </c>
      <c r="C12" s="33">
        <f>'Data Entry'!C12</f>
        <v>21</v>
      </c>
      <c r="D12" s="34">
        <f>IF(((AND(C69&gt;0,C12&gt;0))),(C12/(C69)),0)</f>
        <v>32.8125</v>
      </c>
      <c r="E12" s="33">
        <f>'Data Entry'!D12</f>
        <v>2</v>
      </c>
      <c r="F12" s="34">
        <f>IF(((AND($D$69&gt;0,$E$12&gt;0))),(E12/(D69)),0)</f>
        <v>100</v>
      </c>
      <c r="G12" s="39" t="str">
        <f t="shared" si="7"/>
        <v>**</v>
      </c>
      <c r="H12" s="40"/>
      <c r="I12" s="41"/>
      <c r="J12" s="40">
        <f>IF((ABS($U12)&gt;Defaults!D$7),1,2)</f>
        <v>1</v>
      </c>
      <c r="K12" s="39">
        <f>IF((AND(N12&gt;Defaults!B$12,(N12+O12)&gt;Defaults!B$13, P12 &gt; Defaults!B$12, (P12+Q12) &gt; Defaults!B$13)),1,20)</f>
        <v>20</v>
      </c>
      <c r="L12" s="1">
        <f t="shared" si="8"/>
        <v>20</v>
      </c>
      <c r="M12" s="1" t="b">
        <f t="shared" si="0"/>
        <v>1</v>
      </c>
      <c r="N12" s="42">
        <f t="shared" si="1"/>
        <v>2</v>
      </c>
      <c r="O12" s="42">
        <f>(D69*L69)-E12</f>
        <v>0</v>
      </c>
      <c r="P12" s="42">
        <f t="shared" si="2"/>
        <v>21</v>
      </c>
      <c r="Q12" s="42">
        <f>(C69*L69)-C12</f>
        <v>43</v>
      </c>
      <c r="R12" s="42">
        <f t="shared" si="3"/>
        <v>66</v>
      </c>
      <c r="S12" s="30">
        <f t="shared" si="4"/>
        <v>488136</v>
      </c>
      <c r="T12" s="30">
        <f t="shared" si="5"/>
        <v>126592</v>
      </c>
      <c r="U12" s="31">
        <f t="shared" si="6"/>
        <v>3.8559782608695654</v>
      </c>
    </row>
    <row r="13" spans="2:21" ht="18" customHeight="1" x14ac:dyDescent="0.25">
      <c r="B13" s="32" t="str">
        <f>'Data Entry'!A13</f>
        <v>8. Cases Resulting in Probation Placement</v>
      </c>
      <c r="C13" s="33">
        <f>'Data Entry'!C13</f>
        <v>24</v>
      </c>
      <c r="D13" s="34">
        <f>IF(((AND(C70&gt;0,C13&gt;0))),(C13/(C70)),0)</f>
        <v>114.28571428571429</v>
      </c>
      <c r="E13" s="33">
        <f>'Data Entry'!D13</f>
        <v>2</v>
      </c>
      <c r="F13" s="34">
        <f>IF(((AND($D$70&gt;0,$E$13&gt;0))),($E$13/($D$70)),0)</f>
        <v>100</v>
      </c>
      <c r="G13" s="39" t="str">
        <f t="shared" si="7"/>
        <v>**</v>
      </c>
      <c r="H13" s="40"/>
      <c r="I13" s="41"/>
      <c r="J13" s="40">
        <f>IF((ABS($U13)&gt;Defaults!D$7),1,2)</f>
        <v>2</v>
      </c>
      <c r="K13" s="39">
        <f>IF((AND(N13&gt;Defaults!B$12,(N13+O13)&gt;Defaults!B$13, P13 &gt; Defaults!B$12, (P13+Q13) &gt; Defaults!B$13)),1,20)</f>
        <v>20</v>
      </c>
      <c r="L13" s="1">
        <f t="shared" si="8"/>
        <v>40</v>
      </c>
      <c r="M13" s="1" t="b">
        <f t="shared" si="0"/>
        <v>1</v>
      </c>
      <c r="N13" s="42">
        <f t="shared" si="1"/>
        <v>2</v>
      </c>
      <c r="O13" s="42">
        <f>(D70*L70)-E13</f>
        <v>0</v>
      </c>
      <c r="P13" s="42">
        <f t="shared" si="2"/>
        <v>24</v>
      </c>
      <c r="Q13" s="42">
        <f>(C70*L70)-C13</f>
        <v>-3</v>
      </c>
      <c r="R13" s="42">
        <f t="shared" si="3"/>
        <v>23</v>
      </c>
      <c r="S13" s="30">
        <f t="shared" si="4"/>
        <v>828</v>
      </c>
      <c r="T13" s="30">
        <f t="shared" si="5"/>
        <v>-3276</v>
      </c>
      <c r="U13" s="31">
        <f t="shared" si="6"/>
        <v>-0.25274725274725274</v>
      </c>
    </row>
    <row r="14" spans="2:21" ht="30.75" customHeight="1" x14ac:dyDescent="0.25">
      <c r="B14" s="32" t="str">
        <f>'Data Entry'!A14</f>
        <v xml:space="preserve">9. Cases Resulting in Confinement in Secure Juvenile Correctional Facilities </v>
      </c>
      <c r="C14" s="33">
        <f>'Data Entry'!C14</f>
        <v>2</v>
      </c>
      <c r="D14" s="34">
        <f>IF(((AND(C70&gt;0,C14&gt;0))), ((C14/(C70))),0)</f>
        <v>9.5238095238095237</v>
      </c>
      <c r="E14" s="33">
        <f>'Data Entry'!D14</f>
        <v>0</v>
      </c>
      <c r="F14" s="34">
        <f>IF(((AND($D$70&gt;0,$E$14&gt;0))), (($E$14/($D$70))),0)</f>
        <v>0</v>
      </c>
      <c r="G14" s="39" t="str">
        <f t="shared" si="7"/>
        <v>**</v>
      </c>
      <c r="H14" s="40"/>
      <c r="I14" s="41"/>
      <c r="J14" s="40">
        <f>IF((ABS($U14)&gt;Defaults!D$7),1,2)</f>
        <v>2</v>
      </c>
      <c r="K14" s="39">
        <f>IF((AND(N14&gt;Defaults!B$12,(N14+O14)&gt;Defaults!B$13, P14 &gt; Defaults!B$12, (P14+Q14) &gt; Defaults!B$13)),1,20)</f>
        <v>20</v>
      </c>
      <c r="L14" s="1">
        <f t="shared" si="8"/>
        <v>40</v>
      </c>
      <c r="M14" s="1" t="b">
        <f t="shared" si="0"/>
        <v>1</v>
      </c>
      <c r="N14" s="42">
        <f t="shared" si="1"/>
        <v>0</v>
      </c>
      <c r="O14" s="42">
        <f>(D70*L70)-E14</f>
        <v>2</v>
      </c>
      <c r="P14" s="42">
        <f t="shared" si="2"/>
        <v>2</v>
      </c>
      <c r="Q14" s="42">
        <f>(C70*L70)-C14</f>
        <v>19</v>
      </c>
      <c r="R14" s="42">
        <f t="shared" si="3"/>
        <v>23</v>
      </c>
      <c r="S14" s="30">
        <f t="shared" si="4"/>
        <v>368</v>
      </c>
      <c r="T14" s="30">
        <f t="shared" si="5"/>
        <v>1764</v>
      </c>
      <c r="U14" s="31">
        <f t="shared" si="6"/>
        <v>0.20861678004535147</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2</v>
      </c>
      <c r="P15" s="42">
        <f t="shared" si="2"/>
        <v>0</v>
      </c>
      <c r="Q15" s="42">
        <f>(C69*L69)-C15</f>
        <v>64</v>
      </c>
      <c r="R15" s="42">
        <f t="shared" si="3"/>
        <v>66</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15.635999999999999</v>
      </c>
      <c r="D42" s="56">
        <f>E6/1000</f>
        <v>0.188</v>
      </c>
      <c r="E42" s="56">
        <f>MAX(C42:D42)</f>
        <v>15.635999999999999</v>
      </c>
      <c r="G42" s="1" t="str">
        <f>B42</f>
        <v>per 1000 youth</v>
      </c>
      <c r="L42" s="57">
        <v>1000</v>
      </c>
      <c r="M42" s="57"/>
      <c r="R42" s="49"/>
    </row>
    <row r="43" spans="2:18" ht="15" hidden="1" customHeight="1" x14ac:dyDescent="0.25">
      <c r="B43" s="49" t="s">
        <v>87</v>
      </c>
      <c r="C43" s="56">
        <f>C7/100</f>
        <v>0.11</v>
      </c>
      <c r="D43" s="56">
        <f>E7/100</f>
        <v>0.03</v>
      </c>
      <c r="E43" s="56">
        <f>MAX(C43:D43,0)</f>
        <v>0.11</v>
      </c>
      <c r="G43" s="1" t="str">
        <f>B43</f>
        <v>per 100 arrests</v>
      </c>
      <c r="L43" s="57">
        <v>100</v>
      </c>
      <c r="M43" s="57"/>
      <c r="R43" s="49"/>
    </row>
    <row r="44" spans="2:18" ht="15" hidden="1" customHeight="1" x14ac:dyDescent="0.25">
      <c r="B44" s="49" t="s">
        <v>88</v>
      </c>
      <c r="C44" s="56">
        <f>C8/100</f>
        <v>0.96</v>
      </c>
      <c r="D44" s="56">
        <f>E8/100</f>
        <v>0.04</v>
      </c>
      <c r="E44" s="56">
        <f>MAX(C44:D44,0)</f>
        <v>0.96</v>
      </c>
      <c r="G44" s="1" t="str">
        <f>B44</f>
        <v>per 100 referrals</v>
      </c>
      <c r="L44" s="57">
        <v>100</v>
      </c>
      <c r="M44" s="57"/>
      <c r="R44" s="49"/>
    </row>
    <row r="45" spans="2:18" ht="15" hidden="1" customHeight="1" x14ac:dyDescent="0.25">
      <c r="B45" s="49" t="s">
        <v>89</v>
      </c>
      <c r="C45" s="49">
        <f>C11/100</f>
        <v>0.64</v>
      </c>
      <c r="D45" s="49">
        <f>E11/100</f>
        <v>0.02</v>
      </c>
      <c r="E45" s="56">
        <f>MAX(C45:D45,0)</f>
        <v>0.64</v>
      </c>
      <c r="G45" s="1" t="str">
        <f>B45</f>
        <v>per 100 youth petitioned</v>
      </c>
      <c r="L45" s="57">
        <v>100</v>
      </c>
      <c r="M45" s="57"/>
      <c r="R45" s="49"/>
    </row>
    <row r="46" spans="2:18" ht="15" hidden="1" customHeight="1" x14ac:dyDescent="0.25">
      <c r="B46" s="49" t="s">
        <v>90</v>
      </c>
      <c r="C46" s="49">
        <f>C12/100</f>
        <v>0.21</v>
      </c>
      <c r="D46" s="49">
        <f>E12/100</f>
        <v>0.02</v>
      </c>
      <c r="E46" s="56">
        <f>MAX(C46:D46)</f>
        <v>0.21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15.635999999999999</v>
      </c>
      <c r="D48" s="56">
        <f>D42</f>
        <v>0.188</v>
      </c>
      <c r="E48" s="56">
        <f>MAX(C48:D48)</f>
        <v>15.635999999999999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0.11</v>
      </c>
      <c r="D49" s="49">
        <f t="shared" si="9"/>
        <v>0.03</v>
      </c>
      <c r="E49" s="49">
        <f>MAX(C49:D49)</f>
        <v>0.11</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0.96</v>
      </c>
      <c r="D50" s="49">
        <f t="shared" si="9"/>
        <v>0.04</v>
      </c>
      <c r="E50" s="49">
        <f>MAX(C50:D50)</f>
        <v>0.96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0.64</v>
      </c>
      <c r="D51" s="49">
        <f>IF(($E45&gt;0),D45,D44)</f>
        <v>0.02</v>
      </c>
      <c r="E51" s="49">
        <f>MAX(C51:D51)</f>
        <v>0.64</v>
      </c>
      <c r="G51" s="1" t="str">
        <f>G45</f>
        <v>per 100 youth petitioned</v>
      </c>
      <c r="L51" s="58">
        <f>IF(($E45&gt;0),L45,L44)</f>
        <v>100</v>
      </c>
      <c r="M51" s="58"/>
    </row>
    <row r="52" spans="2:18" ht="15" hidden="1" customHeight="1" x14ac:dyDescent="0.25">
      <c r="B52" s="49" t="str">
        <f>IF(($E46&gt;0),B46,B45)</f>
        <v>per 100 youth found delinquent</v>
      </c>
      <c r="C52" s="49">
        <f>IF(($E46&gt;0),C46,C45)</f>
        <v>0.21</v>
      </c>
      <c r="D52" s="49">
        <f>IF(($E46&gt;0),D46,D45)</f>
        <v>0.02</v>
      </c>
      <c r="E52" s="56">
        <f>MAX(C52:D52)</f>
        <v>0.21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15.635999999999999</v>
      </c>
      <c r="D54" s="56">
        <f>D48</f>
        <v>0.188</v>
      </c>
      <c r="E54" s="56">
        <f>MAX(C54:D54)</f>
        <v>15.635999999999999</v>
      </c>
      <c r="G54" s="1" t="str">
        <f>G48</f>
        <v>per 1000 youth</v>
      </c>
      <c r="L54" s="58">
        <f>L48</f>
        <v>1000</v>
      </c>
      <c r="M54" s="58"/>
    </row>
    <row r="55" spans="2:18" ht="15" hidden="1" customHeight="1" x14ac:dyDescent="0.25">
      <c r="B55" s="49" t="str">
        <f t="shared" ref="B55:D56" si="10">IF(($E49&gt;0),B49,B48)</f>
        <v>per 100 arrests</v>
      </c>
      <c r="C55" s="49">
        <f t="shared" si="10"/>
        <v>0.11</v>
      </c>
      <c r="D55" s="49">
        <f t="shared" si="10"/>
        <v>0.03</v>
      </c>
      <c r="E55" s="49">
        <f>MAX(C55:D55)</f>
        <v>0.11</v>
      </c>
      <c r="G55" s="1" t="str">
        <f>G49</f>
        <v>per 100 arrests</v>
      </c>
      <c r="L55" s="58">
        <f>IF(($E49&gt;0),L49,L48)</f>
        <v>100</v>
      </c>
      <c r="M55" s="58"/>
    </row>
    <row r="56" spans="2:18" ht="15" hidden="1" customHeight="1" x14ac:dyDescent="0.25">
      <c r="B56" s="49" t="str">
        <f t="shared" si="10"/>
        <v>per 100 referrals</v>
      </c>
      <c r="C56" s="49">
        <f t="shared" si="10"/>
        <v>0.96</v>
      </c>
      <c r="D56" s="49">
        <f t="shared" si="10"/>
        <v>0.04</v>
      </c>
      <c r="E56" s="49">
        <f>MAX(C56:D56)</f>
        <v>0.96</v>
      </c>
      <c r="G56" s="1" t="str">
        <f>G50</f>
        <v>per 100 referrals</v>
      </c>
      <c r="L56" s="58">
        <f>IF(($E50&gt;0),L50,L49)</f>
        <v>100</v>
      </c>
      <c r="M56" s="58"/>
    </row>
    <row r="57" spans="2:18" ht="15" hidden="1" customHeight="1" x14ac:dyDescent="0.25">
      <c r="B57" s="49" t="str">
        <f>IF(($E51&gt;0),B51,B49)</f>
        <v>per 100 youth petitioned</v>
      </c>
      <c r="C57" s="49">
        <f>IF(($E51&gt;0),C51,C50)</f>
        <v>0.64</v>
      </c>
      <c r="D57" s="49">
        <f>IF(($E51&gt;0),D51,D50)</f>
        <v>0.02</v>
      </c>
      <c r="E57" s="49">
        <f>MAX(C57:D57)</f>
        <v>0.64</v>
      </c>
      <c r="G57" s="1" t="str">
        <f>G51</f>
        <v>per 100 youth petitioned</v>
      </c>
      <c r="L57" s="58">
        <f>IF(($E51&gt;0),L51,L50)</f>
        <v>100</v>
      </c>
      <c r="M57" s="58"/>
    </row>
    <row r="58" spans="2:18" ht="15" hidden="1" customHeight="1" x14ac:dyDescent="0.25">
      <c r="B58" s="49" t="str">
        <f>IF(($E52&gt;0),B52,B51)</f>
        <v>per 100 youth found delinquent</v>
      </c>
      <c r="C58" s="49">
        <f>IF(($E52&gt;0),C52,C51)</f>
        <v>0.21</v>
      </c>
      <c r="D58" s="49">
        <f>IF(($E52&gt;0),D52,D51)</f>
        <v>0.02</v>
      </c>
      <c r="E58" s="56">
        <f>MAX(C58:D58)</f>
        <v>0.21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15.635999999999999</v>
      </c>
      <c r="D60" s="56">
        <f>D54</f>
        <v>0.188</v>
      </c>
      <c r="E60" s="56">
        <f>MAX(C60:D60)</f>
        <v>15.635999999999999</v>
      </c>
      <c r="G60" s="1" t="str">
        <f>G54</f>
        <v>per 1000 youth</v>
      </c>
      <c r="L60" s="58">
        <f>L54</f>
        <v>1000</v>
      </c>
      <c r="M60" s="58"/>
    </row>
    <row r="61" spans="2:18" ht="15" hidden="1" customHeight="1" x14ac:dyDescent="0.25">
      <c r="B61" s="49" t="str">
        <f t="shared" ref="B61:D62" si="11">IF(($E55&gt;0),B55,B54)</f>
        <v>per 100 arrests</v>
      </c>
      <c r="C61" s="49">
        <f t="shared" si="11"/>
        <v>0.11</v>
      </c>
      <c r="D61" s="49">
        <f t="shared" si="11"/>
        <v>0.03</v>
      </c>
      <c r="E61" s="49">
        <f>MAX(C61:D61)</f>
        <v>0.11</v>
      </c>
      <c r="G61" s="1" t="str">
        <f>G55</f>
        <v>per 100 arrests</v>
      </c>
      <c r="L61" s="58">
        <f>IF(($E55&gt;0),L55,L54)</f>
        <v>100</v>
      </c>
      <c r="M61" s="58"/>
    </row>
    <row r="62" spans="2:18" ht="15" hidden="1" customHeight="1" x14ac:dyDescent="0.25">
      <c r="B62" s="49" t="str">
        <f t="shared" si="11"/>
        <v>per 100 referrals</v>
      </c>
      <c r="C62" s="49">
        <f t="shared" si="11"/>
        <v>0.96</v>
      </c>
      <c r="D62" s="49">
        <f t="shared" si="11"/>
        <v>0.04</v>
      </c>
      <c r="E62" s="49">
        <f>MAX(C62:D62)</f>
        <v>0.96</v>
      </c>
      <c r="G62" s="1" t="str">
        <f>G56</f>
        <v>per 100 referrals</v>
      </c>
      <c r="L62" s="58">
        <f>IF(($E56&gt;0),L56,L55)</f>
        <v>100</v>
      </c>
      <c r="M62" s="58"/>
    </row>
    <row r="63" spans="2:18" ht="15" hidden="1" customHeight="1" x14ac:dyDescent="0.25">
      <c r="B63" s="49" t="str">
        <f>IF(($E57&gt;0),B57,B55)</f>
        <v>per 100 youth petitioned</v>
      </c>
      <c r="C63" s="49">
        <f>IF(($E57&gt;0),C57,C56)</f>
        <v>0.64</v>
      </c>
      <c r="D63" s="49">
        <f>IF(($E57&gt;0),D57,D56)</f>
        <v>0.02</v>
      </c>
      <c r="E63" s="49">
        <f>MAX(C63:D63)</f>
        <v>0.64</v>
      </c>
      <c r="G63" s="1" t="str">
        <f>G57</f>
        <v>per 100 youth petitioned</v>
      </c>
      <c r="L63" s="58">
        <f>IF(($E57&gt;0),L57,L56)</f>
        <v>100</v>
      </c>
      <c r="M63" s="58"/>
    </row>
    <row r="64" spans="2:18" ht="15" hidden="1" customHeight="1" x14ac:dyDescent="0.25">
      <c r="B64" s="49" t="str">
        <f>IF(($E58&gt;0),B58,B57)</f>
        <v>per 100 youth found delinquent</v>
      </c>
      <c r="C64" s="49">
        <f>IF(($E58&gt;0),C58,C57)</f>
        <v>0.21</v>
      </c>
      <c r="D64" s="49">
        <f>IF(($E58&gt;0),D58,D57)</f>
        <v>0.02</v>
      </c>
      <c r="E64" s="56">
        <f>MAX(C64:D64)</f>
        <v>0.21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15.635999999999999</v>
      </c>
      <c r="D66" s="56">
        <f>D60</f>
        <v>0.188</v>
      </c>
      <c r="E66" s="56">
        <f>MAX(C66:D66)</f>
        <v>15.635999999999999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0.11</v>
      </c>
      <c r="D67" s="49">
        <f t="shared" si="12"/>
        <v>0.03</v>
      </c>
      <c r="E67" s="49">
        <f>MAX(C67:D67)</f>
        <v>0.11</v>
      </c>
      <c r="G67" s="1" t="str">
        <f>G61</f>
        <v>per 100 arrests</v>
      </c>
      <c r="L67" s="58">
        <f>IF(($E61&gt;0),L61,L60)</f>
        <v>100</v>
      </c>
      <c r="M67" s="58">
        <f>IF((B67=G67),1,2)</f>
        <v>1</v>
      </c>
    </row>
    <row r="68" spans="2:13" ht="15" hidden="1" customHeight="1" x14ac:dyDescent="0.25">
      <c r="B68" s="49" t="str">
        <f t="shared" si="12"/>
        <v>per 100 referrals</v>
      </c>
      <c r="C68" s="49">
        <f t="shared" si="12"/>
        <v>0.96</v>
      </c>
      <c r="D68" s="49">
        <f t="shared" si="12"/>
        <v>0.04</v>
      </c>
      <c r="E68" s="49">
        <f>MAX(C68:D68)</f>
        <v>0.96</v>
      </c>
      <c r="G68" s="1" t="str">
        <f>G62</f>
        <v>per 100 referrals</v>
      </c>
      <c r="L68" s="58">
        <f>IF(($E62&gt;0),L62,L61)</f>
        <v>100</v>
      </c>
      <c r="M68" s="58">
        <f>IF((B68=G68),1,2)</f>
        <v>1</v>
      </c>
    </row>
    <row r="69" spans="2:13" ht="15" hidden="1" customHeight="1" x14ac:dyDescent="0.25">
      <c r="B69" s="49" t="str">
        <f>IF(($E63&gt;0),B63,B61)</f>
        <v>per 100 youth petitioned</v>
      </c>
      <c r="C69" s="49">
        <f>IF(($E63&gt;0),C63,C62)</f>
        <v>0.64</v>
      </c>
      <c r="D69" s="49">
        <f>IF(($E63&gt;0),D63,D62)</f>
        <v>0.02</v>
      </c>
      <c r="E69" s="49">
        <f>MAX(C69:D69)</f>
        <v>0.64</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0.21</v>
      </c>
      <c r="D70" s="49">
        <f>IF(($E64&gt;0),D64,D63)</f>
        <v>0.02</v>
      </c>
      <c r="E70" s="56">
        <f>MAX(C70:D70)</f>
        <v>0.21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Livingston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15636</v>
      </c>
      <c r="D6" s="34"/>
      <c r="E6" s="33">
        <f>'Data Entry'!F6</f>
        <v>216</v>
      </c>
      <c r="F6" s="34"/>
      <c r="G6" s="35"/>
      <c r="H6" s="36"/>
      <c r="I6" s="37"/>
      <c r="J6" s="38"/>
      <c r="K6" s="37"/>
      <c r="L6" s="1">
        <f>IF( ('Data Entry'!F6&gt;('Data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11</v>
      </c>
      <c r="D7" s="34">
        <f>IF((AND(C66&gt;0,C7&gt;0)),(C7/C66),0)</f>
        <v>0.70350473266820157</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216</v>
      </c>
      <c r="P7" s="42">
        <f t="shared" ref="P7:P15" si="4">C7</f>
        <v>11</v>
      </c>
      <c r="Q7" s="42">
        <f>C6-C7</f>
        <v>15625</v>
      </c>
      <c r="R7" s="42">
        <f t="shared" ref="R7:R15" si="5">SUM(N7:Q7)</f>
        <v>15852</v>
      </c>
      <c r="S7" s="30">
        <f t="shared" ref="S7:S15" si="6">R7*((((N7*Q7)-(O7*P7))^2))</f>
        <v>89490500352</v>
      </c>
      <c r="T7" s="30">
        <f t="shared" ref="T7:T15" si="7">(N7+O7)*(P7+Q7)*(N7+P7)*(O7+Q7)</f>
        <v>588511145376</v>
      </c>
      <c r="U7" s="31">
        <f t="shared" ref="U7:U15" si="8">IF((S7&gt;0),S7/T7,"- -")</f>
        <v>0.1520625413046757</v>
      </c>
    </row>
    <row r="8" spans="2:21" ht="18" customHeight="1" x14ac:dyDescent="0.25">
      <c r="B8" s="32" t="str">
        <f>'Data Entry'!A8</f>
        <v>3. Refer to Juvenile Court</v>
      </c>
      <c r="C8" s="33">
        <f>'Data Entry'!C8</f>
        <v>96</v>
      </c>
      <c r="D8" s="34">
        <f>IF((AND(C67&gt;0,C8&gt;0)),(C8/C67),0)</f>
        <v>872.72727272727275</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96</v>
      </c>
      <c r="Q8" s="42">
        <f>(C$67*L67)-C8</f>
        <v>-85</v>
      </c>
      <c r="R8" s="42">
        <f t="shared" si="5"/>
        <v>11.049999999999997</v>
      </c>
      <c r="S8" s="30">
        <f t="shared" si="6"/>
        <v>254.59200000000001</v>
      </c>
      <c r="T8" s="30">
        <f t="shared" si="7"/>
        <v>-4485.3600000000006</v>
      </c>
      <c r="U8" s="31">
        <f t="shared" si="8"/>
        <v>-5.6760661351597193E-2</v>
      </c>
    </row>
    <row r="9" spans="2:21" ht="18" customHeight="1" x14ac:dyDescent="0.25">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96</v>
      </c>
      <c r="R9" s="42">
        <f t="shared" si="5"/>
        <v>96</v>
      </c>
      <c r="S9" s="30">
        <f t="shared" si="6"/>
        <v>0</v>
      </c>
      <c r="T9" s="30">
        <f t="shared" si="7"/>
        <v>0</v>
      </c>
      <c r="U9" s="31" t="str">
        <f t="shared" si="8"/>
        <v>- -</v>
      </c>
    </row>
    <row r="10" spans="2:21" ht="18" customHeight="1" x14ac:dyDescent="0.25">
      <c r="B10" s="32" t="str">
        <f>'Data Entry'!A10</f>
        <v>5. Cases Involving Secure Detention</v>
      </c>
      <c r="C10" s="33">
        <f>'Data Entry'!C10</f>
        <v>9</v>
      </c>
      <c r="D10" s="34">
        <f>IF(((AND(C68&gt;0,C10&gt;0))),(C10/(C68)),0)</f>
        <v>9.375</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9</v>
      </c>
      <c r="Q10" s="42">
        <f>(C$68*L68)-C10</f>
        <v>87</v>
      </c>
      <c r="R10" s="42">
        <f t="shared" si="5"/>
        <v>96</v>
      </c>
      <c r="S10" s="30">
        <f t="shared" si="6"/>
        <v>0</v>
      </c>
      <c r="T10" s="30">
        <f t="shared" si="7"/>
        <v>0</v>
      </c>
      <c r="U10" s="31" t="str">
        <f t="shared" si="8"/>
        <v>- -</v>
      </c>
    </row>
    <row r="11" spans="2:21" ht="18" customHeight="1" x14ac:dyDescent="0.25">
      <c r="B11" s="32" t="str">
        <f>'Data Entry'!A11</f>
        <v>6. Cases Petitioned (Charge Filed)</v>
      </c>
      <c r="C11" s="33">
        <f>'Data Entry'!C11</f>
        <v>64</v>
      </c>
      <c r="D11" s="34">
        <f>IF(((AND(C68&gt;0,C11&gt;0))),(C11/(C68)),0)</f>
        <v>66.666666666666671</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64</v>
      </c>
      <c r="Q11" s="42">
        <f>(C$68*L68)-C11</f>
        <v>32</v>
      </c>
      <c r="R11" s="42">
        <f t="shared" si="5"/>
        <v>96</v>
      </c>
      <c r="S11" s="30">
        <f t="shared" si="6"/>
        <v>0</v>
      </c>
      <c r="T11" s="30">
        <f t="shared" si="7"/>
        <v>0</v>
      </c>
      <c r="U11" s="31" t="str">
        <f t="shared" si="8"/>
        <v>- -</v>
      </c>
    </row>
    <row r="12" spans="2:21" ht="18" customHeight="1" x14ac:dyDescent="0.25">
      <c r="B12" s="32" t="str">
        <f>'Data Entry'!A12</f>
        <v>7. Cases Resulting in Delinquent Findings</v>
      </c>
      <c r="C12" s="33">
        <f>'Data Entry'!C12</f>
        <v>21</v>
      </c>
      <c r="D12" s="34">
        <f>IF(((AND(C69&gt;0,C12&gt;0))),(C12/(C69)),0)</f>
        <v>32.8125</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21</v>
      </c>
      <c r="Q12" s="42">
        <f>(C69*L69)-C12</f>
        <v>43</v>
      </c>
      <c r="R12" s="42">
        <f t="shared" si="5"/>
        <v>64</v>
      </c>
      <c r="S12" s="30">
        <f t="shared" si="6"/>
        <v>0</v>
      </c>
      <c r="T12" s="30">
        <f t="shared" si="7"/>
        <v>0</v>
      </c>
      <c r="U12" s="31" t="str">
        <f t="shared" si="8"/>
        <v>- -</v>
      </c>
    </row>
    <row r="13" spans="2:21" ht="18" customHeight="1" x14ac:dyDescent="0.25">
      <c r="B13" s="32" t="str">
        <f>'Data Entry'!A13</f>
        <v>8. Cases Resulting in Probation Placement</v>
      </c>
      <c r="C13" s="33">
        <f>'Data Entry'!C13</f>
        <v>24</v>
      </c>
      <c r="D13" s="34">
        <f>IF(((AND(C70&gt;0,C13&gt;0))),(C13/(C70)),0)</f>
        <v>114.28571428571429</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24</v>
      </c>
      <c r="Q13" s="42">
        <f>(C70*L70)-C13</f>
        <v>-3</v>
      </c>
      <c r="R13" s="42">
        <f t="shared" si="5"/>
        <v>21</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2</v>
      </c>
      <c r="D14" s="34">
        <f>IF(((AND(C70&gt;0,C14&gt;0))), ((C14/(C70))),0)</f>
        <v>9.5238095238095237</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19</v>
      </c>
      <c r="R14" s="42">
        <f t="shared" si="5"/>
        <v>21</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64</v>
      </c>
      <c r="R15" s="42">
        <f t="shared" si="5"/>
        <v>64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15.635999999999999</v>
      </c>
      <c r="D42" s="56">
        <f>E6/1000</f>
        <v>0.216</v>
      </c>
      <c r="E42" s="56">
        <f>MAX(C42:D42)</f>
        <v>15.635999999999999</v>
      </c>
      <c r="G42" s="1" t="str">
        <f>B42</f>
        <v>per 1000 youth</v>
      </c>
      <c r="L42" s="57">
        <v>1000</v>
      </c>
      <c r="M42" s="57"/>
      <c r="R42" s="49"/>
    </row>
    <row r="43" spans="2:18" ht="15" hidden="1" customHeight="1" x14ac:dyDescent="0.25">
      <c r="B43" s="49" t="s">
        <v>87</v>
      </c>
      <c r="C43" s="56">
        <f>C7/100</f>
        <v>0.11</v>
      </c>
      <c r="D43" s="56">
        <f>E7/100</f>
        <v>0</v>
      </c>
      <c r="E43" s="56">
        <f>MAX(C43:D43,0)</f>
        <v>0.11</v>
      </c>
      <c r="G43" s="1" t="str">
        <f>B43</f>
        <v>per 100 arrests</v>
      </c>
      <c r="L43" s="57">
        <v>100</v>
      </c>
      <c r="M43" s="57"/>
      <c r="R43" s="49"/>
    </row>
    <row r="44" spans="2:18" ht="15" hidden="1" customHeight="1" x14ac:dyDescent="0.25">
      <c r="B44" s="49" t="s">
        <v>88</v>
      </c>
      <c r="C44" s="56">
        <f>C8/100</f>
        <v>0.96</v>
      </c>
      <c r="D44" s="56">
        <f>E8/100</f>
        <v>0</v>
      </c>
      <c r="E44" s="56">
        <f>MAX(C44:D44,0)</f>
        <v>0.96</v>
      </c>
      <c r="G44" s="1" t="str">
        <f>B44</f>
        <v>per 100 referrals</v>
      </c>
      <c r="L44" s="57">
        <v>100</v>
      </c>
      <c r="M44" s="57"/>
      <c r="R44" s="49"/>
    </row>
    <row r="45" spans="2:18" ht="15" hidden="1" customHeight="1" x14ac:dyDescent="0.25">
      <c r="B45" s="49" t="s">
        <v>89</v>
      </c>
      <c r="C45" s="49">
        <f>C11/100</f>
        <v>0.64</v>
      </c>
      <c r="D45" s="49">
        <f>E11/100</f>
        <v>0</v>
      </c>
      <c r="E45" s="56">
        <f>MAX(C45:D45,0)</f>
        <v>0.64</v>
      </c>
      <c r="G45" s="1" t="str">
        <f>B45</f>
        <v>per 100 youth petitioned</v>
      </c>
      <c r="L45" s="57">
        <v>100</v>
      </c>
      <c r="M45" s="57"/>
      <c r="R45" s="49"/>
    </row>
    <row r="46" spans="2:18" ht="15" hidden="1" customHeight="1" x14ac:dyDescent="0.25">
      <c r="B46" s="49" t="s">
        <v>90</v>
      </c>
      <c r="C46" s="49">
        <f>C12/100</f>
        <v>0.21</v>
      </c>
      <c r="D46" s="49">
        <f>E12/100</f>
        <v>0</v>
      </c>
      <c r="E46" s="56">
        <f>MAX(C46:D46)</f>
        <v>0.21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15.635999999999999</v>
      </c>
      <c r="D48" s="56">
        <f>D42</f>
        <v>0.216</v>
      </c>
      <c r="E48" s="56">
        <f>MAX(C48:D48)</f>
        <v>15.635999999999999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0.11</v>
      </c>
      <c r="D49" s="49">
        <f t="shared" si="9"/>
        <v>0</v>
      </c>
      <c r="E49" s="49">
        <f>MAX(C49:D49)</f>
        <v>0.11</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0.96</v>
      </c>
      <c r="D50" s="49">
        <f t="shared" si="9"/>
        <v>0</v>
      </c>
      <c r="E50" s="49">
        <f>MAX(C50:D50)</f>
        <v>0.96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0.64</v>
      </c>
      <c r="D51" s="49">
        <f>IF(($E45&gt;0),D45,D44)</f>
        <v>0</v>
      </c>
      <c r="E51" s="49">
        <f>MAX(C51:D51)</f>
        <v>0.64</v>
      </c>
      <c r="G51" s="1" t="str">
        <f>G45</f>
        <v>per 100 youth petitioned</v>
      </c>
      <c r="L51" s="58">
        <f>IF(($E45&gt;0),L45,L44)</f>
        <v>100</v>
      </c>
      <c r="M51" s="58"/>
    </row>
    <row r="52" spans="2:18" ht="15" hidden="1" customHeight="1" x14ac:dyDescent="0.25">
      <c r="B52" s="49" t="str">
        <f>IF(($E46&gt;0),B46,B45)</f>
        <v>per 100 youth found delinquent</v>
      </c>
      <c r="C52" s="49">
        <f>IF(($E46&gt;0),C46,C45)</f>
        <v>0.21</v>
      </c>
      <c r="D52" s="49">
        <f>IF(($E46&gt;0),D46,D45)</f>
        <v>0</v>
      </c>
      <c r="E52" s="56">
        <f>MAX(C52:D52)</f>
        <v>0.21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15.635999999999999</v>
      </c>
      <c r="D54" s="56">
        <f>D48</f>
        <v>0.216</v>
      </c>
      <c r="E54" s="56">
        <f>MAX(C54:D54)</f>
        <v>15.635999999999999</v>
      </c>
      <c r="G54" s="1" t="str">
        <f>G48</f>
        <v>per 1000 youth</v>
      </c>
      <c r="L54" s="58">
        <f>L48</f>
        <v>1000</v>
      </c>
      <c r="M54" s="58"/>
    </row>
    <row r="55" spans="2:18" ht="15" hidden="1" customHeight="1" x14ac:dyDescent="0.25">
      <c r="B55" s="49" t="str">
        <f t="shared" ref="B55:D56" si="10">IF(($E49&gt;0),B49,B48)</f>
        <v>per 100 arrests</v>
      </c>
      <c r="C55" s="49">
        <f t="shared" si="10"/>
        <v>0.11</v>
      </c>
      <c r="D55" s="49">
        <f t="shared" si="10"/>
        <v>0</v>
      </c>
      <c r="E55" s="49">
        <f>MAX(C55:D55)</f>
        <v>0.11</v>
      </c>
      <c r="G55" s="1" t="str">
        <f>G49</f>
        <v>per 100 arrests</v>
      </c>
      <c r="L55" s="58">
        <f>IF(($E49&gt;0),L49,L48)</f>
        <v>100</v>
      </c>
      <c r="M55" s="58"/>
    </row>
    <row r="56" spans="2:18" ht="15" hidden="1" customHeight="1" x14ac:dyDescent="0.25">
      <c r="B56" s="49" t="str">
        <f t="shared" si="10"/>
        <v>per 100 referrals</v>
      </c>
      <c r="C56" s="49">
        <f t="shared" si="10"/>
        <v>0.96</v>
      </c>
      <c r="D56" s="49">
        <f t="shared" si="10"/>
        <v>0</v>
      </c>
      <c r="E56" s="49">
        <f>MAX(C56:D56)</f>
        <v>0.96</v>
      </c>
      <c r="G56" s="1" t="str">
        <f>G50</f>
        <v>per 100 referrals</v>
      </c>
      <c r="L56" s="58">
        <f>IF(($E50&gt;0),L50,L49)</f>
        <v>100</v>
      </c>
      <c r="M56" s="58"/>
    </row>
    <row r="57" spans="2:18" ht="15" hidden="1" customHeight="1" x14ac:dyDescent="0.25">
      <c r="B57" s="49" t="str">
        <f>IF(($E51&gt;0),B51,B49)</f>
        <v>per 100 youth petitioned</v>
      </c>
      <c r="C57" s="49">
        <f>IF(($E51&gt;0),C51,C50)</f>
        <v>0.64</v>
      </c>
      <c r="D57" s="49">
        <f>IF(($E51&gt;0),D51,D50)</f>
        <v>0</v>
      </c>
      <c r="E57" s="49">
        <f>MAX(C57:D57)</f>
        <v>0.64</v>
      </c>
      <c r="G57" s="1" t="str">
        <f>G51</f>
        <v>per 100 youth petitioned</v>
      </c>
      <c r="L57" s="58">
        <f>IF(($E51&gt;0),L51,L50)</f>
        <v>100</v>
      </c>
      <c r="M57" s="58"/>
    </row>
    <row r="58" spans="2:18" ht="15" hidden="1" customHeight="1" x14ac:dyDescent="0.25">
      <c r="B58" s="49" t="str">
        <f>IF(($E52&gt;0),B52,B51)</f>
        <v>per 100 youth found delinquent</v>
      </c>
      <c r="C58" s="49">
        <f>IF(($E52&gt;0),C52,C51)</f>
        <v>0.21</v>
      </c>
      <c r="D58" s="49">
        <f>IF(($E52&gt;0),D52,D51)</f>
        <v>0</v>
      </c>
      <c r="E58" s="56">
        <f>MAX(C58:D58)</f>
        <v>0.21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15.635999999999999</v>
      </c>
      <c r="D60" s="56">
        <f>D54</f>
        <v>0.216</v>
      </c>
      <c r="E60" s="56">
        <f>MAX(C60:D60)</f>
        <v>15.635999999999999</v>
      </c>
      <c r="G60" s="1" t="str">
        <f>G54</f>
        <v>per 1000 youth</v>
      </c>
      <c r="L60" s="58">
        <f>L54</f>
        <v>1000</v>
      </c>
      <c r="M60" s="58"/>
    </row>
    <row r="61" spans="2:18" ht="15" hidden="1" customHeight="1" x14ac:dyDescent="0.25">
      <c r="B61" s="49" t="str">
        <f t="shared" ref="B61:D62" si="11">IF(($E55&gt;0),B55,B54)</f>
        <v>per 100 arrests</v>
      </c>
      <c r="C61" s="49">
        <f t="shared" si="11"/>
        <v>0.11</v>
      </c>
      <c r="D61" s="49">
        <f t="shared" si="11"/>
        <v>0</v>
      </c>
      <c r="E61" s="49">
        <f>MAX(C61:D61)</f>
        <v>0.11</v>
      </c>
      <c r="G61" s="1" t="str">
        <f>G55</f>
        <v>per 100 arrests</v>
      </c>
      <c r="L61" s="58">
        <f>IF(($E55&gt;0),L55,L54)</f>
        <v>100</v>
      </c>
      <c r="M61" s="58"/>
    </row>
    <row r="62" spans="2:18" ht="15" hidden="1" customHeight="1" x14ac:dyDescent="0.25">
      <c r="B62" s="49" t="str">
        <f t="shared" si="11"/>
        <v>per 100 referrals</v>
      </c>
      <c r="C62" s="49">
        <f t="shared" si="11"/>
        <v>0.96</v>
      </c>
      <c r="D62" s="49">
        <f t="shared" si="11"/>
        <v>0</v>
      </c>
      <c r="E62" s="49">
        <f>MAX(C62:D62)</f>
        <v>0.96</v>
      </c>
      <c r="G62" s="1" t="str">
        <f>G56</f>
        <v>per 100 referrals</v>
      </c>
      <c r="L62" s="58">
        <f>IF(($E56&gt;0),L56,L55)</f>
        <v>100</v>
      </c>
      <c r="M62" s="58"/>
    </row>
    <row r="63" spans="2:18" ht="15" hidden="1" customHeight="1" x14ac:dyDescent="0.25">
      <c r="B63" s="49" t="str">
        <f>IF(($E57&gt;0),B57,B55)</f>
        <v>per 100 youth petitioned</v>
      </c>
      <c r="C63" s="49">
        <f>IF(($E57&gt;0),C57,C56)</f>
        <v>0.64</v>
      </c>
      <c r="D63" s="49">
        <f>IF(($E57&gt;0),D57,D56)</f>
        <v>0</v>
      </c>
      <c r="E63" s="49">
        <f>MAX(C63:D63)</f>
        <v>0.64</v>
      </c>
      <c r="G63" s="1" t="str">
        <f>G57</f>
        <v>per 100 youth petitioned</v>
      </c>
      <c r="L63" s="58">
        <f>IF(($E57&gt;0),L57,L56)</f>
        <v>100</v>
      </c>
      <c r="M63" s="58"/>
    </row>
    <row r="64" spans="2:18" ht="15" hidden="1" customHeight="1" x14ac:dyDescent="0.25">
      <c r="B64" s="49" t="str">
        <f>IF(($E58&gt;0),B58,B57)</f>
        <v>per 100 youth found delinquent</v>
      </c>
      <c r="C64" s="49">
        <f>IF(($E58&gt;0),C58,C57)</f>
        <v>0.21</v>
      </c>
      <c r="D64" s="49">
        <f>IF(($E58&gt;0),D58,D57)</f>
        <v>0</v>
      </c>
      <c r="E64" s="56">
        <f>MAX(C64:D64)</f>
        <v>0.21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15.635999999999999</v>
      </c>
      <c r="D66" s="56">
        <f>D60</f>
        <v>0.216</v>
      </c>
      <c r="E66" s="56">
        <f>MAX(C66:D66)</f>
        <v>15.635999999999999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0.11</v>
      </c>
      <c r="D67" s="49">
        <f t="shared" si="12"/>
        <v>0</v>
      </c>
      <c r="E67" s="49">
        <f>MAX(C67:D67)</f>
        <v>0.11</v>
      </c>
      <c r="G67" s="1" t="str">
        <f>G61</f>
        <v>per 100 arrests</v>
      </c>
      <c r="L67" s="58">
        <f>IF(($E61&gt;0),L61,L60)</f>
        <v>100</v>
      </c>
      <c r="M67" s="58">
        <f>IF((B67=G67),1,2)</f>
        <v>1</v>
      </c>
    </row>
    <row r="68" spans="2:13" ht="15" hidden="1" customHeight="1" x14ac:dyDescent="0.25">
      <c r="B68" s="49" t="str">
        <f t="shared" si="12"/>
        <v>per 100 referrals</v>
      </c>
      <c r="C68" s="49">
        <f t="shared" si="12"/>
        <v>0.96</v>
      </c>
      <c r="D68" s="49">
        <f t="shared" si="12"/>
        <v>0</v>
      </c>
      <c r="E68" s="49">
        <f>MAX(C68:D68)</f>
        <v>0.96</v>
      </c>
      <c r="G68" s="1" t="str">
        <f>G62</f>
        <v>per 100 referrals</v>
      </c>
      <c r="L68" s="58">
        <f>IF(($E62&gt;0),L62,L61)</f>
        <v>100</v>
      </c>
      <c r="M68" s="58">
        <f>IF((B68=G68),1,2)</f>
        <v>1</v>
      </c>
    </row>
    <row r="69" spans="2:13" ht="15" hidden="1" customHeight="1" x14ac:dyDescent="0.25">
      <c r="B69" s="49" t="str">
        <f>IF(($E63&gt;0),B63,B61)</f>
        <v>per 100 youth petitioned</v>
      </c>
      <c r="C69" s="49">
        <f>IF(($E63&gt;0),C63,C62)</f>
        <v>0.64</v>
      </c>
      <c r="D69" s="49">
        <f>IF(($E63&gt;0),D63,D62)</f>
        <v>0</v>
      </c>
      <c r="E69" s="49">
        <f>MAX(C69:D69)</f>
        <v>0.64</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0.21</v>
      </c>
      <c r="D70" s="49">
        <f>IF(($E64&gt;0),D64,D63)</f>
        <v>0</v>
      </c>
      <c r="E70" s="56">
        <f>MAX(C70:D70)</f>
        <v>0.21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Livingston</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15636</v>
      </c>
      <c r="D6" s="34"/>
      <c r="E6" s="33">
        <f>'Data Entry'!E6</f>
        <v>631</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11</v>
      </c>
      <c r="D7" s="34">
        <f>IF((AND(C66&gt;0,C7&gt;0)),(C7/C66),0)</f>
        <v>0.70350473266820157</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631</v>
      </c>
      <c r="P7" s="42">
        <f t="shared" ref="P7:P15" si="4">C7</f>
        <v>11</v>
      </c>
      <c r="Q7" s="42">
        <f>C6-C7</f>
        <v>15625</v>
      </c>
      <c r="R7" s="42">
        <f t="shared" ref="R7:R15" si="5">SUM(N7:Q7)</f>
        <v>16267</v>
      </c>
      <c r="S7" s="30">
        <f t="shared" ref="S7:S15" si="6">R7*((((N7*Q7)-(O7*P7))^2))</f>
        <v>783703083427</v>
      </c>
      <c r="T7" s="30">
        <f t="shared" ref="T7:T15" si="7">(N7+O7)*(P7+Q7)*(N7+P7)*(O7+Q7)</f>
        <v>1764255161856</v>
      </c>
      <c r="U7" s="31">
        <f t="shared" ref="U7:U15" si="8">IF((S7&gt;0),S7/T7,"- -")</f>
        <v>0.4442118693321791</v>
      </c>
    </row>
    <row r="8" spans="2:21" ht="18" customHeight="1" x14ac:dyDescent="0.25">
      <c r="B8" s="32" t="str">
        <f>'Data Entry'!A8</f>
        <v>3. Refer to Juvenile Court</v>
      </c>
      <c r="C8" s="33">
        <f>'Data Entry'!C8</f>
        <v>96</v>
      </c>
      <c r="D8" s="34">
        <f>IF((AND(C67&gt;0,C8&gt;0)),(C8/C67),0)</f>
        <v>872.72727272727275</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96</v>
      </c>
      <c r="Q8" s="42">
        <f>(C$67*L67)-C8</f>
        <v>-85</v>
      </c>
      <c r="R8" s="42">
        <f t="shared" si="5"/>
        <v>11.049999999999997</v>
      </c>
      <c r="S8" s="30">
        <f t="shared" si="6"/>
        <v>254.59200000000001</v>
      </c>
      <c r="T8" s="30">
        <f t="shared" si="7"/>
        <v>-4485.3600000000006</v>
      </c>
      <c r="U8" s="31">
        <f t="shared" si="8"/>
        <v>-5.6760661351597193E-2</v>
      </c>
    </row>
    <row r="9" spans="2:21" ht="18" customHeight="1" x14ac:dyDescent="0.25">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96</v>
      </c>
      <c r="R9" s="42">
        <f t="shared" si="5"/>
        <v>96</v>
      </c>
      <c r="S9" s="30">
        <f t="shared" si="6"/>
        <v>0</v>
      </c>
      <c r="T9" s="30">
        <f t="shared" si="7"/>
        <v>0</v>
      </c>
      <c r="U9" s="31" t="str">
        <f t="shared" si="8"/>
        <v>- -</v>
      </c>
    </row>
    <row r="10" spans="2:21" ht="18" customHeight="1" x14ac:dyDescent="0.25">
      <c r="B10" s="32" t="str">
        <f>'Data Entry'!A10</f>
        <v>5. Cases Involving Secure Detention</v>
      </c>
      <c r="C10" s="33">
        <f>'Data Entry'!C10</f>
        <v>9</v>
      </c>
      <c r="D10" s="34">
        <f>IF(((AND(C68&gt;0,C10&gt;0))),(C10/(C68)),0)</f>
        <v>9.375</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9</v>
      </c>
      <c r="Q10" s="42">
        <f>(C$68*L68)-C10</f>
        <v>87</v>
      </c>
      <c r="R10" s="42">
        <f t="shared" si="5"/>
        <v>96</v>
      </c>
      <c r="S10" s="30">
        <f t="shared" si="6"/>
        <v>0</v>
      </c>
      <c r="T10" s="30">
        <f t="shared" si="7"/>
        <v>0</v>
      </c>
      <c r="U10" s="31" t="str">
        <f t="shared" si="8"/>
        <v>- -</v>
      </c>
    </row>
    <row r="11" spans="2:21" ht="18" customHeight="1" x14ac:dyDescent="0.25">
      <c r="B11" s="32" t="str">
        <f>'Data Entry'!A11</f>
        <v>6. Cases Petitioned (Charge Filed)</v>
      </c>
      <c r="C11" s="33">
        <f>'Data Entry'!C11</f>
        <v>64</v>
      </c>
      <c r="D11" s="34">
        <f>IF(((AND(C68&gt;0,C11&gt;0))),(C11/(C68)),0)</f>
        <v>66.666666666666671</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64</v>
      </c>
      <c r="Q11" s="42">
        <f>(C$68*L68)-C11</f>
        <v>32</v>
      </c>
      <c r="R11" s="42">
        <f t="shared" si="5"/>
        <v>96</v>
      </c>
      <c r="S11" s="30">
        <f t="shared" si="6"/>
        <v>0</v>
      </c>
      <c r="T11" s="30">
        <f t="shared" si="7"/>
        <v>0</v>
      </c>
      <c r="U11" s="31" t="str">
        <f t="shared" si="8"/>
        <v>- -</v>
      </c>
    </row>
    <row r="12" spans="2:21" ht="18" customHeight="1" x14ac:dyDescent="0.25">
      <c r="B12" s="32" t="str">
        <f>'Data Entry'!A12</f>
        <v>7. Cases Resulting in Delinquent Findings</v>
      </c>
      <c r="C12" s="33">
        <f>'Data Entry'!C12</f>
        <v>21</v>
      </c>
      <c r="D12" s="34">
        <f>IF(((AND(C69&gt;0,C12&gt;0))),(C12/(C69)),0)</f>
        <v>32.8125</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21</v>
      </c>
      <c r="Q12" s="42">
        <f>(C69*L69)-C12</f>
        <v>43</v>
      </c>
      <c r="R12" s="42">
        <f t="shared" si="5"/>
        <v>64</v>
      </c>
      <c r="S12" s="30">
        <f t="shared" si="6"/>
        <v>0</v>
      </c>
      <c r="T12" s="30">
        <f t="shared" si="7"/>
        <v>0</v>
      </c>
      <c r="U12" s="31" t="str">
        <f t="shared" si="8"/>
        <v>- -</v>
      </c>
    </row>
    <row r="13" spans="2:21" ht="18" customHeight="1" x14ac:dyDescent="0.25">
      <c r="B13" s="32" t="str">
        <f>'Data Entry'!A13</f>
        <v>8. Cases Resulting in Probation Placement</v>
      </c>
      <c r="C13" s="33">
        <f>'Data Entry'!C13</f>
        <v>24</v>
      </c>
      <c r="D13" s="34">
        <f>IF(((AND(C70&gt;0,C13&gt;0))),(C13/(C70)),0)</f>
        <v>114.28571428571429</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24</v>
      </c>
      <c r="Q13" s="42">
        <f>(C70*L70)-C13</f>
        <v>-3</v>
      </c>
      <c r="R13" s="42">
        <f t="shared" si="5"/>
        <v>21</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2</v>
      </c>
      <c r="D14" s="34">
        <f>IF(((AND(C70&gt;0,C14&gt;0))), ((C14/(C70))),0)</f>
        <v>9.5238095238095237</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19</v>
      </c>
      <c r="R14" s="42">
        <f t="shared" si="5"/>
        <v>21</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64</v>
      </c>
      <c r="R15" s="42">
        <f t="shared" si="5"/>
        <v>64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15.635999999999999</v>
      </c>
      <c r="D42" s="56">
        <f>E6/1000</f>
        <v>0.63100000000000001</v>
      </c>
      <c r="E42" s="56">
        <f>MAX(C42:D42)</f>
        <v>15.635999999999999</v>
      </c>
      <c r="G42" s="1" t="str">
        <f>B42</f>
        <v>per 1000 youth</v>
      </c>
      <c r="L42" s="57">
        <v>1000</v>
      </c>
      <c r="M42" s="57"/>
      <c r="R42" s="49"/>
    </row>
    <row r="43" spans="2:18" ht="15" hidden="1" customHeight="1" x14ac:dyDescent="0.25">
      <c r="B43" s="49" t="s">
        <v>87</v>
      </c>
      <c r="C43" s="56">
        <f>C7/100</f>
        <v>0.11</v>
      </c>
      <c r="D43" s="56">
        <f>E7/100</f>
        <v>0</v>
      </c>
      <c r="E43" s="56">
        <f>MAX(C43:D43,0)</f>
        <v>0.11</v>
      </c>
      <c r="G43" s="1" t="str">
        <f>B43</f>
        <v>per 100 arrests</v>
      </c>
      <c r="L43" s="57">
        <v>100</v>
      </c>
      <c r="M43" s="57"/>
      <c r="R43" s="49"/>
    </row>
    <row r="44" spans="2:18" ht="15" hidden="1" customHeight="1" x14ac:dyDescent="0.25">
      <c r="B44" s="49" t="s">
        <v>88</v>
      </c>
      <c r="C44" s="56">
        <f>C8/100</f>
        <v>0.96</v>
      </c>
      <c r="D44" s="56">
        <f>E8/100</f>
        <v>0</v>
      </c>
      <c r="E44" s="56">
        <f>MAX(C44:D44,0)</f>
        <v>0.96</v>
      </c>
      <c r="G44" s="1" t="str">
        <f>B44</f>
        <v>per 100 referrals</v>
      </c>
      <c r="L44" s="57">
        <v>100</v>
      </c>
      <c r="M44" s="57"/>
      <c r="R44" s="49"/>
    </row>
    <row r="45" spans="2:18" ht="15" hidden="1" customHeight="1" x14ac:dyDescent="0.25">
      <c r="B45" s="49" t="s">
        <v>89</v>
      </c>
      <c r="C45" s="49">
        <f>C11/100</f>
        <v>0.64</v>
      </c>
      <c r="D45" s="49">
        <f>E11/100</f>
        <v>0</v>
      </c>
      <c r="E45" s="56">
        <f>MAX(C45:D45,0)</f>
        <v>0.64</v>
      </c>
      <c r="G45" s="1" t="str">
        <f>B45</f>
        <v>per 100 youth petitioned</v>
      </c>
      <c r="L45" s="57">
        <v>100</v>
      </c>
      <c r="M45" s="57"/>
      <c r="R45" s="49"/>
    </row>
    <row r="46" spans="2:18" ht="15" hidden="1" customHeight="1" x14ac:dyDescent="0.25">
      <c r="B46" s="49" t="s">
        <v>90</v>
      </c>
      <c r="C46" s="49">
        <f>C12/100</f>
        <v>0.21</v>
      </c>
      <c r="D46" s="49">
        <f>E12/100</f>
        <v>0</v>
      </c>
      <c r="E46" s="56">
        <f>MAX(C46:D46)</f>
        <v>0.21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15.635999999999999</v>
      </c>
      <c r="D48" s="56">
        <f>D42</f>
        <v>0.63100000000000001</v>
      </c>
      <c r="E48" s="56">
        <f>MAX(C48:D48)</f>
        <v>15.635999999999999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0.11</v>
      </c>
      <c r="D49" s="49">
        <f t="shared" si="9"/>
        <v>0</v>
      </c>
      <c r="E49" s="49">
        <f>MAX(C49:D49)</f>
        <v>0.11</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0.96</v>
      </c>
      <c r="D50" s="49">
        <f t="shared" si="9"/>
        <v>0</v>
      </c>
      <c r="E50" s="49">
        <f>MAX(C50:D50)</f>
        <v>0.96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0.64</v>
      </c>
      <c r="D51" s="49">
        <f>IF(($E45&gt;0),D45,D44)</f>
        <v>0</v>
      </c>
      <c r="E51" s="49">
        <f>MAX(C51:D51)</f>
        <v>0.64</v>
      </c>
      <c r="G51" s="1" t="str">
        <f>G45</f>
        <v>per 100 youth petitioned</v>
      </c>
      <c r="L51" s="58">
        <f>IF(($E45&gt;0),L45,L44)</f>
        <v>100</v>
      </c>
      <c r="M51" s="58"/>
    </row>
    <row r="52" spans="2:18" ht="15" hidden="1" customHeight="1" x14ac:dyDescent="0.25">
      <c r="B52" s="49" t="str">
        <f>IF(($E46&gt;0),B46,B45)</f>
        <v>per 100 youth found delinquent</v>
      </c>
      <c r="C52" s="49">
        <f>IF(($E46&gt;0),C46,C45)</f>
        <v>0.21</v>
      </c>
      <c r="D52" s="49">
        <f>IF(($E46&gt;0),D46,D45)</f>
        <v>0</v>
      </c>
      <c r="E52" s="56">
        <f>MAX(C52:D52)</f>
        <v>0.21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15.635999999999999</v>
      </c>
      <c r="D54" s="56">
        <f>D48</f>
        <v>0.63100000000000001</v>
      </c>
      <c r="E54" s="56">
        <f>MAX(C54:D54)</f>
        <v>15.635999999999999</v>
      </c>
      <c r="G54" s="1" t="str">
        <f>G48</f>
        <v>per 1000 youth</v>
      </c>
      <c r="L54" s="58">
        <f>L48</f>
        <v>1000</v>
      </c>
      <c r="M54" s="58"/>
    </row>
    <row r="55" spans="2:18" ht="15" hidden="1" customHeight="1" x14ac:dyDescent="0.25">
      <c r="B55" s="49" t="str">
        <f t="shared" ref="B55:D56" si="10">IF(($E49&gt;0),B49,B48)</f>
        <v>per 100 arrests</v>
      </c>
      <c r="C55" s="49">
        <f t="shared" si="10"/>
        <v>0.11</v>
      </c>
      <c r="D55" s="49">
        <f t="shared" si="10"/>
        <v>0</v>
      </c>
      <c r="E55" s="49">
        <f>MAX(C55:D55)</f>
        <v>0.11</v>
      </c>
      <c r="G55" s="1" t="str">
        <f>G49</f>
        <v>per 100 arrests</v>
      </c>
      <c r="L55" s="58">
        <f>IF(($E49&gt;0),L49,L48)</f>
        <v>100</v>
      </c>
      <c r="M55" s="58"/>
    </row>
    <row r="56" spans="2:18" ht="15" hidden="1" customHeight="1" x14ac:dyDescent="0.25">
      <c r="B56" s="49" t="str">
        <f t="shared" si="10"/>
        <v>per 100 referrals</v>
      </c>
      <c r="C56" s="49">
        <f t="shared" si="10"/>
        <v>0.96</v>
      </c>
      <c r="D56" s="49">
        <f t="shared" si="10"/>
        <v>0</v>
      </c>
      <c r="E56" s="49">
        <f>MAX(C56:D56)</f>
        <v>0.96</v>
      </c>
      <c r="G56" s="1" t="str">
        <f>G50</f>
        <v>per 100 referrals</v>
      </c>
      <c r="L56" s="58">
        <f>IF(($E50&gt;0),L50,L49)</f>
        <v>100</v>
      </c>
      <c r="M56" s="58"/>
    </row>
    <row r="57" spans="2:18" ht="15" hidden="1" customHeight="1" x14ac:dyDescent="0.25">
      <c r="B57" s="49" t="str">
        <f>IF(($E51&gt;0),B51,B49)</f>
        <v>per 100 youth petitioned</v>
      </c>
      <c r="C57" s="49">
        <f>IF(($E51&gt;0),C51,C50)</f>
        <v>0.64</v>
      </c>
      <c r="D57" s="49">
        <f>IF(($E51&gt;0),D51,D50)</f>
        <v>0</v>
      </c>
      <c r="E57" s="49">
        <f>MAX(C57:D57)</f>
        <v>0.64</v>
      </c>
      <c r="G57" s="1" t="str">
        <f>G51</f>
        <v>per 100 youth petitioned</v>
      </c>
      <c r="L57" s="58">
        <f>IF(($E51&gt;0),L51,L50)</f>
        <v>100</v>
      </c>
      <c r="M57" s="58"/>
    </row>
    <row r="58" spans="2:18" ht="15" hidden="1" customHeight="1" x14ac:dyDescent="0.25">
      <c r="B58" s="49" t="str">
        <f>IF(($E52&gt;0),B52,B51)</f>
        <v>per 100 youth found delinquent</v>
      </c>
      <c r="C58" s="49">
        <f>IF(($E52&gt;0),C52,C51)</f>
        <v>0.21</v>
      </c>
      <c r="D58" s="49">
        <f>IF(($E52&gt;0),D52,D51)</f>
        <v>0</v>
      </c>
      <c r="E58" s="56">
        <f>MAX(C58:D58)</f>
        <v>0.21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15.635999999999999</v>
      </c>
      <c r="D60" s="56">
        <f>D54</f>
        <v>0.63100000000000001</v>
      </c>
      <c r="E60" s="56">
        <f>MAX(C60:D60)</f>
        <v>15.635999999999999</v>
      </c>
      <c r="G60" s="1" t="str">
        <f>G54</f>
        <v>per 1000 youth</v>
      </c>
      <c r="L60" s="58">
        <f>L54</f>
        <v>1000</v>
      </c>
      <c r="M60" s="58"/>
    </row>
    <row r="61" spans="2:18" ht="15" hidden="1" customHeight="1" x14ac:dyDescent="0.25">
      <c r="B61" s="49" t="str">
        <f t="shared" ref="B61:D62" si="11">IF(($E55&gt;0),B55,B54)</f>
        <v>per 100 arrests</v>
      </c>
      <c r="C61" s="49">
        <f t="shared" si="11"/>
        <v>0.11</v>
      </c>
      <c r="D61" s="49">
        <f t="shared" si="11"/>
        <v>0</v>
      </c>
      <c r="E61" s="49">
        <f>MAX(C61:D61)</f>
        <v>0.11</v>
      </c>
      <c r="G61" s="1" t="str">
        <f>G55</f>
        <v>per 100 arrests</v>
      </c>
      <c r="L61" s="58">
        <f>IF(($E55&gt;0),L55,L54)</f>
        <v>100</v>
      </c>
      <c r="M61" s="58"/>
    </row>
    <row r="62" spans="2:18" ht="15" hidden="1" customHeight="1" x14ac:dyDescent="0.25">
      <c r="B62" s="49" t="str">
        <f t="shared" si="11"/>
        <v>per 100 referrals</v>
      </c>
      <c r="C62" s="49">
        <f t="shared" si="11"/>
        <v>0.96</v>
      </c>
      <c r="D62" s="49">
        <f t="shared" si="11"/>
        <v>0</v>
      </c>
      <c r="E62" s="49">
        <f>MAX(C62:D62)</f>
        <v>0.96</v>
      </c>
      <c r="G62" s="1" t="str">
        <f>G56</f>
        <v>per 100 referrals</v>
      </c>
      <c r="L62" s="58">
        <f>IF(($E56&gt;0),L56,L55)</f>
        <v>100</v>
      </c>
      <c r="M62" s="58"/>
    </row>
    <row r="63" spans="2:18" ht="15" hidden="1" customHeight="1" x14ac:dyDescent="0.25">
      <c r="B63" s="49" t="str">
        <f>IF(($E57&gt;0),B57,B55)</f>
        <v>per 100 youth petitioned</v>
      </c>
      <c r="C63" s="49">
        <f>IF(($E57&gt;0),C57,C56)</f>
        <v>0.64</v>
      </c>
      <c r="D63" s="49">
        <f>IF(($E57&gt;0),D57,D56)</f>
        <v>0</v>
      </c>
      <c r="E63" s="49">
        <f>MAX(C63:D63)</f>
        <v>0.64</v>
      </c>
      <c r="G63" s="1" t="str">
        <f>G57</f>
        <v>per 100 youth petitioned</v>
      </c>
      <c r="L63" s="58">
        <f>IF(($E57&gt;0),L57,L56)</f>
        <v>100</v>
      </c>
      <c r="M63" s="58"/>
    </row>
    <row r="64" spans="2:18" ht="15" hidden="1" customHeight="1" x14ac:dyDescent="0.25">
      <c r="B64" s="49" t="str">
        <f>IF(($E58&gt;0),B58,B57)</f>
        <v>per 100 youth found delinquent</v>
      </c>
      <c r="C64" s="49">
        <f>IF(($E58&gt;0),C58,C57)</f>
        <v>0.21</v>
      </c>
      <c r="D64" s="49">
        <f>IF(($E58&gt;0),D58,D57)</f>
        <v>0</v>
      </c>
      <c r="E64" s="56">
        <f>MAX(C64:D64)</f>
        <v>0.21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15.635999999999999</v>
      </c>
      <c r="D66" s="56">
        <f>D60</f>
        <v>0.63100000000000001</v>
      </c>
      <c r="E66" s="56">
        <f>MAX(C66:D66)</f>
        <v>15.635999999999999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0.11</v>
      </c>
      <c r="D67" s="49">
        <f t="shared" si="12"/>
        <v>0</v>
      </c>
      <c r="E67" s="49">
        <f>MAX(C67:D67)</f>
        <v>0.11</v>
      </c>
      <c r="G67" s="1" t="str">
        <f>G61</f>
        <v>per 100 arrests</v>
      </c>
      <c r="L67" s="58">
        <f>IF(($E61&gt;0),L61,L60)</f>
        <v>100</v>
      </c>
      <c r="M67" s="58">
        <f>IF((B67=G67),1,2)</f>
        <v>1</v>
      </c>
    </row>
    <row r="68" spans="2:13" ht="15" hidden="1" customHeight="1" x14ac:dyDescent="0.25">
      <c r="B68" s="49" t="str">
        <f t="shared" si="12"/>
        <v>per 100 referrals</v>
      </c>
      <c r="C68" s="49">
        <f t="shared" si="12"/>
        <v>0.96</v>
      </c>
      <c r="D68" s="49">
        <f t="shared" si="12"/>
        <v>0</v>
      </c>
      <c r="E68" s="49">
        <f>MAX(C68:D68)</f>
        <v>0.96</v>
      </c>
      <c r="G68" s="1" t="str">
        <f>G62</f>
        <v>per 100 referrals</v>
      </c>
      <c r="L68" s="58">
        <f>IF(($E62&gt;0),L62,L61)</f>
        <v>100</v>
      </c>
      <c r="M68" s="58">
        <f>IF((B68=G68),1,2)</f>
        <v>1</v>
      </c>
    </row>
    <row r="69" spans="2:13" ht="15" hidden="1" customHeight="1" x14ac:dyDescent="0.25">
      <c r="B69" s="49" t="str">
        <f>IF(($E63&gt;0),B63,B61)</f>
        <v>per 100 youth petitioned</v>
      </c>
      <c r="C69" s="49">
        <f>IF(($E63&gt;0),C63,C62)</f>
        <v>0.64</v>
      </c>
      <c r="D69" s="49">
        <f>IF(($E63&gt;0),D63,D62)</f>
        <v>0</v>
      </c>
      <c r="E69" s="49">
        <f>MAX(C69:D69)</f>
        <v>0.64</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0.21</v>
      </c>
      <c r="D70" s="49">
        <f>IF(($E64&gt;0),D64,D63)</f>
        <v>0</v>
      </c>
      <c r="E70" s="56">
        <f>MAX(C70:D70)</f>
        <v>0.21</v>
      </c>
      <c r="G70" s="1" t="str">
        <f>G64</f>
        <v>per 100 youth found delinquent</v>
      </c>
      <c r="L70" s="58">
        <f>IF(($E64&gt;0),L64,L63)</f>
        <v>100</v>
      </c>
      <c r="M70" s="58">
        <f>IF((B70=G70),1,2)</f>
        <v>1</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Livingston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15636</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11</v>
      </c>
      <c r="D7" s="34">
        <f>IF((AND(C66&gt;0,C7&gt;0)),(C7/C66),0)</f>
        <v>0.70350473266820157</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11</v>
      </c>
      <c r="Q7" s="42">
        <f>C6-C7</f>
        <v>15625</v>
      </c>
      <c r="R7" s="42">
        <f t="shared" ref="R7:R15" si="5">SUM(N7:Q7)</f>
        <v>15636</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96</v>
      </c>
      <c r="D8" s="34">
        <f>IF((AND(C67&gt;0,C8&gt;0)),(C8/C67),0)</f>
        <v>872.72727272727275</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96</v>
      </c>
      <c r="Q8" s="42">
        <f>(C$67*L67)-C8</f>
        <v>-85</v>
      </c>
      <c r="R8" s="42">
        <f t="shared" si="5"/>
        <v>11.049999999999997</v>
      </c>
      <c r="S8" s="30">
        <f t="shared" si="6"/>
        <v>254.59200000000001</v>
      </c>
      <c r="T8" s="30">
        <f t="shared" si="7"/>
        <v>-4485.3600000000006</v>
      </c>
      <c r="U8" s="31">
        <f t="shared" si="8"/>
        <v>-5.6760661351597193E-2</v>
      </c>
    </row>
    <row r="9" spans="2:21" ht="18" customHeight="1" x14ac:dyDescent="0.25">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96</v>
      </c>
      <c r="R9" s="42">
        <f t="shared" si="5"/>
        <v>96</v>
      </c>
      <c r="S9" s="30">
        <f t="shared" si="6"/>
        <v>0</v>
      </c>
      <c r="T9" s="30">
        <f t="shared" si="7"/>
        <v>0</v>
      </c>
      <c r="U9" s="31" t="str">
        <f t="shared" si="8"/>
        <v>- -</v>
      </c>
    </row>
    <row r="10" spans="2:21" ht="18" customHeight="1" x14ac:dyDescent="0.25">
      <c r="B10" s="32" t="str">
        <f>'Data Entry'!A10</f>
        <v>5. Cases Involving Secure Detention</v>
      </c>
      <c r="C10" s="33">
        <f>'Data Entry'!C10</f>
        <v>9</v>
      </c>
      <c r="D10" s="34">
        <f>IF(((AND(C68&gt;0,C10&gt;0))),(C10/(C68)),0)</f>
        <v>9.375</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9</v>
      </c>
      <c r="Q10" s="42">
        <f>(C$68*L68)-C10</f>
        <v>87</v>
      </c>
      <c r="R10" s="42">
        <f t="shared" si="5"/>
        <v>96</v>
      </c>
      <c r="S10" s="30">
        <f t="shared" si="6"/>
        <v>0</v>
      </c>
      <c r="T10" s="30">
        <f t="shared" si="7"/>
        <v>0</v>
      </c>
      <c r="U10" s="31" t="str">
        <f t="shared" si="8"/>
        <v>- -</v>
      </c>
    </row>
    <row r="11" spans="2:21" ht="18" customHeight="1" x14ac:dyDescent="0.25">
      <c r="B11" s="32" t="str">
        <f>'Data Entry'!A11</f>
        <v>6. Cases Petitioned (Charge Filed)</v>
      </c>
      <c r="C11" s="33">
        <f>'Data Entry'!C11</f>
        <v>64</v>
      </c>
      <c r="D11" s="34">
        <f>IF(((AND(C68&gt;0,C11&gt;0))),(C11/(C68)),0)</f>
        <v>66.666666666666671</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64</v>
      </c>
      <c r="Q11" s="42">
        <f>(C$68*L68)-C11</f>
        <v>32</v>
      </c>
      <c r="R11" s="42">
        <f t="shared" si="5"/>
        <v>96</v>
      </c>
      <c r="S11" s="30">
        <f t="shared" si="6"/>
        <v>0</v>
      </c>
      <c r="T11" s="30">
        <f t="shared" si="7"/>
        <v>0</v>
      </c>
      <c r="U11" s="31" t="str">
        <f t="shared" si="8"/>
        <v>- -</v>
      </c>
    </row>
    <row r="12" spans="2:21" ht="18" customHeight="1" x14ac:dyDescent="0.25">
      <c r="B12" s="32" t="str">
        <f>'Data Entry'!A12</f>
        <v>7. Cases Resulting in Delinquent Findings</v>
      </c>
      <c r="C12" s="33">
        <f>'Data Entry'!C12</f>
        <v>21</v>
      </c>
      <c r="D12" s="34">
        <f>IF(((AND(C69&gt;0,C12&gt;0))),(C12/(C69)),0)</f>
        <v>32.8125</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21</v>
      </c>
      <c r="Q12" s="42">
        <f>(C69*L69)-C12</f>
        <v>43</v>
      </c>
      <c r="R12" s="42">
        <f t="shared" si="5"/>
        <v>64</v>
      </c>
      <c r="S12" s="30">
        <f t="shared" si="6"/>
        <v>0</v>
      </c>
      <c r="T12" s="30">
        <f t="shared" si="7"/>
        <v>0</v>
      </c>
      <c r="U12" s="31" t="str">
        <f t="shared" si="8"/>
        <v>- -</v>
      </c>
    </row>
    <row r="13" spans="2:21" ht="18" customHeight="1" x14ac:dyDescent="0.25">
      <c r="B13" s="32" t="str">
        <f>'Data Entry'!A13</f>
        <v>8. Cases Resulting in Probation Placement</v>
      </c>
      <c r="C13" s="33">
        <f>'Data Entry'!C13</f>
        <v>24</v>
      </c>
      <c r="D13" s="34">
        <f>IF(((AND(C70&gt;0,C13&gt;0))),(C13/(C70)),0)</f>
        <v>114.28571428571429</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24</v>
      </c>
      <c r="Q13" s="42">
        <f>(C70*L70)-C13</f>
        <v>-3</v>
      </c>
      <c r="R13" s="42">
        <f t="shared" si="5"/>
        <v>21</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2</v>
      </c>
      <c r="D14" s="34">
        <f>IF(((AND(C70&gt;0,C14&gt;0))), ((C14/(C70))),0)</f>
        <v>9.5238095238095237</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19</v>
      </c>
      <c r="R14" s="42">
        <f t="shared" si="5"/>
        <v>21</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64</v>
      </c>
      <c r="R15" s="42">
        <f t="shared" si="5"/>
        <v>64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15.635999999999999</v>
      </c>
      <c r="D42" s="56">
        <f>E6/1000</f>
        <v>0</v>
      </c>
      <c r="E42" s="56">
        <f>MAX(C42:D42)</f>
        <v>15.635999999999999</v>
      </c>
      <c r="G42" s="1" t="str">
        <f>B42</f>
        <v>per 1000 youth</v>
      </c>
      <c r="L42" s="57">
        <v>1000</v>
      </c>
      <c r="M42" s="57"/>
      <c r="R42" s="49"/>
    </row>
    <row r="43" spans="2:18" ht="15" hidden="1" customHeight="1" x14ac:dyDescent="0.25">
      <c r="B43" s="49" t="s">
        <v>87</v>
      </c>
      <c r="C43" s="56">
        <f>C7/100</f>
        <v>0.11</v>
      </c>
      <c r="D43" s="56">
        <f>E7/100</f>
        <v>0</v>
      </c>
      <c r="E43" s="56">
        <f>MAX(C43:D43,0)</f>
        <v>0.11</v>
      </c>
      <c r="G43" s="1" t="str">
        <f>B43</f>
        <v>per 100 arrests</v>
      </c>
      <c r="L43" s="57">
        <v>100</v>
      </c>
      <c r="M43" s="57"/>
      <c r="R43" s="49"/>
    </row>
    <row r="44" spans="2:18" ht="15" hidden="1" customHeight="1" x14ac:dyDescent="0.25">
      <c r="B44" s="49" t="s">
        <v>88</v>
      </c>
      <c r="C44" s="56">
        <f>C8/100</f>
        <v>0.96</v>
      </c>
      <c r="D44" s="56">
        <f>E8/100</f>
        <v>0</v>
      </c>
      <c r="E44" s="56">
        <f>MAX(C44:D44,0)</f>
        <v>0.96</v>
      </c>
      <c r="G44" s="1" t="str">
        <f>B44</f>
        <v>per 100 referrals</v>
      </c>
      <c r="L44" s="57">
        <v>100</v>
      </c>
      <c r="M44" s="57"/>
      <c r="R44" s="49"/>
    </row>
    <row r="45" spans="2:18" ht="15" hidden="1" customHeight="1" x14ac:dyDescent="0.25">
      <c r="B45" s="49" t="s">
        <v>89</v>
      </c>
      <c r="C45" s="49">
        <f>C11/100</f>
        <v>0.64</v>
      </c>
      <c r="D45" s="49">
        <f>E11/100</f>
        <v>0</v>
      </c>
      <c r="E45" s="56">
        <f>MAX(C45:D45,0)</f>
        <v>0.64</v>
      </c>
      <c r="G45" s="1" t="str">
        <f>B45</f>
        <v>per 100 youth petitioned</v>
      </c>
      <c r="L45" s="57">
        <v>100</v>
      </c>
      <c r="M45" s="57"/>
      <c r="R45" s="49"/>
    </row>
    <row r="46" spans="2:18" ht="15" hidden="1" customHeight="1" x14ac:dyDescent="0.25">
      <c r="B46" s="49" t="s">
        <v>90</v>
      </c>
      <c r="C46" s="49">
        <f>C12/100</f>
        <v>0.21</v>
      </c>
      <c r="D46" s="49">
        <f>E12/100</f>
        <v>0</v>
      </c>
      <c r="E46" s="56">
        <f>MAX(C46:D46)</f>
        <v>0.21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15.635999999999999</v>
      </c>
      <c r="D48" s="56">
        <f>D42</f>
        <v>0</v>
      </c>
      <c r="E48" s="56">
        <f>MAX(C48:D48)</f>
        <v>15.635999999999999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0.11</v>
      </c>
      <c r="D49" s="49">
        <f t="shared" si="9"/>
        <v>0</v>
      </c>
      <c r="E49" s="49">
        <f>MAX(C49:D49)</f>
        <v>0.11</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0.96</v>
      </c>
      <c r="D50" s="49">
        <f t="shared" si="9"/>
        <v>0</v>
      </c>
      <c r="E50" s="49">
        <f>MAX(C50:D50)</f>
        <v>0.96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0.64</v>
      </c>
      <c r="D51" s="49">
        <f>IF(($E45&gt;0),D45,D44)</f>
        <v>0</v>
      </c>
      <c r="E51" s="49">
        <f>MAX(C51:D51)</f>
        <v>0.64</v>
      </c>
      <c r="G51" s="1" t="str">
        <f>G45</f>
        <v>per 100 youth petitioned</v>
      </c>
      <c r="L51" s="58">
        <f>IF(($E45&gt;0),L45,L44)</f>
        <v>100</v>
      </c>
      <c r="M51" s="58"/>
    </row>
    <row r="52" spans="2:18" ht="15" hidden="1" customHeight="1" x14ac:dyDescent="0.25">
      <c r="B52" s="49" t="str">
        <f>IF(($E46&gt;0),B46,B45)</f>
        <v>per 100 youth found delinquent</v>
      </c>
      <c r="C52" s="49">
        <f>IF(($E46&gt;0),C46,C45)</f>
        <v>0.21</v>
      </c>
      <c r="D52" s="49">
        <f>IF(($E46&gt;0),D46,D45)</f>
        <v>0</v>
      </c>
      <c r="E52" s="56">
        <f>MAX(C52:D52)</f>
        <v>0.21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15.635999999999999</v>
      </c>
      <c r="D54" s="56">
        <f>D48</f>
        <v>0</v>
      </c>
      <c r="E54" s="56">
        <f>MAX(C54:D54)</f>
        <v>15.635999999999999</v>
      </c>
      <c r="G54" s="1" t="str">
        <f>G48</f>
        <v>per 1000 youth</v>
      </c>
      <c r="L54" s="58">
        <f>L48</f>
        <v>1000</v>
      </c>
      <c r="M54" s="58"/>
    </row>
    <row r="55" spans="2:18" ht="15" hidden="1" customHeight="1" x14ac:dyDescent="0.25">
      <c r="B55" s="49" t="str">
        <f t="shared" ref="B55:D56" si="10">IF(($E49&gt;0),B49,B48)</f>
        <v>per 100 arrests</v>
      </c>
      <c r="C55" s="49">
        <f t="shared" si="10"/>
        <v>0.11</v>
      </c>
      <c r="D55" s="49">
        <f t="shared" si="10"/>
        <v>0</v>
      </c>
      <c r="E55" s="49">
        <f>MAX(C55:D55)</f>
        <v>0.11</v>
      </c>
      <c r="G55" s="1" t="str">
        <f>G49</f>
        <v>per 100 arrests</v>
      </c>
      <c r="L55" s="58">
        <f>IF(($E49&gt;0),L49,L48)</f>
        <v>100</v>
      </c>
      <c r="M55" s="58"/>
    </row>
    <row r="56" spans="2:18" ht="15" hidden="1" customHeight="1" x14ac:dyDescent="0.25">
      <c r="B56" s="49" t="str">
        <f t="shared" si="10"/>
        <v>per 100 referrals</v>
      </c>
      <c r="C56" s="49">
        <f t="shared" si="10"/>
        <v>0.96</v>
      </c>
      <c r="D56" s="49">
        <f t="shared" si="10"/>
        <v>0</v>
      </c>
      <c r="E56" s="49">
        <f>MAX(C56:D56)</f>
        <v>0.96</v>
      </c>
      <c r="G56" s="1" t="str">
        <f>G50</f>
        <v>per 100 referrals</v>
      </c>
      <c r="L56" s="58">
        <f>IF(($E50&gt;0),L50,L49)</f>
        <v>100</v>
      </c>
      <c r="M56" s="58"/>
    </row>
    <row r="57" spans="2:18" ht="15" hidden="1" customHeight="1" x14ac:dyDescent="0.25">
      <c r="B57" s="49" t="str">
        <f>IF(($E51&gt;0),B51,B49)</f>
        <v>per 100 youth petitioned</v>
      </c>
      <c r="C57" s="49">
        <f>IF(($E51&gt;0),C51,C50)</f>
        <v>0.64</v>
      </c>
      <c r="D57" s="49">
        <f>IF(($E51&gt;0),D51,D50)</f>
        <v>0</v>
      </c>
      <c r="E57" s="49">
        <f>MAX(C57:D57)</f>
        <v>0.64</v>
      </c>
      <c r="G57" s="1" t="str">
        <f>G51</f>
        <v>per 100 youth petitioned</v>
      </c>
      <c r="L57" s="58">
        <f>IF(($E51&gt;0),L51,L50)</f>
        <v>100</v>
      </c>
      <c r="M57" s="58"/>
    </row>
    <row r="58" spans="2:18" ht="15" hidden="1" customHeight="1" x14ac:dyDescent="0.25">
      <c r="B58" s="49" t="str">
        <f>IF(($E52&gt;0),B52,B51)</f>
        <v>per 100 youth found delinquent</v>
      </c>
      <c r="C58" s="49">
        <f>IF(($E52&gt;0),C52,C51)</f>
        <v>0.21</v>
      </c>
      <c r="D58" s="49">
        <f>IF(($E52&gt;0),D52,D51)</f>
        <v>0</v>
      </c>
      <c r="E58" s="56">
        <f>MAX(C58:D58)</f>
        <v>0.21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15.635999999999999</v>
      </c>
      <c r="D60" s="56">
        <f>D54</f>
        <v>0</v>
      </c>
      <c r="E60" s="56">
        <f>MAX(C60:D60)</f>
        <v>15.635999999999999</v>
      </c>
      <c r="G60" s="1" t="str">
        <f>G54</f>
        <v>per 1000 youth</v>
      </c>
      <c r="L60" s="58">
        <f>L54</f>
        <v>1000</v>
      </c>
      <c r="M60" s="58"/>
    </row>
    <row r="61" spans="2:18" ht="15" hidden="1" customHeight="1" x14ac:dyDescent="0.25">
      <c r="B61" s="49" t="str">
        <f t="shared" ref="B61:D62" si="11">IF(($E55&gt;0),B55,B54)</f>
        <v>per 100 arrests</v>
      </c>
      <c r="C61" s="49">
        <f t="shared" si="11"/>
        <v>0.11</v>
      </c>
      <c r="D61" s="49">
        <f t="shared" si="11"/>
        <v>0</v>
      </c>
      <c r="E61" s="49">
        <f>MAX(C61:D61)</f>
        <v>0.11</v>
      </c>
      <c r="G61" s="1" t="str">
        <f>G55</f>
        <v>per 100 arrests</v>
      </c>
      <c r="L61" s="58">
        <f>IF(($E55&gt;0),L55,L54)</f>
        <v>100</v>
      </c>
      <c r="M61" s="58"/>
    </row>
    <row r="62" spans="2:18" ht="15" hidden="1" customHeight="1" x14ac:dyDescent="0.25">
      <c r="B62" s="49" t="str">
        <f t="shared" si="11"/>
        <v>per 100 referrals</v>
      </c>
      <c r="C62" s="49">
        <f t="shared" si="11"/>
        <v>0.96</v>
      </c>
      <c r="D62" s="49">
        <f t="shared" si="11"/>
        <v>0</v>
      </c>
      <c r="E62" s="49">
        <f>MAX(C62:D62)</f>
        <v>0.96</v>
      </c>
      <c r="G62" s="1" t="str">
        <f>G56</f>
        <v>per 100 referrals</v>
      </c>
      <c r="L62" s="58">
        <f>IF(($E56&gt;0),L56,L55)</f>
        <v>100</v>
      </c>
      <c r="M62" s="58"/>
    </row>
    <row r="63" spans="2:18" ht="15" hidden="1" customHeight="1" x14ac:dyDescent="0.25">
      <c r="B63" s="49" t="str">
        <f>IF(($E57&gt;0),B57,B55)</f>
        <v>per 100 youth petitioned</v>
      </c>
      <c r="C63" s="49">
        <f>IF(($E57&gt;0),C57,C56)</f>
        <v>0.64</v>
      </c>
      <c r="D63" s="49">
        <f>IF(($E57&gt;0),D57,D56)</f>
        <v>0</v>
      </c>
      <c r="E63" s="49">
        <f>MAX(C63:D63)</f>
        <v>0.64</v>
      </c>
      <c r="G63" s="1" t="str">
        <f>G57</f>
        <v>per 100 youth petitioned</v>
      </c>
      <c r="L63" s="58">
        <f>IF(($E57&gt;0),L57,L56)</f>
        <v>100</v>
      </c>
      <c r="M63" s="58"/>
    </row>
    <row r="64" spans="2:18" ht="15" hidden="1" customHeight="1" x14ac:dyDescent="0.25">
      <c r="B64" s="49" t="str">
        <f>IF(($E58&gt;0),B58,B57)</f>
        <v>per 100 youth found delinquent</v>
      </c>
      <c r="C64" s="49">
        <f>IF(($E58&gt;0),C58,C57)</f>
        <v>0.21</v>
      </c>
      <c r="D64" s="49">
        <f>IF(($E58&gt;0),D58,D57)</f>
        <v>0</v>
      </c>
      <c r="E64" s="56">
        <f>MAX(C64:D64)</f>
        <v>0.21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15.635999999999999</v>
      </c>
      <c r="D66" s="56">
        <f>D60</f>
        <v>0</v>
      </c>
      <c r="E66" s="56">
        <f>MAX(C66:D66)</f>
        <v>15.635999999999999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0.11</v>
      </c>
      <c r="D67" s="49">
        <f t="shared" si="12"/>
        <v>0</v>
      </c>
      <c r="E67" s="49">
        <f>MAX(C67:D67)</f>
        <v>0.11</v>
      </c>
      <c r="G67" s="1" t="str">
        <f>G61</f>
        <v>per 100 arrests</v>
      </c>
      <c r="L67" s="58">
        <f>IF(($E61&gt;0),L61,L60)</f>
        <v>100</v>
      </c>
      <c r="M67" s="58">
        <f>IF((B67=G67),1,2)</f>
        <v>1</v>
      </c>
    </row>
    <row r="68" spans="2:13" ht="15" hidden="1" customHeight="1" x14ac:dyDescent="0.25">
      <c r="B68" s="49" t="str">
        <f t="shared" si="12"/>
        <v>per 100 referrals</v>
      </c>
      <c r="C68" s="49">
        <f t="shared" si="12"/>
        <v>0.96</v>
      </c>
      <c r="D68" s="49">
        <f t="shared" si="12"/>
        <v>0</v>
      </c>
      <c r="E68" s="49">
        <f>MAX(C68:D68)</f>
        <v>0.96</v>
      </c>
      <c r="G68" s="1" t="str">
        <f>G62</f>
        <v>per 100 referrals</v>
      </c>
      <c r="L68" s="58">
        <f>IF(($E62&gt;0),L62,L61)</f>
        <v>100</v>
      </c>
      <c r="M68" s="58">
        <f>IF((B68=G68),1,2)</f>
        <v>1</v>
      </c>
    </row>
    <row r="69" spans="2:13" ht="15" hidden="1" customHeight="1" x14ac:dyDescent="0.25">
      <c r="B69" s="49" t="str">
        <f>IF(($E63&gt;0),B63,B61)</f>
        <v>per 100 youth petitioned</v>
      </c>
      <c r="C69" s="49">
        <f>IF(($E63&gt;0),C63,C62)</f>
        <v>0.64</v>
      </c>
      <c r="D69" s="49">
        <f>IF(($E63&gt;0),D63,D62)</f>
        <v>0</v>
      </c>
      <c r="E69" s="49">
        <f>MAX(C69:D69)</f>
        <v>0.64</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0.21</v>
      </c>
      <c r="D70" s="49">
        <f>IF(($E64&gt;0),D64,D63)</f>
        <v>0</v>
      </c>
      <c r="E70" s="56">
        <f>MAX(C70:D70)</f>
        <v>0.21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Livingston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15636</v>
      </c>
      <c r="D6" s="34"/>
      <c r="E6" s="33">
        <f>'Data Entry'!H6</f>
        <v>67</v>
      </c>
      <c r="F6" s="34"/>
      <c r="G6" s="35"/>
      <c r="H6" s="36"/>
      <c r="I6" s="37"/>
      <c r="J6" s="38"/>
      <c r="K6" s="37"/>
      <c r="L6" s="1">
        <f>IF( ('Data Entry'!H6&gt;('Data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11</v>
      </c>
      <c r="D7" s="34">
        <f>IF((AND(C66&gt;0,C7&gt;0)),(C7/C66),0)</f>
        <v>0.70350473266820157</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67</v>
      </c>
      <c r="P7" s="42">
        <f t="shared" ref="P7:P15" si="4">C7</f>
        <v>11</v>
      </c>
      <c r="Q7" s="42">
        <f>C6-C7</f>
        <v>15625</v>
      </c>
      <c r="R7" s="42">
        <f t="shared" ref="R7:R15" si="5">SUM(N7:Q7)</f>
        <v>15703</v>
      </c>
      <c r="S7" s="30">
        <f t="shared" ref="S7:S15" si="6">R7*((((N7*Q7)-(O7*P7))^2))</f>
        <v>8529382807</v>
      </c>
      <c r="T7" s="30">
        <f t="shared" ref="T7:T15" si="7">(N7+O7)*(P7+Q7)*(N7+P7)*(O7+Q7)</f>
        <v>180830402544</v>
      </c>
      <c r="U7" s="31">
        <f t="shared" ref="U7:U15" si="8">IF((S7&gt;0),S7/T7,"- -")</f>
        <v>4.7167858319203899E-2</v>
      </c>
    </row>
    <row r="8" spans="2:21" ht="18" customHeight="1" x14ac:dyDescent="0.25">
      <c r="B8" s="32" t="str">
        <f>'Data Entry'!A8</f>
        <v>3. Refer to Juvenile Court</v>
      </c>
      <c r="C8" s="33">
        <f>'Data Entry'!C8</f>
        <v>96</v>
      </c>
      <c r="D8" s="34">
        <f>IF((AND(C67&gt;0,C8&gt;0)),(C8/C67),0)</f>
        <v>872.72727272727275</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96</v>
      </c>
      <c r="Q8" s="42">
        <f>(C$67*L67)-C8</f>
        <v>-85</v>
      </c>
      <c r="R8" s="42">
        <f t="shared" si="5"/>
        <v>11.049999999999997</v>
      </c>
      <c r="S8" s="30">
        <f t="shared" si="6"/>
        <v>254.59200000000001</v>
      </c>
      <c r="T8" s="30">
        <f t="shared" si="7"/>
        <v>-4485.3600000000006</v>
      </c>
      <c r="U8" s="31">
        <f t="shared" si="8"/>
        <v>-5.6760661351597193E-2</v>
      </c>
    </row>
    <row r="9" spans="2:21" ht="18" customHeight="1" x14ac:dyDescent="0.25">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96</v>
      </c>
      <c r="R9" s="42">
        <f t="shared" si="5"/>
        <v>96</v>
      </c>
      <c r="S9" s="30">
        <f t="shared" si="6"/>
        <v>0</v>
      </c>
      <c r="T9" s="30">
        <f t="shared" si="7"/>
        <v>0</v>
      </c>
      <c r="U9" s="31" t="str">
        <f t="shared" si="8"/>
        <v>- -</v>
      </c>
    </row>
    <row r="10" spans="2:21" ht="18" customHeight="1" x14ac:dyDescent="0.25">
      <c r="B10" s="32" t="str">
        <f>'Data Entry'!A10</f>
        <v>5. Cases Involving Secure Detention</v>
      </c>
      <c r="C10" s="33">
        <f>'Data Entry'!C10</f>
        <v>9</v>
      </c>
      <c r="D10" s="34">
        <f>IF(((AND(C68&gt;0,C10&gt;0))),(C10/(C68)),0)</f>
        <v>9.375</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9</v>
      </c>
      <c r="Q10" s="42">
        <f>(C$68*L68)-C10</f>
        <v>87</v>
      </c>
      <c r="R10" s="42">
        <f t="shared" si="5"/>
        <v>96</v>
      </c>
      <c r="S10" s="30">
        <f t="shared" si="6"/>
        <v>0</v>
      </c>
      <c r="T10" s="30">
        <f t="shared" si="7"/>
        <v>0</v>
      </c>
      <c r="U10" s="31" t="str">
        <f t="shared" si="8"/>
        <v>- -</v>
      </c>
    </row>
    <row r="11" spans="2:21" ht="18" customHeight="1" x14ac:dyDescent="0.25">
      <c r="B11" s="32" t="str">
        <f>'Data Entry'!A11</f>
        <v>6. Cases Petitioned (Charge Filed)</v>
      </c>
      <c r="C11" s="33">
        <f>'Data Entry'!C11</f>
        <v>64</v>
      </c>
      <c r="D11" s="34">
        <f>IF(((AND(C68&gt;0,C11&gt;0))),(C11/(C68)),0)</f>
        <v>66.666666666666671</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64</v>
      </c>
      <c r="Q11" s="42">
        <f>(C$68*L68)-C11</f>
        <v>32</v>
      </c>
      <c r="R11" s="42">
        <f t="shared" si="5"/>
        <v>96</v>
      </c>
      <c r="S11" s="30">
        <f t="shared" si="6"/>
        <v>0</v>
      </c>
      <c r="T11" s="30">
        <f t="shared" si="7"/>
        <v>0</v>
      </c>
      <c r="U11" s="31" t="str">
        <f t="shared" si="8"/>
        <v>- -</v>
      </c>
    </row>
    <row r="12" spans="2:21" ht="18" customHeight="1" x14ac:dyDescent="0.25">
      <c r="B12" s="32" t="str">
        <f>'Data Entry'!A12</f>
        <v>7. Cases Resulting in Delinquent Findings</v>
      </c>
      <c r="C12" s="33">
        <f>'Data Entry'!C12</f>
        <v>21</v>
      </c>
      <c r="D12" s="34">
        <f>IF(((AND(C69&gt;0,C12&gt;0))),(C12/(C69)),0)</f>
        <v>32.8125</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21</v>
      </c>
      <c r="Q12" s="42">
        <f>(C69*L69)-C12</f>
        <v>43</v>
      </c>
      <c r="R12" s="42">
        <f t="shared" si="5"/>
        <v>64</v>
      </c>
      <c r="S12" s="30">
        <f t="shared" si="6"/>
        <v>0</v>
      </c>
      <c r="T12" s="30">
        <f t="shared" si="7"/>
        <v>0</v>
      </c>
      <c r="U12" s="31" t="str">
        <f t="shared" si="8"/>
        <v>- -</v>
      </c>
    </row>
    <row r="13" spans="2:21" ht="18" customHeight="1" x14ac:dyDescent="0.25">
      <c r="B13" s="32" t="str">
        <f>'Data Entry'!A13</f>
        <v>8. Cases Resulting in Probation Placement</v>
      </c>
      <c r="C13" s="33">
        <f>'Data Entry'!C13</f>
        <v>24</v>
      </c>
      <c r="D13" s="34">
        <f>IF(((AND(C70&gt;0,C13&gt;0))),(C13/(C70)),0)</f>
        <v>114.28571428571429</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24</v>
      </c>
      <c r="Q13" s="42">
        <f>(C70*L70)-C13</f>
        <v>-3</v>
      </c>
      <c r="R13" s="42">
        <f t="shared" si="5"/>
        <v>21</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2</v>
      </c>
      <c r="D14" s="34">
        <f>IF(((AND(C70&gt;0,C14&gt;0))), ((C14/(C70))),0)</f>
        <v>9.5238095238095237</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19</v>
      </c>
      <c r="R14" s="42">
        <f t="shared" si="5"/>
        <v>21</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64</v>
      </c>
      <c r="R15" s="42">
        <f t="shared" si="5"/>
        <v>64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15.635999999999999</v>
      </c>
      <c r="D42" s="56">
        <f>E6/1000</f>
        <v>6.7000000000000004E-2</v>
      </c>
      <c r="E42" s="56">
        <f>MAX(C42:D42)</f>
        <v>15.635999999999999</v>
      </c>
      <c r="G42" s="1" t="str">
        <f>B42</f>
        <v>per 1000 youth</v>
      </c>
      <c r="L42" s="57">
        <v>1000</v>
      </c>
      <c r="M42" s="57"/>
      <c r="R42" s="49"/>
    </row>
    <row r="43" spans="2:18" ht="15" hidden="1" customHeight="1" x14ac:dyDescent="0.25">
      <c r="B43" s="49" t="s">
        <v>87</v>
      </c>
      <c r="C43" s="56">
        <f>C7/100</f>
        <v>0.11</v>
      </c>
      <c r="D43" s="56">
        <f>E7/100</f>
        <v>0</v>
      </c>
      <c r="E43" s="56">
        <f>MAX(C43:D43,0)</f>
        <v>0.11</v>
      </c>
      <c r="G43" s="1" t="str">
        <f>B43</f>
        <v>per 100 arrests</v>
      </c>
      <c r="L43" s="57">
        <v>100</v>
      </c>
      <c r="M43" s="57"/>
      <c r="R43" s="49"/>
    </row>
    <row r="44" spans="2:18" ht="15" hidden="1" customHeight="1" x14ac:dyDescent="0.25">
      <c r="B44" s="49" t="s">
        <v>88</v>
      </c>
      <c r="C44" s="56">
        <f>C8/100</f>
        <v>0.96</v>
      </c>
      <c r="D44" s="56">
        <f>E8/100</f>
        <v>0</v>
      </c>
      <c r="E44" s="56">
        <f>MAX(C44:D44,0)</f>
        <v>0.96</v>
      </c>
      <c r="G44" s="1" t="str">
        <f>B44</f>
        <v>per 100 referrals</v>
      </c>
      <c r="L44" s="57">
        <v>100</v>
      </c>
      <c r="M44" s="57"/>
      <c r="R44" s="49"/>
    </row>
    <row r="45" spans="2:18" ht="15" hidden="1" customHeight="1" x14ac:dyDescent="0.25">
      <c r="B45" s="49" t="s">
        <v>89</v>
      </c>
      <c r="C45" s="49">
        <f>C11/100</f>
        <v>0.64</v>
      </c>
      <c r="D45" s="49">
        <f>E11/100</f>
        <v>0</v>
      </c>
      <c r="E45" s="56">
        <f>MAX(C45:D45,0)</f>
        <v>0.64</v>
      </c>
      <c r="G45" s="1" t="str">
        <f>B45</f>
        <v>per 100 youth petitioned</v>
      </c>
      <c r="L45" s="57">
        <v>100</v>
      </c>
      <c r="M45" s="57"/>
      <c r="R45" s="49"/>
    </row>
    <row r="46" spans="2:18" ht="15" hidden="1" customHeight="1" x14ac:dyDescent="0.25">
      <c r="B46" s="49" t="s">
        <v>90</v>
      </c>
      <c r="C46" s="49">
        <f>C12/100</f>
        <v>0.21</v>
      </c>
      <c r="D46" s="49">
        <f>E12/100</f>
        <v>0</v>
      </c>
      <c r="E46" s="56">
        <f>MAX(C46:D46)</f>
        <v>0.21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15.635999999999999</v>
      </c>
      <c r="D48" s="56">
        <f>D42</f>
        <v>6.7000000000000004E-2</v>
      </c>
      <c r="E48" s="56">
        <f>MAX(C48:D48)</f>
        <v>15.635999999999999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0.11</v>
      </c>
      <c r="D49" s="49">
        <f t="shared" si="9"/>
        <v>0</v>
      </c>
      <c r="E49" s="49">
        <f>MAX(C49:D49)</f>
        <v>0.11</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0.96</v>
      </c>
      <c r="D50" s="49">
        <f t="shared" si="9"/>
        <v>0</v>
      </c>
      <c r="E50" s="49">
        <f>MAX(C50:D50)</f>
        <v>0.96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0.64</v>
      </c>
      <c r="D51" s="49">
        <f>IF(($E45&gt;0),D45,D44)</f>
        <v>0</v>
      </c>
      <c r="E51" s="49">
        <f>MAX(C51:D51)</f>
        <v>0.64</v>
      </c>
      <c r="G51" s="1" t="str">
        <f>G45</f>
        <v>per 100 youth petitioned</v>
      </c>
      <c r="L51" s="58">
        <f>IF(($E45&gt;0),L45,L44)</f>
        <v>100</v>
      </c>
      <c r="M51" s="58"/>
    </row>
    <row r="52" spans="2:18" ht="15" hidden="1" customHeight="1" x14ac:dyDescent="0.25">
      <c r="B52" s="49" t="str">
        <f>IF(($E46&gt;0),B46,B45)</f>
        <v>per 100 youth found delinquent</v>
      </c>
      <c r="C52" s="49">
        <f>IF(($E46&gt;0),C46,C45)</f>
        <v>0.21</v>
      </c>
      <c r="D52" s="49">
        <f>IF(($E46&gt;0),D46,D45)</f>
        <v>0</v>
      </c>
      <c r="E52" s="56">
        <f>MAX(C52:D52)</f>
        <v>0.21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15.635999999999999</v>
      </c>
      <c r="D54" s="56">
        <f>D48</f>
        <v>6.7000000000000004E-2</v>
      </c>
      <c r="E54" s="56">
        <f>MAX(C54:D54)</f>
        <v>15.635999999999999</v>
      </c>
      <c r="G54" s="1" t="str">
        <f>G48</f>
        <v>per 1000 youth</v>
      </c>
      <c r="L54" s="58">
        <f>L48</f>
        <v>1000</v>
      </c>
      <c r="M54" s="58"/>
    </row>
    <row r="55" spans="2:18" ht="15" hidden="1" customHeight="1" x14ac:dyDescent="0.25">
      <c r="B55" s="49" t="str">
        <f t="shared" ref="B55:D56" si="10">IF(($E49&gt;0),B49,B48)</f>
        <v>per 100 arrests</v>
      </c>
      <c r="C55" s="49">
        <f t="shared" si="10"/>
        <v>0.11</v>
      </c>
      <c r="D55" s="49">
        <f t="shared" si="10"/>
        <v>0</v>
      </c>
      <c r="E55" s="49">
        <f>MAX(C55:D55)</f>
        <v>0.11</v>
      </c>
      <c r="G55" s="1" t="str">
        <f>G49</f>
        <v>per 100 arrests</v>
      </c>
      <c r="L55" s="58">
        <f>IF(($E49&gt;0),L49,L48)</f>
        <v>100</v>
      </c>
      <c r="M55" s="58"/>
    </row>
    <row r="56" spans="2:18" ht="15" hidden="1" customHeight="1" x14ac:dyDescent="0.25">
      <c r="B56" s="49" t="str">
        <f t="shared" si="10"/>
        <v>per 100 referrals</v>
      </c>
      <c r="C56" s="49">
        <f t="shared" si="10"/>
        <v>0.96</v>
      </c>
      <c r="D56" s="49">
        <f t="shared" si="10"/>
        <v>0</v>
      </c>
      <c r="E56" s="49">
        <f>MAX(C56:D56)</f>
        <v>0.96</v>
      </c>
      <c r="G56" s="1" t="str">
        <f>G50</f>
        <v>per 100 referrals</v>
      </c>
      <c r="L56" s="58">
        <f>IF(($E50&gt;0),L50,L49)</f>
        <v>100</v>
      </c>
      <c r="M56" s="58"/>
    </row>
    <row r="57" spans="2:18" ht="15" hidden="1" customHeight="1" x14ac:dyDescent="0.25">
      <c r="B57" s="49" t="str">
        <f>IF(($E51&gt;0),B51,B49)</f>
        <v>per 100 youth petitioned</v>
      </c>
      <c r="C57" s="49">
        <f>IF(($E51&gt;0),C51,C50)</f>
        <v>0.64</v>
      </c>
      <c r="D57" s="49">
        <f>IF(($E51&gt;0),D51,D50)</f>
        <v>0</v>
      </c>
      <c r="E57" s="49">
        <f>MAX(C57:D57)</f>
        <v>0.64</v>
      </c>
      <c r="G57" s="1" t="str">
        <f>G51</f>
        <v>per 100 youth petitioned</v>
      </c>
      <c r="L57" s="58">
        <f>IF(($E51&gt;0),L51,L50)</f>
        <v>100</v>
      </c>
      <c r="M57" s="58"/>
    </row>
    <row r="58" spans="2:18" ht="15" hidden="1" customHeight="1" x14ac:dyDescent="0.25">
      <c r="B58" s="49" t="str">
        <f>IF(($E52&gt;0),B52,B51)</f>
        <v>per 100 youth found delinquent</v>
      </c>
      <c r="C58" s="49">
        <f>IF(($E52&gt;0),C52,C51)</f>
        <v>0.21</v>
      </c>
      <c r="D58" s="49">
        <f>IF(($E52&gt;0),D52,D51)</f>
        <v>0</v>
      </c>
      <c r="E58" s="56">
        <f>MAX(C58:D58)</f>
        <v>0.21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15.635999999999999</v>
      </c>
      <c r="D60" s="56">
        <f>D54</f>
        <v>6.7000000000000004E-2</v>
      </c>
      <c r="E60" s="56">
        <f>MAX(C60:D60)</f>
        <v>15.635999999999999</v>
      </c>
      <c r="G60" s="1" t="str">
        <f>G54</f>
        <v>per 1000 youth</v>
      </c>
      <c r="L60" s="58">
        <f>L54</f>
        <v>1000</v>
      </c>
      <c r="M60" s="58"/>
    </row>
    <row r="61" spans="2:18" ht="15" hidden="1" customHeight="1" x14ac:dyDescent="0.25">
      <c r="B61" s="49" t="str">
        <f t="shared" ref="B61:D62" si="11">IF(($E55&gt;0),B55,B54)</f>
        <v>per 100 arrests</v>
      </c>
      <c r="C61" s="49">
        <f t="shared" si="11"/>
        <v>0.11</v>
      </c>
      <c r="D61" s="49">
        <f t="shared" si="11"/>
        <v>0</v>
      </c>
      <c r="E61" s="49">
        <f>MAX(C61:D61)</f>
        <v>0.11</v>
      </c>
      <c r="G61" s="1" t="str">
        <f>G55</f>
        <v>per 100 arrests</v>
      </c>
      <c r="L61" s="58">
        <f>IF(($E55&gt;0),L55,L54)</f>
        <v>100</v>
      </c>
      <c r="M61" s="58"/>
    </row>
    <row r="62" spans="2:18" ht="15" hidden="1" customHeight="1" x14ac:dyDescent="0.25">
      <c r="B62" s="49" t="str">
        <f t="shared" si="11"/>
        <v>per 100 referrals</v>
      </c>
      <c r="C62" s="49">
        <f t="shared" si="11"/>
        <v>0.96</v>
      </c>
      <c r="D62" s="49">
        <f t="shared" si="11"/>
        <v>0</v>
      </c>
      <c r="E62" s="49">
        <f>MAX(C62:D62)</f>
        <v>0.96</v>
      </c>
      <c r="G62" s="1" t="str">
        <f>G56</f>
        <v>per 100 referrals</v>
      </c>
      <c r="L62" s="58">
        <f>IF(($E56&gt;0),L56,L55)</f>
        <v>100</v>
      </c>
      <c r="M62" s="58"/>
    </row>
    <row r="63" spans="2:18" ht="15" hidden="1" customHeight="1" x14ac:dyDescent="0.25">
      <c r="B63" s="49" t="str">
        <f>IF(($E57&gt;0),B57,B55)</f>
        <v>per 100 youth petitioned</v>
      </c>
      <c r="C63" s="49">
        <f>IF(($E57&gt;0),C57,C56)</f>
        <v>0.64</v>
      </c>
      <c r="D63" s="49">
        <f>IF(($E57&gt;0),D57,D56)</f>
        <v>0</v>
      </c>
      <c r="E63" s="49">
        <f>MAX(C63:D63)</f>
        <v>0.64</v>
      </c>
      <c r="G63" s="1" t="str">
        <f>G57</f>
        <v>per 100 youth petitioned</v>
      </c>
      <c r="L63" s="58">
        <f>IF(($E57&gt;0),L57,L56)</f>
        <v>100</v>
      </c>
      <c r="M63" s="58"/>
    </row>
    <row r="64" spans="2:18" ht="15" hidden="1" customHeight="1" x14ac:dyDescent="0.25">
      <c r="B64" s="49" t="str">
        <f>IF(($E58&gt;0),B58,B57)</f>
        <v>per 100 youth found delinquent</v>
      </c>
      <c r="C64" s="49">
        <f>IF(($E58&gt;0),C58,C57)</f>
        <v>0.21</v>
      </c>
      <c r="D64" s="49">
        <f>IF(($E58&gt;0),D58,D57)</f>
        <v>0</v>
      </c>
      <c r="E64" s="56">
        <f>MAX(C64:D64)</f>
        <v>0.21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15.635999999999999</v>
      </c>
      <c r="D66" s="56">
        <f>D60</f>
        <v>6.7000000000000004E-2</v>
      </c>
      <c r="E66" s="56">
        <f>MAX(C66:D66)</f>
        <v>15.635999999999999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0.11</v>
      </c>
      <c r="D67" s="49">
        <f t="shared" si="12"/>
        <v>0</v>
      </c>
      <c r="E67" s="49">
        <f>MAX(C67:D67)</f>
        <v>0.11</v>
      </c>
      <c r="G67" s="1" t="str">
        <f>G61</f>
        <v>per 100 arrests</v>
      </c>
      <c r="L67" s="58">
        <f>IF(($E61&gt;0),L61,L60)</f>
        <v>100</v>
      </c>
      <c r="M67" s="58">
        <f>IF((B67=G67),1,2)</f>
        <v>1</v>
      </c>
    </row>
    <row r="68" spans="2:13" ht="15" hidden="1" customHeight="1" x14ac:dyDescent="0.25">
      <c r="B68" s="49" t="str">
        <f t="shared" si="12"/>
        <v>per 100 referrals</v>
      </c>
      <c r="C68" s="49">
        <f t="shared" si="12"/>
        <v>0.96</v>
      </c>
      <c r="D68" s="49">
        <f t="shared" si="12"/>
        <v>0</v>
      </c>
      <c r="E68" s="49">
        <f>MAX(C68:D68)</f>
        <v>0.96</v>
      </c>
      <c r="G68" s="1" t="str">
        <f>G62</f>
        <v>per 100 referrals</v>
      </c>
      <c r="L68" s="58">
        <f>IF(($E62&gt;0),L62,L61)</f>
        <v>100</v>
      </c>
      <c r="M68" s="58">
        <f>IF((B68=G68),1,2)</f>
        <v>1</v>
      </c>
    </row>
    <row r="69" spans="2:13" ht="15" hidden="1" customHeight="1" x14ac:dyDescent="0.25">
      <c r="B69" s="49" t="str">
        <f>IF(($E63&gt;0),B63,B61)</f>
        <v>per 100 youth petitioned</v>
      </c>
      <c r="C69" s="49">
        <f>IF(($E63&gt;0),C63,C62)</f>
        <v>0.64</v>
      </c>
      <c r="D69" s="49">
        <f>IF(($E63&gt;0),D63,D62)</f>
        <v>0</v>
      </c>
      <c r="E69" s="49">
        <f>MAX(C69:D69)</f>
        <v>0.64</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0.21</v>
      </c>
      <c r="D70" s="49">
        <f>IF(($E64&gt;0),D64,D63)</f>
        <v>0</v>
      </c>
      <c r="E70" s="56">
        <f>MAX(C70:D70)</f>
        <v>0.21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U47JMPN4QEAR-1806752177-30191</_dlc_DocId>
    <_dlc_DocIdUrl xmlns="ac3811b5-0f3e-49e2-ba69-f2ffa0c782af">
      <Url>https://michiganphi.sharepoint.com/sites/CMDMC/_layouts/15/DocIdRedir.aspx?ID=U47JMPN4QEAR-1806752177-30191</Url>
      <Description>U47JMPN4QEAR-1806752177-30191</Description>
    </_dlc_DocIdUrl>
  </documentManagement>
</p:properties>
</file>

<file path=customXml/itemProps1.xml><?xml version="1.0" encoding="utf-8"?>
<ds:datastoreItem xmlns:ds="http://schemas.openxmlformats.org/officeDocument/2006/customXml" ds:itemID="{1252536A-B12A-4939-8EB3-AFECB5FFF385}"/>
</file>

<file path=customXml/itemProps2.xml><?xml version="1.0" encoding="utf-8"?>
<ds:datastoreItem xmlns:ds="http://schemas.openxmlformats.org/officeDocument/2006/customXml" ds:itemID="{B0A9A9AD-082D-4ACC-85B5-5375EC4815AB}"/>
</file>

<file path=customXml/itemProps3.xml><?xml version="1.0" encoding="utf-8"?>
<ds:datastoreItem xmlns:ds="http://schemas.openxmlformats.org/officeDocument/2006/customXml" ds:itemID="{83A6F1ED-7611-48A0-9D07-FF8A45C50331}"/>
</file>

<file path=customXml/itemProps4.xml><?xml version="1.0" encoding="utf-8"?>
<ds:datastoreItem xmlns:ds="http://schemas.openxmlformats.org/officeDocument/2006/customXml" ds:itemID="{02E71A38-9850-46C1-A9B9-E723818E1F0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62828de5-b350-471b-8582-8deeb2095bab</vt:lpwstr>
  </property>
</Properties>
</file>