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AF85F9A5-7266-461B-A870-537B9A05332B}"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F27" i="4"/>
  <c r="M66" i="4"/>
  <c r="M66" i="7"/>
  <c r="F27" i="7"/>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4" i="6"/>
  <c r="L50" i="6" s="1"/>
  <c r="E43" i="7"/>
  <c r="B49" i="7" s="1"/>
  <c r="E43" i="6"/>
  <c r="B49"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D52" i="3" l="1"/>
  <c r="L49" i="7"/>
  <c r="D49" i="6"/>
  <c r="C49" i="6"/>
  <c r="E49" i="6" s="1"/>
  <c r="L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7"/>
  <c r="E48" i="5"/>
  <c r="C54" i="5"/>
  <c r="C54" i="6"/>
  <c r="E48" i="6"/>
  <c r="B51" i="6"/>
  <c r="D51" i="6"/>
  <c r="C51" i="6"/>
  <c r="L51" i="6"/>
  <c r="E49" i="5" l="1"/>
  <c r="D51" i="2"/>
  <c r="E51" i="2" s="1"/>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E58" i="8"/>
  <c r="L64" i="8" s="1"/>
  <c r="L64" i="3"/>
  <c r="B56" i="8"/>
  <c r="L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8" s="1"/>
  <c r="Q8" i="13"/>
  <c r="I7" i="9"/>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L69" i="7"/>
  <c r="D70" i="6"/>
  <c r="F13" i="6" s="1"/>
  <c r="L63" i="8"/>
  <c r="L70" i="8" s="1"/>
  <c r="E63" i="3"/>
  <c r="C69" i="3" s="1"/>
  <c r="D15" i="3" s="1"/>
  <c r="C69" i="7"/>
  <c r="D12" i="7" s="1"/>
  <c r="C63" i="8"/>
  <c r="E63" i="8" s="1"/>
  <c r="D69"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D15" i="7"/>
  <c r="D12" i="3"/>
  <c r="E70" i="6"/>
  <c r="D69" i="3"/>
  <c r="E69" i="3" s="1"/>
  <c r="O14" i="6"/>
  <c r="Q13" i="8"/>
  <c r="Q15" i="7"/>
  <c r="C69" i="6"/>
  <c r="D12" i="6" s="1"/>
  <c r="O13" i="6"/>
  <c r="F14" i="6"/>
  <c r="Q12" i="7"/>
  <c r="D13" i="3"/>
  <c r="E69" i="7"/>
  <c r="D13" i="6"/>
  <c r="L69" i="3"/>
  <c r="Q12" i="3" s="1"/>
  <c r="O13" i="3"/>
  <c r="F14" i="3"/>
  <c r="B69" i="3"/>
  <c r="M69" i="3" s="1"/>
  <c r="Q14" i="3"/>
  <c r="F12" i="7"/>
  <c r="O12" i="7"/>
  <c r="D14" i="6"/>
  <c r="O15" i="7"/>
  <c r="Q13" i="3"/>
  <c r="Q13" i="6"/>
  <c r="Q14" i="6"/>
  <c r="E70" i="3"/>
  <c r="O14" i="3"/>
  <c r="D69" i="6"/>
  <c r="F12" i="6" s="1"/>
  <c r="T10" i="3"/>
  <c r="K10" i="4"/>
  <c r="F8" i="7"/>
  <c r="T9" i="4"/>
  <c r="F35" i="6"/>
  <c r="F32" i="6"/>
  <c r="T11" i="4"/>
  <c r="U11" i="4" s="1"/>
  <c r="J11" i="4" s="1"/>
  <c r="K11" i="4"/>
  <c r="Q15" i="6"/>
  <c r="R10" i="4"/>
  <c r="S10" i="4" s="1"/>
  <c r="T8" i="3"/>
  <c r="U8" i="3" s="1"/>
  <c r="J8" i="3" s="1"/>
  <c r="T13" i="4"/>
  <c r="T8" i="5"/>
  <c r="U8" i="5" s="1"/>
  <c r="J8" i="5" s="1"/>
  <c r="K8" i="5"/>
  <c r="E67" i="7"/>
  <c r="L69" i="8"/>
  <c r="O15" i="8" s="1"/>
  <c r="M67" i="7"/>
  <c r="D8" i="7"/>
  <c r="T10" i="4"/>
  <c r="K8" i="3"/>
  <c r="Q8" i="7"/>
  <c r="R8" i="7" s="1"/>
  <c r="S8" i="7" s="1"/>
  <c r="M69" i="2"/>
  <c r="K14" i="4"/>
  <c r="Q12" i="6"/>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5" i="7" l="1"/>
  <c r="S15" i="7" s="1"/>
  <c r="U15" i="7" s="1"/>
  <c r="J15" i="7" s="1"/>
  <c r="U9" i="4"/>
  <c r="J9" i="4" s="1"/>
  <c r="M9" i="4" s="1"/>
  <c r="G9" i="4" s="1"/>
  <c r="G10" i="16" s="1"/>
  <c r="K13" i="3"/>
  <c r="R13" i="6"/>
  <c r="S13" i="6" s="1"/>
  <c r="U13" i="6" s="1"/>
  <c r="J13" i="6" s="1"/>
  <c r="M13" i="6" s="1"/>
  <c r="G13" i="6" s="1"/>
  <c r="G13" i="9" s="1"/>
  <c r="Q15" i="3"/>
  <c r="R13" i="8"/>
  <c r="S13" i="8" s="1"/>
  <c r="K12" i="7"/>
  <c r="O12" i="3"/>
  <c r="R12" i="3" s="1"/>
  <c r="S12" i="3" s="1"/>
  <c r="U12" i="3" s="1"/>
  <c r="J12" i="3" s="1"/>
  <c r="F15" i="3"/>
  <c r="F12" i="3"/>
  <c r="O15" i="3"/>
  <c r="K15" i="3" s="1"/>
  <c r="T13" i="6"/>
  <c r="R14" i="8"/>
  <c r="S14" i="8" s="1"/>
  <c r="T14" i="6"/>
  <c r="D15" i="6"/>
  <c r="O15" i="6"/>
  <c r="K15" i="6" s="1"/>
  <c r="R12" i="7"/>
  <c r="S12" i="7" s="1"/>
  <c r="R14" i="3"/>
  <c r="S14" i="3" s="1"/>
  <c r="U14" i="3" s="1"/>
  <c r="J14" i="3" s="1"/>
  <c r="M14" i="3" s="1"/>
  <c r="G14" i="3" s="1"/>
  <c r="I15" i="16" s="1"/>
  <c r="K13" i="6"/>
  <c r="R14" i="6"/>
  <c r="S14" i="6" s="1"/>
  <c r="U14" i="6" s="1"/>
  <c r="J14" i="6" s="1"/>
  <c r="M14" i="6" s="1"/>
  <c r="G14" i="6" s="1"/>
  <c r="M15" i="13" s="1"/>
  <c r="K14" i="6"/>
  <c r="T12" i="7"/>
  <c r="K15" i="7"/>
  <c r="L15" i="7" s="1"/>
  <c r="S16" i="16" s="1"/>
  <c r="F32" i="3"/>
  <c r="F35" i="3"/>
  <c r="T13" i="8"/>
  <c r="O12" i="6"/>
  <c r="K12" i="6" s="1"/>
  <c r="E69" i="6"/>
  <c r="U10" i="4"/>
  <c r="J10" i="4" s="1"/>
  <c r="M10" i="4" s="1"/>
  <c r="G10" i="4" s="1"/>
  <c r="G11" i="16" s="1"/>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R13" i="7"/>
  <c r="S13" i="7" s="1"/>
  <c r="U13" i="7" s="1"/>
  <c r="J13" i="7" s="1"/>
  <c r="M13" i="7" s="1"/>
  <c r="Q13" i="2"/>
  <c r="U9" i="3"/>
  <c r="J9" i="3" s="1"/>
  <c r="L9" i="3" s="1"/>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6" l="1"/>
  <c r="L9" i="4"/>
  <c r="O10" i="16" s="1"/>
  <c r="M14" i="13"/>
  <c r="T12" i="3"/>
  <c r="R15" i="3"/>
  <c r="S15" i="3" s="1"/>
  <c r="U15" i="3" s="1"/>
  <c r="J15" i="3" s="1"/>
  <c r="M15" i="3" s="1"/>
  <c r="G15" i="3" s="1"/>
  <c r="I16" i="16" s="1"/>
  <c r="D9" i="9"/>
  <c r="L13" i="3"/>
  <c r="P14" i="16" s="1"/>
  <c r="L13" i="6"/>
  <c r="R14" i="16" s="1"/>
  <c r="U13" i="8"/>
  <c r="J13" i="8" s="1"/>
  <c r="M13" i="8" s="1"/>
  <c r="G13" i="8" s="1"/>
  <c r="I13" i="9" s="1"/>
  <c r="U14" i="8"/>
  <c r="J14" i="8" s="1"/>
  <c r="N30" i="8" s="1"/>
  <c r="U12" i="7"/>
  <c r="J12" i="7" s="1"/>
  <c r="L12" i="7" s="1"/>
  <c r="S13" i="16" s="1"/>
  <c r="G11" i="13"/>
  <c r="R12" i="6"/>
  <c r="S12" i="6" s="1"/>
  <c r="U12" i="6" s="1"/>
  <c r="J12" i="6" s="1"/>
  <c r="M12" i="6" s="1"/>
  <c r="G12" i="6" s="1"/>
  <c r="R15" i="6"/>
  <c r="S15" i="6" s="1"/>
  <c r="U15" i="6" s="1"/>
  <c r="J15" i="6" s="1"/>
  <c r="L15" i="6" s="1"/>
  <c r="R16" i="16" s="1"/>
  <c r="T12" i="6"/>
  <c r="G10" i="13"/>
  <c r="N30" i="3"/>
  <c r="I15" i="13"/>
  <c r="E14" i="9"/>
  <c r="L14" i="3"/>
  <c r="P15" i="16" s="1"/>
  <c r="M13" i="3"/>
  <c r="G13" i="3" s="1"/>
  <c r="E13" i="9" s="1"/>
  <c r="D10" i="9"/>
  <c r="L10" i="4"/>
  <c r="O11" i="16" s="1"/>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D13" i="9"/>
  <c r="G14" i="13"/>
  <c r="P13" i="9"/>
  <c r="K9" i="7"/>
  <c r="T14" i="2"/>
  <c r="V12" i="13"/>
  <c r="N11" i="9"/>
  <c r="T15" i="5"/>
  <c r="W14" i="13"/>
  <c r="L13" i="7"/>
  <c r="S14" i="16" s="1"/>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M14" i="8" l="1"/>
  <c r="G14" i="8" s="1"/>
  <c r="K15" i="16" s="1"/>
  <c r="U10" i="13"/>
  <c r="V14" i="13"/>
  <c r="N13" i="9"/>
  <c r="I16" i="13"/>
  <c r="E15" i="9"/>
  <c r="L15" i="3"/>
  <c r="P16" i="16" s="1"/>
  <c r="X14" i="13"/>
  <c r="Q12" i="9"/>
  <c r="L13" i="8"/>
  <c r="T14" i="16" s="1"/>
  <c r="L14" i="8"/>
  <c r="T15" i="16" s="1"/>
  <c r="M15" i="6"/>
  <c r="G15" i="6" s="1"/>
  <c r="G15" i="9" s="1"/>
  <c r="K14" i="16"/>
  <c r="M12" i="7"/>
  <c r="Y13" i="13"/>
  <c r="L12" i="6"/>
  <c r="R13" i="16" s="1"/>
  <c r="I14" i="16"/>
  <c r="I14" i="13"/>
  <c r="Q14" i="13"/>
  <c r="U11" i="13"/>
  <c r="N14" i="9"/>
  <c r="V15" i="13"/>
  <c r="U14" i="2"/>
  <c r="J14" i="2" s="1"/>
  <c r="M14" i="2" s="1"/>
  <c r="G14" i="2" s="1"/>
  <c r="E15" i="16" s="1"/>
  <c r="U13" i="2"/>
  <c r="J13" i="2" s="1"/>
  <c r="M13" i="2" s="1"/>
  <c r="G13" i="2" s="1"/>
  <c r="E14" i="16" s="1"/>
  <c r="U12" i="8"/>
  <c r="J12" i="8" s="1"/>
  <c r="M12" i="8" s="1"/>
  <c r="G12" i="8" s="1"/>
  <c r="K13" i="16" s="1"/>
  <c r="U10" i="7"/>
  <c r="J10" i="7" s="1"/>
  <c r="M10" i="7" s="1"/>
  <c r="M10" i="9"/>
  <c r="L8" i="6"/>
  <c r="R9" i="16" s="1"/>
  <c r="Q15" i="13"/>
  <c r="X16" i="13"/>
  <c r="P15" i="9"/>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I14" i="9" l="1"/>
  <c r="N15" i="9"/>
  <c r="V16" i="13"/>
  <c r="X13" i="13"/>
  <c r="Z14" i="13"/>
  <c r="R13" i="9"/>
  <c r="M16" i="13"/>
  <c r="R14" i="9"/>
  <c r="Z15" i="13"/>
  <c r="L13" i="2"/>
  <c r="N14" i="16" s="1"/>
  <c r="L10" i="7"/>
  <c r="S11" i="16" s="1"/>
  <c r="P12" i="9"/>
  <c r="C14" i="9"/>
  <c r="N30" i="2"/>
  <c r="L14" i="2"/>
  <c r="N15" i="16" s="1"/>
  <c r="E15" i="13"/>
  <c r="E14" i="13"/>
  <c r="C13" i="9"/>
  <c r="L12" i="8"/>
  <c r="T13" i="16" s="1"/>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Y11" i="13"/>
  <c r="Q10" i="9"/>
  <c r="R12" i="9"/>
  <c r="L14" i="9"/>
  <c r="T15" i="13"/>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<sst xmlns="http://schemas.openxmlformats.org/spreadsheetml/2006/main" count="654" uniqueCount="141">
  <si>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</si>
  <si>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</si>
  <si>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</si>
  <si>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</si>
  <si>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</si>
  <si>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</si>
  <si>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</si>
  <si>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</si>
  <si>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</si>
  <si>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</si>
  <si>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</si>
  <si>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</si>
  <si>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</si>
  <si>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</si>
  <si>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</si>
  <si>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</si>
  <si>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</si>
  <si>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</si>
  <si>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</si>
  <si>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</si>
  <si>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</si>
  <si>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</si>
  <si>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</si>
  <si>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</si>
  <si>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</si>
  <si>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</si>
  <si>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</si>
  <si>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</si>
  <si>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</si>
  <si>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</si>
  <si>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</si>
  <si>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</si>
  <si>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</si>
  <si>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</si>
  <si>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</si>
  <si>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</si>
  <si>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</si>
  <si>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</si>
  <si>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</si>
  <si>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</si>
  <si>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</si>
  <si>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</si>
  <si>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</si>
  <si>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</si>
  <si>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</si>
  <si>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</si>
  <si>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</si>
  <si>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</si>
  <si>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</si>
  <si>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</si>
  <si>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</si>
  <si>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</si>
  <si>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</si>
  <si>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</si>
  <si>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</si>
  <si>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</si>
  <si>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</si>
  <si>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</si>
  <si>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</si>
  <si>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</si>
  <si>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</si>
  <si>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</si>
  <si>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</si>
  <si>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</si>
  <si>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</si>
  <si>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</si>
  <si>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</si>
  <si>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</si>
  <si>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</si>
  <si>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</si>
  <si>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</si>
  <si>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</si>
  <si>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</si>
  <si>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</si>
  <si>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</si>
  <si>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</si>
  <si>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</si>
  <si>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</si>
  <si>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</si>
  <si>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</si>
  <si>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</si>
  <si>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</si>
  <si>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</si>
  <si>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</si>
  <si>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</si>
  <si>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</si>
  <si>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</si>
  <si>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</si>
  <si>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</si>
  <si>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</si>
  <si>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</si>
  <si>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</si>
  <si>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</si>
  <si>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</si>
  <si>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</si>
  <si>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</si>
  <si>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</si>
  <si>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</si>
  <si>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</si>
  <si>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</si>
  <si>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</si>
  <si>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</si>
  <si>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</si>
  <si>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</si>
  <si>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</si>
  <si>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</si>
  <si>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</si>
  <si>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</si>
  <si>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</si>
  <si>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</si>
  <si>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</si>
  <si>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</si>
  <si>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</si>
  <si>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</si>
  <si>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</si>
  <si>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</si>
  <si>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</si>
  <si>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</si>
  <si>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</si>
  <si>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</si>
  <si>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</si>
  <si>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</si>
  <si>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</si>
  <si>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</si>
  <si>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</si>
  <si>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</si>
  <si>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</si>
  <si>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</si>
  <si>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</si>
  <si>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</si>
  <si>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</si>
  <si>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</si>
  <si>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</si>
  <si>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</si>
  <si>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</si>
  <si>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</si>
  <si>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</si>
  <si>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Lenawee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</si>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</sst>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Lenawee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N=14</c:v>
                </c:pt>
                <c:pt idx="3">
                  <c:v>Petitions, total N=28</c:v>
                </c:pt>
                <c:pt idx="4">
                  <c:v>Detentions, total N=22</c:v>
                </c:pt>
                <c:pt idx="5">
                  <c:v>Referrals, total N=133</c:v>
                </c:pt>
                <c:pt idx="6">
                  <c:v>Arrests, total N=61</c:v>
                </c:pt>
                <c:pt idx="7">
                  <c:v>Population, total N=8339</c:v>
                </c:pt>
              </c:strCache>
            </c:strRef>
          </c:cat>
          <c:val>
            <c:numRef>
              <c:f>'Stacked 100%'!$B$7:$B$14</c:f>
              <c:numCache>
                <c:formatCode>0%</c:formatCode>
                <c:ptCount val="8"/>
                <c:pt idx="0">
                  <c:v>0</c:v>
                </c:pt>
                <c:pt idx="1">
                  <c:v>0.1</c:v>
                </c:pt>
                <c:pt idx="2">
                  <c:v>0.14285714285714285</c:v>
                </c:pt>
                <c:pt idx="3">
                  <c:v>7.1428571428571425E-2</c:v>
                </c:pt>
                <c:pt idx="4">
                  <c:v>9.0909090909090912E-2</c:v>
                </c:pt>
                <c:pt idx="5">
                  <c:v>0.17293233082706766</c:v>
                </c:pt>
                <c:pt idx="6">
                  <c:v>9.8360655737704916E-2</c:v>
                </c:pt>
                <c:pt idx="7">
                  <c:v>3.8493824199544308E-2</c:v>
                </c:pt>
              </c:numCache>
            </c:numRef>
          </c:val>
          <c:extLst>
            <c:ext xmlns:c16="http://schemas.microsoft.com/office/drawing/2014/chart" uri="{C3380CC4-5D6E-409C-BE32-E72D297353CC}">
              <c16:uniqueId val="{00000000-AC5B-40FC-A4E5-B13DB23C34D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N=14</c:v>
                </c:pt>
                <c:pt idx="3">
                  <c:v>Petitions, total N=28</c:v>
                </c:pt>
                <c:pt idx="4">
                  <c:v>Detentions, total N=22</c:v>
                </c:pt>
                <c:pt idx="5">
                  <c:v>Referrals, total N=133</c:v>
                </c:pt>
                <c:pt idx="6">
                  <c:v>Arrests, total N=61</c:v>
                </c:pt>
                <c:pt idx="7">
                  <c:v>Population, total N=8339</c:v>
                </c:pt>
              </c:strCache>
            </c:strRef>
          </c:cat>
          <c:val>
            <c:numRef>
              <c:f>'Stacked 100%'!$C$7:$C$14</c:f>
              <c:numCache>
                <c:formatCode>0%</c:formatCode>
                <c:ptCount val="8"/>
                <c:pt idx="0">
                  <c:v>0</c:v>
                </c:pt>
                <c:pt idx="1">
                  <c:v>0</c:v>
                </c:pt>
                <c:pt idx="2">
                  <c:v>0</c:v>
                </c:pt>
                <c:pt idx="3">
                  <c:v>0</c:v>
                </c:pt>
                <c:pt idx="4">
                  <c:v>4.5454545454545456E-2</c:v>
                </c:pt>
                <c:pt idx="5">
                  <c:v>1.5037593984962405E-2</c:v>
                </c:pt>
                <c:pt idx="6">
                  <c:v>1.6393442622950821E-2</c:v>
                </c:pt>
                <c:pt idx="7">
                  <c:v>0.1393452452332414</c:v>
                </c:pt>
              </c:numCache>
            </c:numRef>
          </c:val>
          <c:extLst>
            <c:ext xmlns:c16="http://schemas.microsoft.com/office/drawing/2014/chart" uri="{C3380CC4-5D6E-409C-BE32-E72D297353CC}">
              <c16:uniqueId val="{00000001-AC5B-40FC-A4E5-B13DB23C34D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N=10</c:v>
                </c:pt>
                <c:pt idx="2">
                  <c:v>Delinquent Findings, total N=14</c:v>
                </c:pt>
                <c:pt idx="3">
                  <c:v>Petitions, total N=28</c:v>
                </c:pt>
                <c:pt idx="4">
                  <c:v>Detentions, total N=22</c:v>
                </c:pt>
                <c:pt idx="5">
                  <c:v>Referrals, total N=133</c:v>
                </c:pt>
                <c:pt idx="6">
                  <c:v>Arrests, total N=61</c:v>
                </c:pt>
                <c:pt idx="7">
                  <c:v>Population, total N=8339</c:v>
                </c:pt>
              </c:strCache>
            </c:strRef>
          </c:cat>
          <c:val>
            <c:numRef>
              <c:f>'Stacked 100%'!$H$7:$H$14</c:f>
              <c:numCache>
                <c:formatCode>0%</c:formatCode>
                <c:ptCount val="8"/>
                <c:pt idx="0">
                  <c:v>0</c:v>
                </c:pt>
                <c:pt idx="1">
                  <c:v>0</c:v>
                </c:pt>
                <c:pt idx="2">
                  <c:v>0</c:v>
                </c:pt>
                <c:pt idx="3">
                  <c:v>0</c:v>
                </c:pt>
                <c:pt idx="4">
                  <c:v>0</c:v>
                </c:pt>
                <c:pt idx="5">
                  <c:v>0</c:v>
                </c:pt>
                <c:pt idx="6">
                  <c:v>0</c:v>
                </c:pt>
                <c:pt idx="7">
                  <c:v>1.5674675193766667E-6</c:v>
                </c:pt>
              </c:numCache>
            </c:numRef>
          </c:val>
          <c:extLst>
            <c:ext xmlns:c16="http://schemas.microsoft.com/office/drawing/2014/chart" uri="{C3380CC4-5D6E-409C-BE32-E72D297353CC}">
              <c16:uniqueId val="{00000002-AC5B-40FC-A4E5-B13DB23C34D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N=14</c:v>
                </c:pt>
                <c:pt idx="3">
                  <c:v>Petitions, total N=28</c:v>
                </c:pt>
                <c:pt idx="4">
                  <c:v>Detentions, total N=22</c:v>
                </c:pt>
                <c:pt idx="5">
                  <c:v>Referrals, total N=133</c:v>
                </c:pt>
                <c:pt idx="6">
                  <c:v>Arrests, total N=61</c:v>
                </c:pt>
                <c:pt idx="7">
                  <c:v>Population, total N=8339</c:v>
                </c:pt>
              </c:strCache>
            </c:strRef>
          </c:cat>
          <c:val>
            <c:numRef>
              <c:f>'Stacked 100%'!$I$7:$I$14</c:f>
              <c:numCache>
                <c:formatCode>0%</c:formatCode>
                <c:ptCount val="8"/>
                <c:pt idx="0">
                  <c:v>0</c:v>
                </c:pt>
                <c:pt idx="1">
                  <c:v>0.5</c:v>
                </c:pt>
                <c:pt idx="2">
                  <c:v>0.7142857142857143</c:v>
                </c:pt>
                <c:pt idx="3">
                  <c:v>0.6785714285714286</c:v>
                </c:pt>
                <c:pt idx="4">
                  <c:v>0.81818181818181823</c:v>
                </c:pt>
                <c:pt idx="5">
                  <c:v>0.5864661654135338</c:v>
                </c:pt>
                <c:pt idx="6">
                  <c:v>0.88524590163934425</c:v>
                </c:pt>
                <c:pt idx="7">
                  <c:v>0.80908981892313225</c:v>
                </c:pt>
              </c:numCache>
            </c:numRef>
          </c:val>
          <c:extLst>
            <c:ext xmlns:c16="http://schemas.microsoft.com/office/drawing/2014/chart" uri="{C3380CC4-5D6E-409C-BE32-E72D297353CC}">
              <c16:uniqueId val="{00000003-AC5B-40FC-A4E5-B13DB23C34D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N=10</c:v>
                </c:pt>
                <c:pt idx="2">
                  <c:v>Delinquent Findings, total N=14</c:v>
                </c:pt>
                <c:pt idx="3">
                  <c:v>Petitions, total N=28</c:v>
                </c:pt>
                <c:pt idx="4">
                  <c:v>Detentions, total N=22</c:v>
                </c:pt>
                <c:pt idx="5">
                  <c:v>Referrals, total N=133</c:v>
                </c:pt>
                <c:pt idx="6">
                  <c:v>Arrests, total N=61</c:v>
                </c:pt>
                <c:pt idx="7">
                  <c:v>Population, total N=8339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5B-40FC-A4E5-B13DB23C34D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K15" sqref="K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9" t="s">
        <v>1</v>
      </c>
      <c r="C1" s="169"/>
      <c r="D1" s="169"/>
      <c r="E1" s="169"/>
      <c r="F1" s="169"/>
      <c r="G1" s="169"/>
      <c r="H1" s="169"/>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8339</v>
      </c>
      <c r="C6" s="11">
        <v>6747</v>
      </c>
      <c r="D6" s="11">
        <v>321</v>
      </c>
      <c r="E6" s="11">
        <v>1162</v>
      </c>
      <c r="F6" s="11">
        <v>68</v>
      </c>
      <c r="G6" s="11"/>
      <c r="H6" s="11">
        <v>41</v>
      </c>
      <c r="I6" s="11"/>
      <c r="J6" s="91">
        <f>SUM(D6:I6)</f>
        <v>1592</v>
      </c>
      <c r="K6" s="92"/>
    </row>
    <row r="7" spans="1:11" ht="15.75" customHeight="1" thickBot="1" x14ac:dyDescent="0.25">
      <c r="A7" s="10" t="s">
        <v>8</v>
      </c>
      <c r="B7" s="11">
        <f t="shared" ref="B7:B15" si="0">SUM(C7:I7)+K7</f>
        <v>61</v>
      </c>
      <c r="C7" s="11">
        <v>54</v>
      </c>
      <c r="D7" s="11">
        <v>6</v>
      </c>
      <c r="E7" s="11">
        <v>1</v>
      </c>
      <c r="F7" s="11"/>
      <c r="G7" s="11"/>
      <c r="H7" s="11"/>
      <c r="I7" s="11"/>
      <c r="J7" s="91">
        <f t="shared" ref="J7:J15" si="1">SUM(D7:I7)</f>
        <v>7</v>
      </c>
      <c r="K7" s="92"/>
    </row>
    <row r="8" spans="1:11" ht="15.75" customHeight="1" thickBot="1" x14ac:dyDescent="0.25">
      <c r="A8" s="10" t="s">
        <v>9</v>
      </c>
      <c r="B8" s="11">
        <f t="shared" si="0"/>
        <v>133</v>
      </c>
      <c r="C8" s="11">
        <v>78</v>
      </c>
      <c r="D8" s="11">
        <v>23</v>
      </c>
      <c r="E8" s="11">
        <v>2</v>
      </c>
      <c r="F8" s="11"/>
      <c r="G8" s="11"/>
      <c r="H8" s="11"/>
      <c r="I8" s="11"/>
      <c r="J8" s="91">
        <f t="shared" si="1"/>
        <v>25</v>
      </c>
      <c r="K8" s="92">
        <v>30</v>
      </c>
    </row>
    <row r="9" spans="1:11" ht="15.75" customHeight="1" thickBot="1" x14ac:dyDescent="0.25">
      <c r="A9" s="10" t="s">
        <v>10</v>
      </c>
      <c r="B9" s="11">
        <f t="shared" si="0"/>
        <v>15</v>
      </c>
      <c r="C9" s="11">
        <v>9</v>
      </c>
      <c r="D9" s="11">
        <v>4</v>
      </c>
      <c r="E9" s="11"/>
      <c r="F9" s="11"/>
      <c r="G9" s="11"/>
      <c r="H9" s="11"/>
      <c r="I9" s="11"/>
      <c r="J9" s="91">
        <v>0</v>
      </c>
      <c r="K9" s="92">
        <v>2</v>
      </c>
    </row>
    <row r="10" spans="1:11" ht="15.75" customHeight="1" thickBot="1" x14ac:dyDescent="0.25">
      <c r="A10" s="10" t="s">
        <v>11</v>
      </c>
      <c r="B10" s="11">
        <f t="shared" si="0"/>
        <v>22</v>
      </c>
      <c r="C10" s="11">
        <v>18</v>
      </c>
      <c r="D10" s="11">
        <v>2</v>
      </c>
      <c r="E10" s="11">
        <v>1</v>
      </c>
      <c r="F10" s="11"/>
      <c r="G10" s="11"/>
      <c r="H10" s="11"/>
      <c r="I10" s="11"/>
      <c r="J10" s="91">
        <f t="shared" si="1"/>
        <v>3</v>
      </c>
      <c r="K10" s="92">
        <v>1</v>
      </c>
    </row>
    <row r="11" spans="1:11" ht="15.75" customHeight="1" thickBot="1" x14ac:dyDescent="0.25">
      <c r="A11" s="10" t="s">
        <v>12</v>
      </c>
      <c r="B11" s="11">
        <f t="shared" si="0"/>
        <v>28</v>
      </c>
      <c r="C11" s="11">
        <v>19</v>
      </c>
      <c r="D11" s="11">
        <v>2</v>
      </c>
      <c r="E11" s="11"/>
      <c r="F11" s="11"/>
      <c r="G11" s="11"/>
      <c r="H11" s="11"/>
      <c r="I11" s="11"/>
      <c r="J11" s="91">
        <f t="shared" si="1"/>
        <v>2</v>
      </c>
      <c r="K11" s="92">
        <v>7</v>
      </c>
    </row>
    <row r="12" spans="1:11" ht="15.75" customHeight="1" thickBot="1" x14ac:dyDescent="0.25">
      <c r="A12" s="10" t="s">
        <v>13</v>
      </c>
      <c r="B12" s="11">
        <f t="shared" si="0"/>
        <v>14</v>
      </c>
      <c r="C12" s="11">
        <v>10</v>
      </c>
      <c r="D12" s="11">
        <v>2</v>
      </c>
      <c r="E12" s="11"/>
      <c r="F12" s="11"/>
      <c r="G12" s="11"/>
      <c r="H12" s="11"/>
      <c r="I12" s="11"/>
      <c r="J12" s="91">
        <f t="shared" si="1"/>
        <v>2</v>
      </c>
      <c r="K12" s="92">
        <v>2</v>
      </c>
    </row>
    <row r="13" spans="1:11" ht="15.75" customHeight="1" thickBot="1" x14ac:dyDescent="0.25">
      <c r="A13" s="10" t="s">
        <v>133</v>
      </c>
      <c r="B13" s="11">
        <f t="shared" si="0"/>
        <v>2</v>
      </c>
      <c r="C13" s="11">
        <v>2</v>
      </c>
      <c r="D13" s="11"/>
      <c r="E13" s="11"/>
      <c r="F13" s="11"/>
      <c r="G13" s="11"/>
      <c r="H13" s="11"/>
      <c r="I13" s="11"/>
      <c r="J13" s="91">
        <f t="shared" si="1"/>
        <v>0</v>
      </c>
      <c r="K13" s="92"/>
    </row>
    <row r="14" spans="1:11" ht="26.25" customHeight="1" thickBot="1" x14ac:dyDescent="0.25">
      <c r="A14" s="10" t="s">
        <v>123</v>
      </c>
      <c r="B14" s="11">
        <f t="shared" si="0"/>
        <v>10</v>
      </c>
      <c r="C14" s="11">
        <v>5</v>
      </c>
      <c r="D14" s="11">
        <v>1</v>
      </c>
      <c r="E14" s="11"/>
      <c r="F14" s="11"/>
      <c r="G14" s="11"/>
      <c r="H14" s="11"/>
      <c r="I14" s="11"/>
      <c r="J14" s="91">
        <f t="shared" si="1"/>
        <v>1</v>
      </c>
      <c r="K14" s="92">
        <v>4</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0" t="s">
        <v>138</v>
      </c>
      <c r="B19" s="170"/>
      <c r="C19" s="8"/>
      <c r="D19" s="170" t="s">
        <v>139</v>
      </c>
      <c r="E19" s="170"/>
      <c r="F19" s="170"/>
      <c r="G19" s="170"/>
      <c r="H19" s="170"/>
      <c r="I19" s="170"/>
    </row>
    <row r="20" spans="1:9" ht="15" customHeight="1" x14ac:dyDescent="0.25">
      <c r="A20" s="170" t="s">
        <v>108</v>
      </c>
      <c r="B20" s="170"/>
      <c r="C20" s="8"/>
      <c r="D20" s="170" t="s">
        <v>109</v>
      </c>
      <c r="E20" s="170"/>
      <c r="F20" s="170"/>
      <c r="G20" s="170"/>
      <c r="H20" s="170"/>
      <c r="I20" s="170"/>
    </row>
    <row r="21" spans="1:9" ht="15" customHeight="1" x14ac:dyDescent="0.25">
      <c r="A21" s="170" t="s">
        <v>110</v>
      </c>
      <c r="B21" s="170"/>
      <c r="C21" s="8"/>
      <c r="D21" s="170" t="s">
        <v>111</v>
      </c>
      <c r="E21" s="170"/>
      <c r="F21" s="170"/>
      <c r="G21" s="170"/>
      <c r="H21" s="170"/>
      <c r="I21" s="170"/>
    </row>
    <row r="22" spans="1:9" ht="15" customHeight="1" x14ac:dyDescent="0.25">
      <c r="A22" s="170" t="s">
        <v>112</v>
      </c>
      <c r="B22" s="170"/>
      <c r="C22" s="8"/>
      <c r="D22" s="170" t="s">
        <v>113</v>
      </c>
      <c r="E22" s="170"/>
      <c r="F22" s="170"/>
      <c r="G22" s="170"/>
      <c r="H22" s="170"/>
      <c r="I22" s="170"/>
    </row>
    <row r="23" spans="1:9" ht="15" customHeight="1" x14ac:dyDescent="0.25">
      <c r="A23" s="170" t="s">
        <v>114</v>
      </c>
      <c r="B23" s="170"/>
      <c r="C23" s="8"/>
      <c r="D23" s="170" t="s">
        <v>115</v>
      </c>
      <c r="E23" s="170"/>
      <c r="F23" s="170"/>
      <c r="G23" s="170"/>
      <c r="H23" s="170"/>
      <c r="I23" s="170"/>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6693</v>
      </c>
      <c r="R7" s="42">
        <f t="shared" ref="R7:R15" si="5">SUM(N7:Q7)</f>
        <v>6747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78</v>
      </c>
      <c r="D8" s="34">
        <f>IF((AND(C67&gt;0,C8&gt;0)),(C8/C67),0)</f>
        <v>144.44444444444443</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78</v>
      </c>
      <c r="Q8" s="42">
        <f>(C$67*L67)-C8</f>
        <v>-24</v>
      </c>
      <c r="R8" s="42">
        <f t="shared" si="5"/>
        <v>54.05</v>
      </c>
      <c r="S8" s="30">
        <f t="shared" si="6"/>
        <v>822.10050000000012</v>
      </c>
      <c r="T8" s="30">
        <f t="shared" si="7"/>
        <v>-5043.8700000000008</v>
      </c>
      <c r="U8" s="31">
        <f t="shared" si="8"/>
        <v>-0.16299002551612154</v>
      </c>
    </row>
    <row r="9" spans="2:21" ht="18" customHeight="1" x14ac:dyDescent="0.25">
      <c r="B9" s="32" t="str">
        <f>'Data Entry'!A9</f>
        <v xml:space="preserve">4. Cases Diverted </v>
      </c>
      <c r="C9" s="33">
        <f>'Data Entry'!C9</f>
        <v>9</v>
      </c>
      <c r="D9" s="34">
        <f>IF((AND(C68&gt;0,C9&gt;0)),((C9/C68)),0)</f>
        <v>11.538461538461538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69</v>
      </c>
      <c r="R9" s="42">
        <f t="shared" si="5"/>
        <v>78</v>
      </c>
      <c r="S9" s="30">
        <f t="shared" si="6"/>
        <v>0</v>
      </c>
      <c r="T9" s="30">
        <f t="shared" si="7"/>
        <v>0</v>
      </c>
      <c r="U9" s="31" t="str">
        <f t="shared" si="8"/>
        <v>- -</v>
      </c>
    </row>
    <row r="10" spans="2:21" ht="18" customHeight="1" x14ac:dyDescent="0.25">
      <c r="B10" s="32" t="str">
        <f>'Data Entry'!A10</f>
        <v>5. Cases Involving Secure Detention</v>
      </c>
      <c r="C10" s="33">
        <f>'Data Entry'!C10</f>
        <v>18</v>
      </c>
      <c r="D10" s="34">
        <f>IF(((AND(C68&gt;0,C10&gt;0))),(C10/(C68)),0)</f>
        <v>23.076923076923077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v>
      </c>
      <c r="Q10" s="42">
        <f>(C$68*L68)-C10</f>
        <v>60</v>
      </c>
      <c r="R10" s="42">
        <f t="shared" si="5"/>
        <v>78</v>
      </c>
      <c r="S10" s="30">
        <f t="shared" si="6"/>
        <v>0</v>
      </c>
      <c r="T10" s="30">
        <f t="shared" si="7"/>
        <v>0</v>
      </c>
      <c r="U10" s="31" t="str">
        <f t="shared" si="8"/>
        <v>- -</v>
      </c>
    </row>
    <row r="11" spans="2:21" ht="18" customHeight="1" x14ac:dyDescent="0.25">
      <c r="B11" s="32" t="str">
        <f>'Data Entry'!A11</f>
        <v>6. Cases Petitioned (Charge Filed)</v>
      </c>
      <c r="C11" s="33">
        <f>'Data Entry'!C11</f>
        <v>19</v>
      </c>
      <c r="D11" s="34">
        <f>IF(((AND(C68&gt;0,C11&gt;0))),(C11/(C68)),0)</f>
        <v>24.358974358974358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59</v>
      </c>
      <c r="R11" s="42">
        <f t="shared" si="5"/>
        <v>78</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52.631578947368418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9</v>
      </c>
      <c r="R12" s="42">
        <f t="shared" si="5"/>
        <v>19</v>
      </c>
      <c r="S12" s="30">
        <f t="shared" si="6"/>
        <v>0</v>
      </c>
      <c r="T12" s="30">
        <f t="shared" si="7"/>
        <v>0</v>
      </c>
      <c r="U12" s="31" t="str">
        <f t="shared" si="8"/>
        <v>- -</v>
      </c>
    </row>
    <row r="13" spans="2:21" ht="18" customHeight="1" x14ac:dyDescent="0.25">
      <c r="B13" s="32" t="str">
        <f>'Data Entry'!A13</f>
        <v>8. Cases Resulting in Probation Placement</v>
      </c>
      <c r="C13" s="33">
        <f>'Data Entry'!C13</f>
        <v>2</v>
      </c>
      <c r="D13" s="34">
        <f>IF(((AND(C70&gt;0,C13&gt;0))),(C13/(C70)),0)</f>
        <v>20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8</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0</v>
      </c>
      <c r="E42" s="56">
        <f>MAX(C42:D42)</f>
        <v>6.7469999999999999</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0.78</v>
      </c>
      <c r="D44" s="56">
        <f>E8/100</f>
        <v>0</v>
      </c>
      <c r="E44" s="56">
        <f>MAX(C44:D44,0)</f>
        <v>0.78</v>
      </c>
      <c r="G44" s="1" t="str">
        <f>B44</f>
        <v>per 100 referrals</v>
      </c>
      <c r="L44" s="57">
        <v>100</v>
      </c>
      <c r="M44" s="57"/>
      <c r="R44" s="49"/>
    </row>
    <row r="45" spans="2:18" ht="15" hidden="1" customHeight="1" x14ac:dyDescent="0.25">
      <c r="B45" s="49" t="s">
        <v>89</v>
      </c>
      <c r="C45" s="49">
        <f>C11/100</f>
        <v>0.19</v>
      </c>
      <c r="D45" s="49">
        <f>E11/100</f>
        <v>0</v>
      </c>
      <c r="E45" s="56">
        <f>MAX(C45:D45,0)</f>
        <v>0.19</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0</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0</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0</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0</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Entry'!J6</f>
        <v>1592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Entry'!J7</f>
        <v>7</v>
      </c>
      <c r="F7" s="34">
        <f>IF((AND($E$7&gt;0,$D$66&gt;0)),($E$7/$D$66),0)</f>
        <v>4.3969849246231156</v>
      </c>
      <c r="G7" s="39">
        <f t="shared" ref="G7:G15" si="0">IF(L$6=100,"*",IF(M7=FALSE,"--",IF(K7=20,"**",($F7/$D7))))</f>
        <v>0.54937883863763259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1585</v>
      </c>
      <c r="P7" s="42">
        <f t="shared" ref="P7:P15" si="4">C7</f>
        <v>54</v>
      </c>
      <c r="Q7" s="42">
        <f>C6-C7</f>
        <v>6693</v>
      </c>
      <c r="R7" s="42">
        <f t="shared" ref="R7:R15" si="5">SUM(N7:Q7)</f>
        <v>8339</v>
      </c>
      <c r="S7" s="30">
        <f t="shared" ref="S7:S15" si="6">R7*((((N7*Q7)-(O7*P7))^2))</f>
        <v>12514421699019</v>
      </c>
      <c r="T7" s="30">
        <f t="shared" ref="T7:T15" si="7">(N7+O7)*(P7+Q7)*(N7+P7)*(O7+Q7)</f>
        <v>5423866988592</v>
      </c>
      <c r="U7" s="31">
        <f t="shared" ref="U7:U15" si="8">IF((S7&gt;0),S7/T7,"- -")</f>
        <v>2.3072877202447142</v>
      </c>
    </row>
    <row r="8" spans="2:21" ht="18" customHeight="1" x14ac:dyDescent="0.25">
      <c r="B8" s="32" t="str">
        <f>'Data Entry'!A8</f>
        <v>3. Refer to Juvenile Court</v>
      </c>
      <c r="C8" s="33">
        <f>'Data Entry'!C8</f>
        <v>78</v>
      </c>
      <c r="D8" s="34">
        <f>IF((AND(C67&gt;0,C8&gt;0)),(C8/C67),0)</f>
        <v>144.44444444444443</v>
      </c>
      <c r="E8" s="33">
        <f>'Data Entry'!J8</f>
        <v>25</v>
      </c>
      <c r="F8" s="34">
        <f>IF((AND($E$8&gt;0,$D$67&gt;0)),($E8/$D67),0)</f>
        <v>357.14285714285711</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25</v>
      </c>
      <c r="O8" s="42">
        <f>((D67*L67)-E8)+0.05</f>
        <v>-17.95</v>
      </c>
      <c r="P8" s="42">
        <f t="shared" si="4"/>
        <v>78</v>
      </c>
      <c r="Q8" s="42">
        <f>(C$67*L67)-C8</f>
        <v>-24</v>
      </c>
      <c r="R8" s="42">
        <f t="shared" si="5"/>
        <v>61.05</v>
      </c>
      <c r="S8" s="30">
        <f t="shared" si="6"/>
        <v>39081768.610499993</v>
      </c>
      <c r="T8" s="30">
        <f t="shared" si="7"/>
        <v>-1644947.5950000004</v>
      </c>
      <c r="U8" s="31">
        <f t="shared" si="8"/>
        <v>-23.758670932310146</v>
      </c>
    </row>
    <row r="9" spans="2:21" ht="18" customHeight="1" x14ac:dyDescent="0.25">
      <c r="B9" s="32" t="str">
        <f>'Data Entry'!A9</f>
        <v xml:space="preserve">4. Cases Diverted </v>
      </c>
      <c r="C9" s="33">
        <f>'Data Entry'!C9</f>
        <v>9</v>
      </c>
      <c r="D9" s="34">
        <f>IF((AND(C68&gt;0,C9&gt;0)),((C9/C68)),0)</f>
        <v>11.538461538461538</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25</v>
      </c>
      <c r="P9" s="42">
        <f t="shared" si="4"/>
        <v>9</v>
      </c>
      <c r="Q9" s="42">
        <f>(C$68*L68)-C9</f>
        <v>69</v>
      </c>
      <c r="R9" s="42">
        <f t="shared" si="5"/>
        <v>103</v>
      </c>
      <c r="S9" s="30">
        <f t="shared" si="6"/>
        <v>5214375</v>
      </c>
      <c r="T9" s="30">
        <f t="shared" si="7"/>
        <v>1649700</v>
      </c>
      <c r="U9" s="31">
        <f t="shared" si="8"/>
        <v>3.1608019639934533</v>
      </c>
    </row>
    <row r="10" spans="2:21" ht="18" customHeight="1" x14ac:dyDescent="0.25">
      <c r="B10" s="32" t="str">
        <f>'Data Entry'!A10</f>
        <v>5. Cases Involving Secure Detention</v>
      </c>
      <c r="C10" s="33">
        <f>'Data Entry'!C10</f>
        <v>18</v>
      </c>
      <c r="D10" s="34">
        <f>IF(((AND(C68&gt;0,C10&gt;0))),(C10/(C68)),0)</f>
        <v>23.076923076923077</v>
      </c>
      <c r="E10" s="33">
        <f>'Data Entry'!J10</f>
        <v>3</v>
      </c>
      <c r="F10" s="34">
        <f>IF(((AND($E$10&gt;0,$D$68&gt;0))),($E$10/($D$68)),0)</f>
        <v>12</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22</v>
      </c>
      <c r="P10" s="42">
        <f t="shared" si="4"/>
        <v>18</v>
      </c>
      <c r="Q10" s="42">
        <f>(C$68*L68)-C10</f>
        <v>60</v>
      </c>
      <c r="R10" s="42">
        <f t="shared" si="5"/>
        <v>103</v>
      </c>
      <c r="S10" s="30">
        <f t="shared" si="6"/>
        <v>4805568</v>
      </c>
      <c r="T10" s="30">
        <f t="shared" si="7"/>
        <v>3357900</v>
      </c>
      <c r="U10" s="31">
        <f t="shared" si="8"/>
        <v>1.4311230233181453</v>
      </c>
    </row>
    <row r="11" spans="2:21" ht="18" customHeight="1" x14ac:dyDescent="0.25">
      <c r="B11" s="32" t="str">
        <f>'Data Entry'!A11</f>
        <v>6. Cases Petitioned (Charge Filed)</v>
      </c>
      <c r="C11" s="33">
        <f>'Data Entry'!C11</f>
        <v>19</v>
      </c>
      <c r="D11" s="34">
        <f>IF(((AND(C68&gt;0,C11&gt;0))),(C11/(C68)),0)</f>
        <v>24.358974358974358</v>
      </c>
      <c r="E11" s="33">
        <f>'Data Entry'!J11</f>
        <v>2</v>
      </c>
      <c r="F11" s="34">
        <f>IF(((AND($E$11&gt;0,$D$68&gt;0))),($E$11/($D$68)),0)</f>
        <v>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23</v>
      </c>
      <c r="P11" s="42">
        <f t="shared" si="4"/>
        <v>19</v>
      </c>
      <c r="Q11" s="42">
        <f>(C$68*L68)-C11</f>
        <v>59</v>
      </c>
      <c r="R11" s="42">
        <f t="shared" si="5"/>
        <v>103</v>
      </c>
      <c r="S11" s="30">
        <f t="shared" si="6"/>
        <v>10481383</v>
      </c>
      <c r="T11" s="30">
        <f t="shared" si="7"/>
        <v>3357900</v>
      </c>
      <c r="U11" s="31">
        <f t="shared" si="8"/>
        <v>3.1214101075076686</v>
      </c>
    </row>
    <row r="12" spans="2:21" ht="18" customHeight="1" x14ac:dyDescent="0.25">
      <c r="B12" s="32" t="str">
        <f>'Data Entry'!A12</f>
        <v>7. Cases Resulting in Delinquent Findings</v>
      </c>
      <c r="C12" s="33">
        <f>'Data Entry'!C12</f>
        <v>10</v>
      </c>
      <c r="D12" s="34">
        <f>IF(((AND(C69&gt;0,C12&gt;0))),(C12/(C69)),0)</f>
        <v>52.631578947368418</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10</v>
      </c>
      <c r="Q12" s="42">
        <f>(C69*L69)-C12</f>
        <v>9</v>
      </c>
      <c r="R12" s="42">
        <f t="shared" si="5"/>
        <v>21</v>
      </c>
      <c r="S12" s="30">
        <f t="shared" si="6"/>
        <v>6804</v>
      </c>
      <c r="T12" s="30">
        <f t="shared" si="7"/>
        <v>4104</v>
      </c>
      <c r="U12" s="31">
        <f t="shared" si="8"/>
        <v>1.6578947368421053</v>
      </c>
    </row>
    <row r="13" spans="2:21" ht="18" customHeight="1" x14ac:dyDescent="0.25">
      <c r="B13" s="32" t="str">
        <f>'Data Entry'!A13</f>
        <v>8. Cases Resulting in Probation Placement</v>
      </c>
      <c r="C13" s="33">
        <f>'Data Entry'!C13</f>
        <v>2</v>
      </c>
      <c r="D13" s="34">
        <f>IF(((AND(C70&gt;0,C13&gt;0))),(C13/(C70)),0)</f>
        <v>20</v>
      </c>
      <c r="E13" s="33">
        <f>'Data Entry'!J13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2</v>
      </c>
      <c r="P13" s="42">
        <f t="shared" si="4"/>
        <v>2</v>
      </c>
      <c r="Q13" s="42">
        <f>(C70*L70)-C13</f>
        <v>8</v>
      </c>
      <c r="R13" s="42">
        <f t="shared" si="5"/>
        <v>12</v>
      </c>
      <c r="S13" s="30">
        <f t="shared" si="6"/>
        <v>192</v>
      </c>
      <c r="T13" s="30">
        <f t="shared" si="7"/>
        <v>400</v>
      </c>
      <c r="U13" s="31">
        <f t="shared" si="8"/>
        <v>0.48</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Entry'!J14</f>
        <v>1</v>
      </c>
      <c r="F14" s="34">
        <f>IF(((AND($D$70&gt;0,$E$14&gt;0))), (($E$14/($D$70))),0)</f>
        <v>50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1</v>
      </c>
      <c r="O14" s="42">
        <f>(D70*L70)-E14</f>
        <v>1</v>
      </c>
      <c r="P14" s="42">
        <f t="shared" si="4"/>
        <v>5</v>
      </c>
      <c r="Q14" s="42">
        <f>(C70*L70)-C14</f>
        <v>5</v>
      </c>
      <c r="R14" s="42">
        <f t="shared" si="5"/>
        <v>12</v>
      </c>
      <c r="S14" s="30">
        <f t="shared" si="6"/>
        <v>0</v>
      </c>
      <c r="T14" s="30">
        <f t="shared" si="7"/>
        <v>720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19</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1.5920000000000001</v>
      </c>
      <c r="E42" s="56">
        <f>MAX(C42:D42)</f>
        <v>6.7469999999999999</v>
      </c>
      <c r="G42" s="1" t="str">
        <f>B42</f>
        <v>per 1000 youth</v>
      </c>
      <c r="L42" s="57">
        <v>1000</v>
      </c>
      <c r="M42" s="57"/>
      <c r="R42" s="49"/>
    </row>
    <row r="43" spans="2:18" ht="15" hidden="1" customHeight="1" x14ac:dyDescent="0.25">
      <c r="B43" s="49" t="s">
        <v>87</v>
      </c>
      <c r="C43" s="56">
        <f>C7/100</f>
        <v>0.54</v>
      </c>
      <c r="D43" s="56">
        <f>E7/100</f>
        <v>7.0000000000000007E-2</v>
      </c>
      <c r="E43" s="56">
        <f>MAX(C43:D43,0)</f>
        <v>0.54</v>
      </c>
      <c r="G43" s="1" t="str">
        <f>B43</f>
        <v>per 100 arrests</v>
      </c>
      <c r="L43" s="57">
        <v>100</v>
      </c>
      <c r="M43" s="57"/>
      <c r="R43" s="49"/>
    </row>
    <row r="44" spans="2:18" ht="15" hidden="1" customHeight="1" x14ac:dyDescent="0.25">
      <c r="B44" s="49" t="s">
        <v>88</v>
      </c>
      <c r="C44" s="56">
        <f>C8/100</f>
        <v>0.78</v>
      </c>
      <c r="D44" s="56">
        <f>E8/100</f>
        <v>0.25</v>
      </c>
      <c r="E44" s="56">
        <f>MAX(C44:D44,0)</f>
        <v>0.78</v>
      </c>
      <c r="G44" s="1" t="str">
        <f>B44</f>
        <v>per 100 referrals</v>
      </c>
      <c r="L44" s="57">
        <v>100</v>
      </c>
      <c r="M44" s="57"/>
      <c r="R44" s="49"/>
    </row>
    <row r="45" spans="2:18" ht="15" hidden="1" customHeight="1" x14ac:dyDescent="0.25">
      <c r="B45" s="49" t="s">
        <v>89</v>
      </c>
      <c r="C45" s="49">
        <f>C11/100</f>
        <v>0.19</v>
      </c>
      <c r="D45" s="49">
        <f>E11/100</f>
        <v>0.02</v>
      </c>
      <c r="E45" s="56">
        <f>MAX(C45:D45,0)</f>
        <v>0.19</v>
      </c>
      <c r="G45" s="1" t="str">
        <f>B45</f>
        <v>per 100 youth petitioned</v>
      </c>
      <c r="L45" s="57">
        <v>100</v>
      </c>
      <c r="M45" s="57"/>
      <c r="R45" s="49"/>
    </row>
    <row r="46" spans="2:18" ht="15" hidden="1" customHeight="1" x14ac:dyDescent="0.25">
      <c r="B46" s="49" t="s">
        <v>90</v>
      </c>
      <c r="C46" s="49">
        <f>C12/100</f>
        <v>0.1</v>
      </c>
      <c r="D46" s="49">
        <f>E12/100</f>
        <v>0.02</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1.5920000000000001</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7.0000000000000007E-2</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0.25</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0.02</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1.5920000000000001</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7.0000000000000007E-2</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0.25</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0.02</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1.5920000000000001</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7.0000000000000007E-2</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0.25</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0.02</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1.5920000000000001</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7.0000000000000007E-2</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0.25</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0.02</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Lenawee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2.3354101765316719</v>
      </c>
      <c r="D7" s="72" t="str">
        <f>Hispanic!G7</f>
        <v>**</v>
      </c>
      <c r="E7" s="72" t="str">
        <f>Asian!G7</f>
        <v>*</v>
      </c>
      <c r="F7" s="72" t="str">
        <f>Hawaiian!G7</f>
        <v>*</v>
      </c>
      <c r="G7" s="72" t="str">
        <f>'Am Indian'!G7</f>
        <v>*</v>
      </c>
      <c r="H7" s="72" t="str">
        <f>'Other - Mixed'!G7</f>
        <v>*</v>
      </c>
      <c r="I7" s="73">
        <f>'All Minorities'!G7</f>
        <v>0.54937883863763259</v>
      </c>
      <c r="L7" s="1">
        <f>'Black or African-American'!L7</f>
        <v>1</v>
      </c>
      <c r="M7" s="1">
        <f>Hispanic!L7</f>
        <v>20</v>
      </c>
      <c r="N7" s="1">
        <f>Asian!L7</f>
        <v>139</v>
      </c>
      <c r="O7" s="1" t="e">
        <f>Hawaiian!L7</f>
        <v>#VALUE!</v>
      </c>
      <c r="P7" s="1">
        <f>'Am Indian'!L7</f>
        <v>139</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8339</v>
      </c>
      <c r="D3" s="57">
        <f>'Data Entry'!C6</f>
        <v>6747</v>
      </c>
      <c r="E3" s="57">
        <f>'Data Entry'!D6</f>
        <v>321</v>
      </c>
      <c r="F3" s="57">
        <f>'Data Entry'!E6</f>
        <v>1162</v>
      </c>
      <c r="G3" s="57">
        <f>'Data Entry'!F6</f>
        <v>68</v>
      </c>
      <c r="H3" s="57">
        <f>'Data Entry'!G6</f>
        <v>0</v>
      </c>
      <c r="I3" s="57">
        <f>'Data Entry'!H6</f>
        <v>41</v>
      </c>
      <c r="J3" s="57">
        <f>'Data Entry'!I6</f>
        <v>0</v>
      </c>
      <c r="K3" s="57">
        <f>'Data Entry'!J6</f>
        <v>1592</v>
      </c>
    </row>
    <row r="4" spans="2:11" ht="15" customHeight="1" x14ac:dyDescent="0.25">
      <c r="B4" s="16" t="s">
        <v>8</v>
      </c>
      <c r="C4" s="1">
        <f>IF((C$3&gt;0),(1000*('Data Entry'!B7/'Data Entry'!B$6)), 0)</f>
        <v>7.3150257824679219</v>
      </c>
      <c r="D4" s="1">
        <f>IF((D$3&gt;0),(1000*('Data Entry'!C7/'Data Entry'!C$6)), 0)</f>
        <v>8.0035571365051137</v>
      </c>
      <c r="E4" s="1">
        <f>IF((E$3&gt;0),(1000*('Data Entry'!D7/'Data Entry'!D$6)), 0)</f>
        <v>18.691588785046729</v>
      </c>
      <c r="F4" s="1">
        <f>IF((F$3&gt;0),(1000*('Data Entry'!E7/'Data Entry'!E$6)), 0)</f>
        <v>0.86058519793459554</v>
      </c>
      <c r="G4" s="1">
        <f>IF((G$3&gt;0),(1000*('Data Entry'!F7/'Data Entry'!F$6)), 0)</f>
        <v>0</v>
      </c>
      <c r="H4" s="1">
        <f>IF((H$3&gt;0),(1000*('Data Entry'!G7/'Data Entry'!G$6)), 0)</f>
        <v>0</v>
      </c>
      <c r="I4" s="1">
        <f>IF((I$3&gt;0),(1000*('Data Entry'!H7/'Data Entry'!H$6)), 0)</f>
        <v>0</v>
      </c>
      <c r="J4" s="1">
        <f>IF((J$3&gt;0),(1000*('Data Entry'!I7/'Data Entry'!I$6)), 0)</f>
        <v>0</v>
      </c>
      <c r="K4" s="1">
        <f>IF((K$3&gt;0),(1000*('Data Entry'!J7/'Data Entry'!J$6)), 0)</f>
        <v>4.3969849246231156</v>
      </c>
    </row>
    <row r="5" spans="2:11" ht="15" customHeight="1" x14ac:dyDescent="0.25">
      <c r="B5" s="16" t="s">
        <v>9</v>
      </c>
      <c r="C5" s="1">
        <f>IF((C$3&gt;0),(1000*('Data Entry'!B8/'Data Entry'!B$6)), 0)</f>
        <v>15.949154574889073</v>
      </c>
      <c r="D5" s="1">
        <f>IF((D$3&gt;0),(1000*('Data Entry'!C8/'Data Entry'!C$6)), 0)</f>
        <v>11.560693641618496</v>
      </c>
      <c r="E5" s="1">
        <f>IF((E$3&gt;0),(1000*('Data Entry'!D8/'Data Entry'!D$6)), 0)</f>
        <v>71.651090342679126</v>
      </c>
      <c r="F5" s="1">
        <f>IF((F$3&gt;0),(1000*('Data Entry'!E8/'Data Entry'!E$6)), 0)</f>
        <v>1.7211703958691911</v>
      </c>
      <c r="G5" s="1">
        <f>IF((G$3&gt;0),(1000*('Data Entry'!F8/'Data Entry'!F$6)), 0)</f>
        <v>0</v>
      </c>
      <c r="H5" s="1">
        <f>IF((H$3&gt;0),(1000*('Data Entry'!G8/'Data Entry'!G$6)), 0)</f>
        <v>0</v>
      </c>
      <c r="I5" s="1">
        <f>IF((I$3&gt;0),(1000*('Data Entry'!H8/'Data Entry'!H$6)), 0)</f>
        <v>0</v>
      </c>
      <c r="J5" s="1">
        <f>IF((J$3&gt;0),(1000*('Data Entry'!I8/'Data Entry'!I$6)), 0)</f>
        <v>0</v>
      </c>
      <c r="K5" s="1">
        <f>IF((K$3&gt;0),(1000*('Data Entry'!J8/'Data Entry'!J$6)), 0)</f>
        <v>15.703517587939697</v>
      </c>
    </row>
    <row r="6" spans="2:11" ht="15" customHeight="1" x14ac:dyDescent="0.25">
      <c r="B6" s="16" t="s">
        <v>10</v>
      </c>
      <c r="C6" s="1">
        <f>IF((C$3&gt;0),(1000*('Data Entry'!B9/'Data Entry'!B$6)), 0)</f>
        <v>1.7987768317544071</v>
      </c>
      <c r="D6" s="1">
        <f>IF((D$3&gt;0),(1000*('Data Entry'!C9/'Data Entry'!C$6)), 0)</f>
        <v>1.3339261894175187</v>
      </c>
      <c r="E6" s="1">
        <f>IF((E$3&gt;0),(1000*('Data Entry'!D9/'Data Entry'!D$6)), 0)</f>
        <v>12.461059190031152</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2.6382060199064639</v>
      </c>
      <c r="D7" s="1">
        <f>IF((D$3&gt;0),(1000*('Data Entry'!C10/'Data Entry'!C$6)), 0)</f>
        <v>2.6678523788350375</v>
      </c>
      <c r="E7" s="1">
        <f>IF((E$3&gt;0),(1000*('Data Entry'!D10/'Data Entry'!D$6)), 0)</f>
        <v>6.2305295950155761</v>
      </c>
      <c r="F7" s="1">
        <f>IF((F$3&gt;0),(1000*('Data Entry'!E10/'Data Entry'!E$6)), 0)</f>
        <v>0.86058519793459554</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1.8844221105527637</v>
      </c>
    </row>
    <row r="8" spans="2:11" ht="15" customHeight="1" x14ac:dyDescent="0.25">
      <c r="B8" s="16" t="s">
        <v>95</v>
      </c>
      <c r="C8" s="1">
        <f>IF((C$3&gt;0),(1000*('Data Entry'!B11/'Data Entry'!B$6)), 0)</f>
        <v>3.3577167526082263</v>
      </c>
      <c r="D8" s="1">
        <f>IF((D$3&gt;0),(1000*('Data Entry'!C11/'Data Entry'!C$6)), 0)</f>
        <v>2.8160663998814286</v>
      </c>
      <c r="E8" s="1">
        <f>IF((E$3&gt;0),(1000*('Data Entry'!D11/'Data Entry'!D$6)), 0)</f>
        <v>6.2305295950155761</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1.256281407035176</v>
      </c>
    </row>
    <row r="9" spans="2:11" ht="15" customHeight="1" x14ac:dyDescent="0.25">
      <c r="B9" s="16" t="s">
        <v>13</v>
      </c>
      <c r="C9" s="1">
        <f>IF((C$3&gt;0),(1000*('Data Entry'!B12/'Data Entry'!B$6)), 0)</f>
        <v>1.6788583763041132</v>
      </c>
      <c r="D9" s="1">
        <f>IF((D$3&gt;0),(1000*('Data Entry'!C12/'Data Entry'!C$6)), 0)</f>
        <v>1.4821402104639099</v>
      </c>
      <c r="E9" s="1">
        <f>IF((E$3&gt;0),(1000*('Data Entry'!D12/'Data Entry'!D$6)), 0)</f>
        <v>6.2305295950155761</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1.256281407035176</v>
      </c>
    </row>
    <row r="10" spans="2:11" ht="15" customHeight="1" x14ac:dyDescent="0.25">
      <c r="B10" s="16" t="s">
        <v>14</v>
      </c>
      <c r="C10" s="1">
        <f>IF((C$3&gt;0),(1000*('Data Entry'!B13/'Data Entry'!B$6)), 0)</f>
        <v>0.23983691090058759</v>
      </c>
      <c r="D10" s="1">
        <f>IF((D$3&gt;0),(1000*('Data Entry'!C13/'Data Entry'!C$6)), 0)</f>
        <v>0.29642804209278195</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1.199184554502938</v>
      </c>
      <c r="D11" s="1">
        <f>IF((D$3&gt;0),(1000*('Data Entry'!C14/'Data Entry'!C$6)), 0)</f>
        <v>0.74107010523195493</v>
      </c>
      <c r="E11" s="1">
        <f>IF((E$3&gt;0),(1000*('Data Entry'!D14/'Data Entry'!D$6)), 0)</f>
        <v>3.1152647975077881</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0.62814070351758799</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Lenawee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2.3354101765316719</v>
      </c>
      <c r="E19" s="72">
        <f t="shared" si="1"/>
        <v>0.10752533945305029</v>
      </c>
      <c r="F19" s="72" t="str">
        <f t="shared" si="1"/>
        <v>--</v>
      </c>
      <c r="G19" s="72" t="str">
        <f t="shared" si="1"/>
        <v>--</v>
      </c>
      <c r="H19" s="72" t="str">
        <f t="shared" si="1"/>
        <v>--</v>
      </c>
      <c r="I19" s="72" t="str">
        <f t="shared" si="1"/>
        <v>--</v>
      </c>
      <c r="J19" s="73">
        <f t="shared" si="1"/>
        <v>0.54937883863763259</v>
      </c>
    </row>
    <row r="20" spans="2:10" ht="15" customHeight="1" x14ac:dyDescent="0.25">
      <c r="B20" s="71" t="s">
        <v>9</v>
      </c>
      <c r="C20" s="72">
        <f t="shared" ref="C20:J27" si="2">IF(AND(($D5&gt;0),(D5&gt;0)), (D5/$D5),"--")</f>
        <v>1</v>
      </c>
      <c r="D20" s="72">
        <f t="shared" si="2"/>
        <v>6.1978193146417455</v>
      </c>
      <c r="E20" s="72">
        <f t="shared" si="2"/>
        <v>0.14888123924268504</v>
      </c>
      <c r="F20" s="72" t="str">
        <f t="shared" si="2"/>
        <v>--</v>
      </c>
      <c r="G20" s="72" t="str">
        <f t="shared" si="2"/>
        <v>--</v>
      </c>
      <c r="H20" s="72" t="str">
        <f t="shared" si="2"/>
        <v>--</v>
      </c>
      <c r="I20" s="72" t="str">
        <f t="shared" si="2"/>
        <v>--</v>
      </c>
      <c r="J20" s="73">
        <f t="shared" si="2"/>
        <v>1.358354271356784</v>
      </c>
    </row>
    <row r="21" spans="2:10" ht="15" customHeight="1" x14ac:dyDescent="0.25">
      <c r="B21" s="71" t="s">
        <v>10</v>
      </c>
      <c r="C21" s="72">
        <f t="shared" si="2"/>
        <v>1</v>
      </c>
      <c r="D21" s="72">
        <f t="shared" si="2"/>
        <v>9.3416407061266877</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2.3354101765316719</v>
      </c>
      <c r="E22" s="72">
        <f t="shared" si="2"/>
        <v>0.32257601835915095</v>
      </c>
      <c r="F22" s="72" t="str">
        <f t="shared" si="2"/>
        <v>--</v>
      </c>
      <c r="G22" s="72" t="str">
        <f t="shared" si="2"/>
        <v>--</v>
      </c>
      <c r="H22" s="72" t="str">
        <f t="shared" si="2"/>
        <v>--</v>
      </c>
      <c r="I22" s="72" t="str">
        <f t="shared" si="2"/>
        <v>--</v>
      </c>
      <c r="J22" s="73">
        <f t="shared" si="2"/>
        <v>0.70634422110552764</v>
      </c>
    </row>
    <row r="23" spans="2:10" ht="15" customHeight="1" x14ac:dyDescent="0.25">
      <c r="B23" s="71" t="s">
        <v>95</v>
      </c>
      <c r="C23" s="72">
        <f t="shared" si="2"/>
        <v>1</v>
      </c>
      <c r="D23" s="72">
        <f t="shared" si="2"/>
        <v>2.2124938514510575</v>
      </c>
      <c r="E23" s="72" t="str">
        <f t="shared" si="2"/>
        <v>--</v>
      </c>
      <c r="F23" s="72" t="str">
        <f t="shared" si="2"/>
        <v>--</v>
      </c>
      <c r="G23" s="72" t="str">
        <f t="shared" si="2"/>
        <v>--</v>
      </c>
      <c r="H23" s="72" t="str">
        <f t="shared" si="2"/>
        <v>--</v>
      </c>
      <c r="I23" s="72" t="str">
        <f t="shared" si="2"/>
        <v>--</v>
      </c>
      <c r="J23" s="73">
        <f t="shared" si="2"/>
        <v>0.44611213964559648</v>
      </c>
    </row>
    <row r="24" spans="2:10" ht="15" customHeight="1" x14ac:dyDescent="0.25">
      <c r="B24" s="71" t="s">
        <v>13</v>
      </c>
      <c r="C24" s="72">
        <f t="shared" si="2"/>
        <v>1</v>
      </c>
      <c r="D24" s="72">
        <f t="shared" si="2"/>
        <v>4.2037383177570096</v>
      </c>
      <c r="E24" s="72" t="str">
        <f t="shared" si="2"/>
        <v>--</v>
      </c>
      <c r="F24" s="72" t="str">
        <f t="shared" si="2"/>
        <v>--</v>
      </c>
      <c r="G24" s="72" t="str">
        <f t="shared" si="2"/>
        <v>--</v>
      </c>
      <c r="H24" s="72" t="str">
        <f t="shared" si="2"/>
        <v>--</v>
      </c>
      <c r="I24" s="72" t="str">
        <f t="shared" si="2"/>
        <v>--</v>
      </c>
      <c r="J24" s="73">
        <f t="shared" si="2"/>
        <v>0.84761306532663327</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f t="shared" si="2"/>
        <v>4.2037383177570096</v>
      </c>
      <c r="E26" s="72" t="str">
        <f t="shared" si="2"/>
        <v>--</v>
      </c>
      <c r="F26" s="72" t="str">
        <f t="shared" si="2"/>
        <v>--</v>
      </c>
      <c r="G26" s="72" t="str">
        <f t="shared" si="2"/>
        <v>--</v>
      </c>
      <c r="H26" s="72" t="str">
        <f t="shared" si="2"/>
        <v>--</v>
      </c>
      <c r="I26" s="72" t="str">
        <f t="shared" si="2"/>
        <v>--</v>
      </c>
      <c r="J26" s="73">
        <f t="shared" si="2"/>
        <v>0.84761306532663327</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Lenawee</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6747</v>
      </c>
      <c r="D7" s="104">
        <f>'Data Entry'!D6</f>
        <v>321</v>
      </c>
      <c r="E7" s="105"/>
      <c r="F7" s="106">
        <f>'Data Entry'!E6</f>
        <v>1162</v>
      </c>
      <c r="G7" s="105"/>
      <c r="H7" s="106">
        <f>'Data Entry'!F6</f>
        <v>68</v>
      </c>
      <c r="I7" s="105"/>
      <c r="J7" s="106">
        <f>'Data Entry'!G6</f>
        <v>0</v>
      </c>
      <c r="K7" s="105"/>
      <c r="L7" s="106">
        <f>'Data Entry'!H6</f>
        <v>41</v>
      </c>
      <c r="M7" s="105"/>
      <c r="N7" s="106">
        <f>'Data Entry'!I6</f>
        <v>0</v>
      </c>
      <c r="O7" s="105"/>
      <c r="P7" s="106">
        <f>'Data Entry'!J6</f>
        <v>1592</v>
      </c>
      <c r="Q7" s="107"/>
    </row>
    <row r="8" spans="2:26" s="1" customFormat="1" ht="15" customHeight="1" x14ac:dyDescent="0.3">
      <c r="B8" s="142" t="s">
        <v>8</v>
      </c>
      <c r="C8" s="103">
        <f>'Data Entry'!C7</f>
        <v>54</v>
      </c>
      <c r="D8" s="104">
        <f>'Data Entry'!D7</f>
        <v>6</v>
      </c>
      <c r="E8" s="105">
        <f>'Black or African-American'!$G7</f>
        <v>2.3354101765316719</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0.54937883863763259</v>
      </c>
      <c r="R8"/>
      <c r="T8" s="1">
        <f>'Black or African-American'!L7</f>
        <v>1</v>
      </c>
      <c r="U8" s="1">
        <f>Hispanic!L7</f>
        <v>20</v>
      </c>
      <c r="V8" s="1">
        <f>Asian!L7</f>
        <v>139</v>
      </c>
      <c r="W8" s="1" t="e">
        <f>Hawaiian!L7</f>
        <v>#VALUE!</v>
      </c>
      <c r="X8" s="1">
        <f>'Am Indian'!L7</f>
        <v>139</v>
      </c>
      <c r="Y8" s="1" t="e">
        <f>'Other - Mixed'!L7</f>
        <v>#VALUE!</v>
      </c>
      <c r="Z8" s="1">
        <f>'All Minorities'!L7</f>
        <v>2</v>
      </c>
    </row>
    <row r="9" spans="2:26" s="1" customFormat="1" ht="15" customHeight="1" x14ac:dyDescent="0.3">
      <c r="B9" s="142" t="s">
        <v>134</v>
      </c>
      <c r="C9" s="103">
        <f>'Data Entry'!C8</f>
        <v>78</v>
      </c>
      <c r="D9" s="108">
        <f>'Data Entry'!D8</f>
        <v>23</v>
      </c>
      <c r="E9" s="109" t="str">
        <f>'Black or African-American'!$G8</f>
        <v>**</v>
      </c>
      <c r="F9" s="110">
        <f>'Data Entry'!E8</f>
        <v>2</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25</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x14ac:dyDescent="0.3">
      <c r="B10" s="142" t="s">
        <v>10</v>
      </c>
      <c r="C10" s="103">
        <f>'Data Entry'!C9</f>
        <v>9</v>
      </c>
      <c r="D10" s="112">
        <f>'Data Entry'!D9</f>
        <v>4</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t="e">
        <f>'Other - Mixed'!L9</f>
        <v>#VALUE!</v>
      </c>
      <c r="Z10" s="1">
        <f>'All Minorities'!L9</f>
        <v>40</v>
      </c>
    </row>
    <row r="11" spans="2:26" s="1" customFormat="1" ht="15" customHeight="1" x14ac:dyDescent="0.3">
      <c r="B11" s="142" t="s">
        <v>11</v>
      </c>
      <c r="C11" s="103">
        <f>'Data Entry'!C10</f>
        <v>18</v>
      </c>
      <c r="D11" s="108">
        <f>'Data Entry'!D10</f>
        <v>2</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3</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x14ac:dyDescent="0.3">
      <c r="B12" s="142" t="s">
        <v>95</v>
      </c>
      <c r="C12" s="103">
        <f>'Data Entry'!C11</f>
        <v>19</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x14ac:dyDescent="0.3">
      <c r="B13" s="142" t="s">
        <v>13</v>
      </c>
      <c r="C13" s="103">
        <f>'Data Entry'!C12</f>
        <v>10</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2" t="s">
        <v>133</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x14ac:dyDescent="0.3">
      <c r="B15" s="144" t="s">
        <v>123</v>
      </c>
      <c r="C15" s="103">
        <f>'Data Entry'!C14</f>
        <v>5</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Lenawee</v>
      </c>
    </row>
    <row r="6" spans="1:12" x14ac:dyDescent="0.2">
      <c r="A6" s="135" t="str">
        <f>CONCATENATE("Percentage of Minorities at Stages of the Juvenile Justice System, ", A5, " 2021")</f>
        <v>Percentage of Minorities at Stages of the Juvenile Justice System, County: Lenawee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4.2380653266331656</v>
      </c>
    </row>
    <row r="8" spans="1:12" ht="25.5" customHeight="1" x14ac:dyDescent="0.2">
      <c r="A8" s="151" t="str">
        <f>CONCATENATE("Confinement, total N=", 'Data Entry'!B14)</f>
        <v>Confinement, total N=10</v>
      </c>
      <c r="B8" s="150">
        <f>'Data Entry'!D14/'Data Entry'!B14</f>
        <v>0.1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0.5</v>
      </c>
      <c r="K8" s="96" t="str">
        <f>A8</f>
        <v>Confinement, total N=10</v>
      </c>
      <c r="L8">
        <f>I14/(SUM(B14:G14))</f>
        <v>4.2380653266331656</v>
      </c>
    </row>
    <row r="9" spans="1:12" x14ac:dyDescent="0.2">
      <c r="A9" s="128" t="str">
        <f>CONCATENATE("Delinquent Findings, total N=", 'Data Entry'!B12)</f>
        <v>Delinquent Findings, total N=14</v>
      </c>
      <c r="B9" s="150">
        <f>'Data Entry'!D12/'Data Entry'!B12</f>
        <v>0.14285714285714285</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0.7142857142857143</v>
      </c>
      <c r="K9" s="96" t="str">
        <f t="shared" si="0"/>
        <v>Delinquent Findings, total N=14</v>
      </c>
      <c r="L9">
        <f>I14/(SUM(B14:G14))</f>
        <v>4.2380653266331656</v>
      </c>
    </row>
    <row r="10" spans="1:12" x14ac:dyDescent="0.2">
      <c r="A10" s="128" t="str">
        <f>CONCATENATE("Petitions, total N=", 'Data Entry'!B11)</f>
        <v>Petitions, total N=28</v>
      </c>
      <c r="B10" s="150">
        <f>'Data Entry'!D11/'Data Entry'!B11</f>
        <v>7.1428571428571425E-2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0.6785714285714286</v>
      </c>
      <c r="K10" s="96" t="str">
        <f t="shared" si="0"/>
        <v>Petitions, total N=28</v>
      </c>
      <c r="L10">
        <f>I14/(SUM(B14:G14))</f>
        <v>4.2380653266331656</v>
      </c>
    </row>
    <row r="11" spans="1:12" x14ac:dyDescent="0.2">
      <c r="A11" s="128" t="str">
        <f>CONCATENATE("Detentions, total N=", 'Data Entry'!B10)</f>
        <v>Detentions, total N=22</v>
      </c>
      <c r="B11" s="150">
        <f>'Data Entry'!D10/'Data Entry'!B10</f>
        <v>9.0909090909090912E-2</v>
      </c>
      <c r="C11" s="150">
        <f>'Data Entry'!E10/'Data Entry'!B10</f>
        <v>4.5454545454545456E-2</v>
      </c>
      <c r="D11" s="150">
        <f>'Data Entry'!F10/'Data Entry'!B10</f>
        <v>0</v>
      </c>
      <c r="E11" s="150">
        <f>'Data Entry'!G10/'Data Entry'!B10</f>
        <v>0</v>
      </c>
      <c r="F11" s="150">
        <f>'Data Entry'!H10/'Data Entry'!B10</f>
        <v>0</v>
      </c>
      <c r="G11" s="150">
        <f>'Data Entry'!I10/'Data Entry'!B10</f>
        <v>0</v>
      </c>
      <c r="H11" s="150">
        <f>SUM(D11:G11)/'Data Entry'!B10</f>
        <v>0</v>
      </c>
      <c r="I11" s="150">
        <f>'Data Entry'!C10/'Data Entry'!B10</f>
        <v>0.81818181818181823</v>
      </c>
      <c r="K11" s="96" t="str">
        <f t="shared" si="0"/>
        <v>Detentions, total N=22</v>
      </c>
      <c r="L11">
        <f>I14/(SUM(B14:G14))</f>
        <v>4.2380653266331656</v>
      </c>
    </row>
    <row r="12" spans="1:12" x14ac:dyDescent="0.2">
      <c r="A12" s="128" t="str">
        <f>CONCATENATE("Referrals, total N=", 'Data Entry'!B8)</f>
        <v>Referrals, total N=133</v>
      </c>
      <c r="B12" s="150">
        <f>'Data Entry'!D8/'Data Entry'!B8</f>
        <v>0.17293233082706766</v>
      </c>
      <c r="C12" s="150">
        <f>'Data Entry'!E8/'Data Entry'!B8</f>
        <v>1.5037593984962405E-2</v>
      </c>
      <c r="D12" s="150">
        <f>'Data Entry'!F8/'Data Entry'!B8</f>
        <v>0</v>
      </c>
      <c r="E12" s="150">
        <f>'Data Entry'!G8/'Data Entry'!B8</f>
        <v>0</v>
      </c>
      <c r="F12" s="150">
        <f>'Data Entry'!H8/'Data Entry'!B8</f>
        <v>0</v>
      </c>
      <c r="G12" s="150">
        <f>'Data Entry'!I8/'Data Entry'!B8</f>
        <v>0</v>
      </c>
      <c r="H12" s="150">
        <f>SUM(D12:G12)/'Data Entry'!B8</f>
        <v>0</v>
      </c>
      <c r="I12" s="150">
        <f>'Data Entry'!C8/'Data Entry'!B8</f>
        <v>0.5864661654135338</v>
      </c>
      <c r="K12" s="96" t="str">
        <f t="shared" si="0"/>
        <v>Referrals, total N=133</v>
      </c>
      <c r="L12">
        <f>I14/(SUM(B14:G14))</f>
        <v>4.2380653266331656</v>
      </c>
    </row>
    <row r="13" spans="1:12" x14ac:dyDescent="0.2">
      <c r="A13" s="128" t="str">
        <f>CONCATENATE("Arrests, total N=", 'Data Entry'!B7)</f>
        <v>Arrests, total N=61</v>
      </c>
      <c r="B13" s="150">
        <f>'Data Entry'!D7/'Data Entry'!B7</f>
        <v>9.8360655737704916E-2</v>
      </c>
      <c r="C13" s="150">
        <f>'Data Entry'!E7/'Data Entry'!B7</f>
        <v>1.6393442622950821E-2</v>
      </c>
      <c r="D13" s="150">
        <f>'Data Entry'!F7/'Data Entry'!B7</f>
        <v>0</v>
      </c>
      <c r="E13" s="150">
        <f>'Data Entry'!G7/'Data Entry'!B7</f>
        <v>0</v>
      </c>
      <c r="F13" s="150">
        <f>'Data Entry'!H7/'Data Entry'!B7</f>
        <v>0</v>
      </c>
      <c r="G13" s="150">
        <f>'Data Entry'!I7/'Data Entry'!B7</f>
        <v>0</v>
      </c>
      <c r="H13" s="150">
        <f>SUM(D13:G13)/'Data Entry'!B7</f>
        <v>0</v>
      </c>
      <c r="I13" s="150">
        <f>'Data Entry'!C7/'Data Entry'!B7</f>
        <v>0.88524590163934425</v>
      </c>
      <c r="K13" s="96" t="str">
        <f t="shared" si="0"/>
        <v>Arrests, total N=61</v>
      </c>
      <c r="L13">
        <f>I14/(SUM(B14:G14))</f>
        <v>4.2380653266331656</v>
      </c>
    </row>
    <row r="14" spans="1:12" x14ac:dyDescent="0.2">
      <c r="A14" s="128" t="str">
        <f>CONCATENATE("Population, total N=", 'Data Entry'!B6)</f>
        <v>Population, total N=8339</v>
      </c>
      <c r="B14" s="150">
        <f>'Data Entry'!D6/'Data Entry'!B6</f>
        <v>3.8493824199544308E-2</v>
      </c>
      <c r="C14" s="150">
        <f>'Data Entry'!E6/'Data Entry'!B6</f>
        <v>0.1393452452332414</v>
      </c>
      <c r="D14" s="150">
        <f>'Data Entry'!F6/'Data Entry'!B6</f>
        <v>8.1544549706199787E-3</v>
      </c>
      <c r="E14" s="150">
        <f>'Data Entry'!G6/'Data Entry'!B6</f>
        <v>0</v>
      </c>
      <c r="F14" s="150">
        <f>'Data Entry'!H6/'Data Entry'!B6</f>
        <v>4.9166566734620458E-3</v>
      </c>
      <c r="G14" s="150">
        <f>'Data Entry'!I6/'Data Entry'!B6</f>
        <v>0</v>
      </c>
      <c r="H14" s="150">
        <f>SUM(D14:G14)/'Data Entry'!B6</f>
        <v>1.5674675193766667E-6</v>
      </c>
      <c r="I14" s="150">
        <f>'Data Entry'!C6/'Data Entry'!B6</f>
        <v>0.80908981892313225</v>
      </c>
      <c r="K14" s="96" t="str">
        <f t="shared" si="0"/>
        <v>Population, total N=8339</v>
      </c>
      <c r="L14">
        <f>I14/(SUM(B14:G14))</f>
        <v>4.2380653266331656</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187" t="str">
        <f>'Data Entry'!C3</f>
        <v xml:space="preserve">Reporting Period:  </v>
      </c>
      <c r="I3" s="188"/>
      <c r="J3" s="188"/>
      <c r="K3" s="189"/>
    </row>
    <row r="4" spans="2:30" s="1" customFormat="1" ht="19.5" thickBot="1" x14ac:dyDescent="0.4">
      <c r="B4" s="101" t="str">
        <f>'Data Entry'!A3</f>
        <v>County: Lenawee</v>
      </c>
      <c r="C4" s="102"/>
      <c r="D4" s="102"/>
      <c r="E4" s="120"/>
      <c r="F4" s="120"/>
      <c r="G4" s="120"/>
      <c r="H4" s="177" t="str">
        <f>'Data Entry'!C4</f>
        <v>10/1/20 through 9/30/21</v>
      </c>
      <c r="I4" s="190"/>
      <c r="J4" s="190"/>
      <c r="K4" s="191"/>
    </row>
    <row r="5" spans="2:30" s="8" customFormat="1" ht="69" customHeight="1" x14ac:dyDescent="0.35">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6747</v>
      </c>
      <c r="D7" s="104">
        <f>'Data Entry'!D6</f>
        <v>321</v>
      </c>
      <c r="E7" s="105"/>
      <c r="F7" s="106">
        <f>'Data Entry'!E6</f>
        <v>1162</v>
      </c>
      <c r="G7" s="105"/>
      <c r="H7" s="106">
        <f>'Data Entry'!F6</f>
        <v>68</v>
      </c>
      <c r="I7" s="105"/>
      <c r="J7" s="106">
        <f>'Data Entry'!J6</f>
        <v>1592</v>
      </c>
      <c r="K7" s="107"/>
    </row>
    <row r="8" spans="2:30" s="1" customFormat="1" ht="15" customHeight="1" x14ac:dyDescent="0.3">
      <c r="B8" s="121" t="s">
        <v>8</v>
      </c>
      <c r="C8" s="103">
        <f>'Data Entry'!C7</f>
        <v>54</v>
      </c>
      <c r="D8" s="104">
        <f>'Data Entry'!D7</f>
        <v>6</v>
      </c>
      <c r="E8" s="105">
        <f>'Black or African-American'!$G7</f>
        <v>2.3354101765316719</v>
      </c>
      <c r="F8" s="106">
        <f>'Data Entry'!E7</f>
        <v>1</v>
      </c>
      <c r="G8" s="105" t="str">
        <f>Hispanic!G7</f>
        <v>**</v>
      </c>
      <c r="H8" s="106">
        <f>'Data Entry'!F7</f>
        <v>0</v>
      </c>
      <c r="I8" s="105" t="str">
        <f>Asian!G7</f>
        <v>*</v>
      </c>
      <c r="J8" s="106">
        <f>'Data Entry'!J7</f>
        <v>7</v>
      </c>
      <c r="K8" s="107">
        <f>'All Minorities'!G7</f>
        <v>0.54937883863763259</v>
      </c>
      <c r="L8"/>
      <c r="N8" s="1">
        <f>'Black or African-American'!L7</f>
        <v>1</v>
      </c>
      <c r="O8" s="1">
        <f>Hispanic!L7</f>
        <v>20</v>
      </c>
      <c r="P8" s="1">
        <f>Asian!L7</f>
        <v>139</v>
      </c>
      <c r="Q8" s="1" t="e">
        <f>Hawaiian!L7</f>
        <v>#VALUE!</v>
      </c>
      <c r="R8" s="1">
        <f>'Am Indian'!L7</f>
        <v>139</v>
      </c>
      <c r="S8" s="1" t="e">
        <f>'Other - Mixed'!L7</f>
        <v>#VALUE!</v>
      </c>
      <c r="T8" s="1">
        <f>'All Minorities'!L7</f>
        <v>2</v>
      </c>
    </row>
    <row r="9" spans="2:30" s="1" customFormat="1" ht="15" customHeight="1" x14ac:dyDescent="0.3">
      <c r="B9" s="121" t="s">
        <v>134</v>
      </c>
      <c r="C9" s="103">
        <f>'Data Entry'!C8</f>
        <v>78</v>
      </c>
      <c r="D9" s="108">
        <f>'Data Entry'!D8</f>
        <v>23</v>
      </c>
      <c r="E9" s="109" t="str">
        <f>'Black or African-American'!$G8</f>
        <v>**</v>
      </c>
      <c r="F9" s="110">
        <f>'Data Entry'!E8</f>
        <v>2</v>
      </c>
      <c r="G9" s="109" t="str">
        <f>Hispanic!G8</f>
        <v>**</v>
      </c>
      <c r="H9" s="110">
        <f>'Data Entry'!F8</f>
        <v>0</v>
      </c>
      <c r="I9" s="109" t="str">
        <f>Asian!G8</f>
        <v>*</v>
      </c>
      <c r="J9" s="110">
        <f>'Data Entry'!J8</f>
        <v>25</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x14ac:dyDescent="0.3">
      <c r="B10" s="121" t="s">
        <v>10</v>
      </c>
      <c r="C10" s="103">
        <f>'Data Entry'!C9</f>
        <v>9</v>
      </c>
      <c r="D10" s="112">
        <f>'Data Entry'!D9</f>
        <v>4</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t="e">
        <f>'Other - Mixed'!L9</f>
        <v>#VALUE!</v>
      </c>
      <c r="T10" s="1">
        <f>'All Minorities'!L9</f>
        <v>40</v>
      </c>
    </row>
    <row r="11" spans="2:30" s="1" customFormat="1" ht="15" customHeight="1" x14ac:dyDescent="0.3">
      <c r="B11" s="121" t="s">
        <v>11</v>
      </c>
      <c r="C11" s="103">
        <f>'Data Entry'!C10</f>
        <v>18</v>
      </c>
      <c r="D11" s="108">
        <f>'Data Entry'!D10</f>
        <v>2</v>
      </c>
      <c r="E11" s="109" t="str">
        <f>'Black or African-American'!$G10</f>
        <v>**</v>
      </c>
      <c r="F11" s="110">
        <f>'Data Entry'!E10</f>
        <v>1</v>
      </c>
      <c r="G11" s="109" t="str">
        <f>Hispanic!G10</f>
        <v>**</v>
      </c>
      <c r="H11" s="110">
        <f>'Data Entry'!F10</f>
        <v>0</v>
      </c>
      <c r="I11" s="109" t="str">
        <f>Asian!G10</f>
        <v>*</v>
      </c>
      <c r="J11" s="110">
        <f>'Data Entry'!J10</f>
        <v>3</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x14ac:dyDescent="0.3">
      <c r="B12" s="121" t="s">
        <v>95</v>
      </c>
      <c r="C12" s="103">
        <f>'Data Entry'!C11</f>
        <v>19</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x14ac:dyDescent="0.3">
      <c r="B13" s="121" t="s">
        <v>13</v>
      </c>
      <c r="C13" s="103">
        <f>'Data Entry'!C12</f>
        <v>10</v>
      </c>
      <c r="D13" s="108">
        <f>'Data Entry'!D12</f>
        <v>2</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x14ac:dyDescent="0.3">
      <c r="B14" s="121" t="s">
        <v>14</v>
      </c>
      <c r="C14" s="103">
        <f>'Data Entry'!C13</f>
        <v>2</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x14ac:dyDescent="0.3">
      <c r="B15" s="126" t="s">
        <v>123</v>
      </c>
      <c r="C15" s="103">
        <f>'Data Entry'!C14</f>
        <v>5</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200" t="s">
        <v>120</v>
      </c>
      <c r="C19" s="201"/>
      <c r="D19" s="201"/>
      <c r="E19" s="201"/>
      <c r="F19" s="201"/>
      <c r="G19" s="201"/>
      <c r="H19" s="201"/>
      <c r="I19" s="202"/>
      <c r="J19" s="203"/>
      <c r="K19" s="204"/>
    </row>
    <row r="20" spans="2:30" ht="15.75" x14ac:dyDescent="0.3">
      <c r="B20" s="153" t="s">
        <v>125</v>
      </c>
      <c r="C20" s="208" t="s">
        <v>53</v>
      </c>
      <c r="D20" s="209"/>
      <c r="E20" s="192" t="s">
        <v>56</v>
      </c>
      <c r="F20" s="193"/>
      <c r="G20" s="193"/>
      <c r="H20" s="193"/>
      <c r="I20" s="193"/>
      <c r="J20" s="193"/>
      <c r="K20" s="154" t="s">
        <v>57</v>
      </c>
    </row>
    <row r="21" spans="2:30" ht="15" customHeight="1" x14ac:dyDescent="0.3">
      <c r="B21" s="155" t="s">
        <v>126</v>
      </c>
      <c r="C21" s="194" t="s">
        <v>55</v>
      </c>
      <c r="D21" s="195"/>
      <c r="E21" s="196" t="s">
        <v>58</v>
      </c>
      <c r="F21" s="197"/>
      <c r="G21" s="197"/>
      <c r="H21" s="197"/>
      <c r="I21" s="197"/>
      <c r="J21" s="197"/>
      <c r="K21" s="156" t="s">
        <v>59</v>
      </c>
    </row>
    <row r="22" spans="2:30" ht="15" customHeight="1" thickBot="1" x14ac:dyDescent="0.35">
      <c r="B22" s="205"/>
      <c r="C22" s="206"/>
      <c r="D22" s="207"/>
      <c r="E22" s="198" t="s">
        <v>60</v>
      </c>
      <c r="F22" s="199"/>
      <c r="G22" s="199"/>
      <c r="H22" s="199"/>
      <c r="I22" s="199"/>
      <c r="J22" s="199"/>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Entry'!D6</f>
        <v>321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Entry'!D7</f>
        <v>6</v>
      </c>
      <c r="F7" s="34">
        <f>IF((AND($E$7&gt;0,$D$66&gt;0)),($E$7/$D$66),0)</f>
        <v>18.691588785046729</v>
      </c>
      <c r="G7" s="39">
        <f>IF(L$6=100,"*",IF(M7=FALSE,"--",IF(K7=20,"**",($F7/$D7))))</f>
        <v>2.3354101765316719</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315</v>
      </c>
      <c r="P7" s="42">
        <f t="shared" ref="P7:P15" si="2">C7</f>
        <v>54</v>
      </c>
      <c r="Q7" s="42">
        <f>C6-C7</f>
        <v>6693</v>
      </c>
      <c r="R7" s="42">
        <f t="shared" ref="R7:R15" si="3">SUM(N7:Q7)</f>
        <v>7068</v>
      </c>
      <c r="S7" s="30">
        <f t="shared" ref="S7:S15" si="4">R7*((((N7*Q7)-(O7*P7))^2))</f>
        <v>3787245761472</v>
      </c>
      <c r="T7" s="30">
        <f t="shared" ref="T7:T15" si="5">(N7+O7)*(P7+Q7)*(N7+P7)*(O7+Q7)</f>
        <v>910670117760</v>
      </c>
      <c r="U7" s="31">
        <f t="shared" ref="U7:U15" si="6">IF((S7&gt;0),S7/T7,"- -")</f>
        <v>4.158746057010843</v>
      </c>
    </row>
    <row r="8" spans="2:21" ht="18" customHeight="1" x14ac:dyDescent="0.25">
      <c r="B8" s="32" t="str">
        <f>'Data Entry'!A8</f>
        <v>3. Refer to Juvenile Court</v>
      </c>
      <c r="C8" s="33">
        <f>'Data Entry'!C8</f>
        <v>78</v>
      </c>
      <c r="D8" s="34">
        <f>IF((AND(C67&gt;0,C8&gt;0)),(C8/C67),0)</f>
        <v>144.44444444444443</v>
      </c>
      <c r="E8" s="33">
        <f>'Data Entry'!D8</f>
        <v>23</v>
      </c>
      <c r="F8" s="34">
        <f>IF((AND($E$8&gt;0,$D$67&gt;0)),($E8/$D67),0)</f>
        <v>383.33333333333337</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23</v>
      </c>
      <c r="O8" s="42">
        <f>((D67*L67)-E8)+0.05</f>
        <v>-16.95</v>
      </c>
      <c r="P8" s="42">
        <f t="shared" si="2"/>
        <v>78</v>
      </c>
      <c r="Q8" s="42">
        <f>(C$67*L67)-C8</f>
        <v>-24</v>
      </c>
      <c r="R8" s="42">
        <f t="shared" si="3"/>
        <v>60.05</v>
      </c>
      <c r="S8" s="30">
        <f t="shared" si="4"/>
        <v>35612893.300499991</v>
      </c>
      <c r="T8" s="30">
        <f t="shared" si="5"/>
        <v>-1351214.8650000002</v>
      </c>
      <c r="U8" s="31">
        <f t="shared" si="6"/>
        <v>-26.356203016239007</v>
      </c>
    </row>
    <row r="9" spans="2:21" ht="18" customHeight="1" x14ac:dyDescent="0.25">
      <c r="B9" s="32" t="str">
        <f>'Data Entry'!A9</f>
        <v xml:space="preserve">4. Cases Diverted </v>
      </c>
      <c r="C9" s="33">
        <f>'Data Entry'!C9</f>
        <v>9</v>
      </c>
      <c r="D9" s="34">
        <f>IF((AND(C68&gt;0,C9&gt;0)),((C9/C68)),0)</f>
        <v>11.538461538461538</v>
      </c>
      <c r="E9" s="33">
        <f>'Data Entry'!D9</f>
        <v>4</v>
      </c>
      <c r="F9" s="34">
        <f>IF((AND($E$9&gt;0,$D$68&gt;0)),(($E$9/$D$68)),0)</f>
        <v>17.391304347826086</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4</v>
      </c>
      <c r="O9" s="42">
        <f>(D$68*L68)-E9</f>
        <v>19</v>
      </c>
      <c r="P9" s="42">
        <f t="shared" si="2"/>
        <v>9</v>
      </c>
      <c r="Q9" s="42">
        <f>(C$68*L68)-C9</f>
        <v>69</v>
      </c>
      <c r="R9" s="42">
        <f t="shared" si="3"/>
        <v>101</v>
      </c>
      <c r="S9" s="30">
        <f t="shared" si="4"/>
        <v>1113525</v>
      </c>
      <c r="T9" s="30">
        <f t="shared" si="5"/>
        <v>2052336</v>
      </c>
      <c r="U9" s="31">
        <f t="shared" si="6"/>
        <v>0.54256466777369783</v>
      </c>
    </row>
    <row r="10" spans="2:21" ht="18" customHeight="1" x14ac:dyDescent="0.25">
      <c r="B10" s="32" t="str">
        <f>'Data Entry'!A10</f>
        <v>5. Cases Involving Secure Detention</v>
      </c>
      <c r="C10" s="33">
        <f>'Data Entry'!C10</f>
        <v>18</v>
      </c>
      <c r="D10" s="34">
        <f>IF(((AND(C68&gt;0,C10&gt;0))),(C10/(C68)),0)</f>
        <v>23.076923076923077</v>
      </c>
      <c r="E10" s="33">
        <f>'Data Entry'!D10</f>
        <v>2</v>
      </c>
      <c r="F10" s="34">
        <f>IF(((AND($E$10&gt;0,$D$68&gt;0))),($E$10/($D$68)),0)</f>
        <v>8.695652173913043</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2</v>
      </c>
      <c r="O10" s="42">
        <f>(D$68*L68)-E10</f>
        <v>21</v>
      </c>
      <c r="P10" s="42">
        <f t="shared" si="2"/>
        <v>18</v>
      </c>
      <c r="Q10" s="42">
        <f>(C$68*L68)-C10</f>
        <v>60</v>
      </c>
      <c r="R10" s="42">
        <f t="shared" si="3"/>
        <v>101</v>
      </c>
      <c r="S10" s="30">
        <f t="shared" si="4"/>
        <v>6722964</v>
      </c>
      <c r="T10" s="30">
        <f t="shared" si="5"/>
        <v>2906280</v>
      </c>
      <c r="U10" s="31">
        <f t="shared" si="6"/>
        <v>2.3132540567323177</v>
      </c>
    </row>
    <row r="11" spans="2:21" ht="18" customHeight="1" x14ac:dyDescent="0.25">
      <c r="B11" s="32" t="str">
        <f>'Data Entry'!A11</f>
        <v>6. Cases Petitioned (Charge Filed)</v>
      </c>
      <c r="C11" s="33">
        <f>'Data Entry'!C11</f>
        <v>19</v>
      </c>
      <c r="D11" s="34">
        <f>IF(((AND(C68&gt;0,C11&gt;0))),(C11/(C68)),0)</f>
        <v>24.358974358974358</v>
      </c>
      <c r="E11" s="33">
        <f>'Data Entry'!D11</f>
        <v>2</v>
      </c>
      <c r="F11" s="34">
        <f>IF(((AND($E$11&gt;0,$D$68&gt;0))),($E$11/($D$68)),0)</f>
        <v>8.695652173913043</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21</v>
      </c>
      <c r="P11" s="42">
        <f t="shared" si="2"/>
        <v>19</v>
      </c>
      <c r="Q11" s="42">
        <f>(C$68*L68)-C11</f>
        <v>59</v>
      </c>
      <c r="R11" s="42">
        <f t="shared" si="3"/>
        <v>101</v>
      </c>
      <c r="S11" s="30">
        <f t="shared" si="4"/>
        <v>7975061</v>
      </c>
      <c r="T11" s="30">
        <f t="shared" si="5"/>
        <v>3013920</v>
      </c>
      <c r="U11" s="31">
        <f t="shared" si="6"/>
        <v>2.6460758746084831</v>
      </c>
    </row>
    <row r="12" spans="2:21" ht="18" customHeight="1" x14ac:dyDescent="0.25">
      <c r="B12" s="32" t="str">
        <f>'Data Entry'!A12</f>
        <v>7. Cases Resulting in Delinquent Findings</v>
      </c>
      <c r="C12" s="33">
        <f>'Data Entry'!C12</f>
        <v>10</v>
      </c>
      <c r="D12" s="34">
        <f>IF(((AND(C69&gt;0,C12&gt;0))),(C12/(C69)),0)</f>
        <v>52.631578947368418</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10</v>
      </c>
      <c r="Q12" s="42">
        <f>(C69*L69)-C12</f>
        <v>9</v>
      </c>
      <c r="R12" s="42">
        <f t="shared" si="3"/>
        <v>21</v>
      </c>
      <c r="S12" s="30">
        <f t="shared" si="4"/>
        <v>6804</v>
      </c>
      <c r="T12" s="30">
        <f t="shared" si="5"/>
        <v>4104</v>
      </c>
      <c r="U12" s="31">
        <f t="shared" si="6"/>
        <v>1.6578947368421053</v>
      </c>
    </row>
    <row r="13" spans="2:21" ht="18" customHeight="1" x14ac:dyDescent="0.25">
      <c r="B13" s="32" t="str">
        <f>'Data Entry'!A13</f>
        <v>8. Cases Resulting in Probation Placement</v>
      </c>
      <c r="C13" s="33">
        <f>'Data Entry'!C13</f>
        <v>2</v>
      </c>
      <c r="D13" s="34">
        <f>IF(((AND(C70&gt;0,C13&gt;0))),(C13/(C70)),0)</f>
        <v>20</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2</v>
      </c>
      <c r="P13" s="42">
        <f t="shared" si="2"/>
        <v>2</v>
      </c>
      <c r="Q13" s="42">
        <f>(C70*L70)-C13</f>
        <v>8</v>
      </c>
      <c r="R13" s="42">
        <f t="shared" si="3"/>
        <v>12</v>
      </c>
      <c r="S13" s="30">
        <f t="shared" si="4"/>
        <v>192</v>
      </c>
      <c r="T13" s="30">
        <f t="shared" si="5"/>
        <v>400</v>
      </c>
      <c r="U13" s="31">
        <f t="shared" si="6"/>
        <v>0.48</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Entry'!D14</f>
        <v>1</v>
      </c>
      <c r="F14" s="34">
        <f>IF(((AND($D$70&gt;0,$E$14&gt;0))), (($E$14/($D$70))),0)</f>
        <v>50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1</v>
      </c>
      <c r="O14" s="42">
        <f>(D70*L70)-E14</f>
        <v>1</v>
      </c>
      <c r="P14" s="42">
        <f t="shared" si="2"/>
        <v>5</v>
      </c>
      <c r="Q14" s="42">
        <f>(C70*L70)-C14</f>
        <v>5</v>
      </c>
      <c r="R14" s="42">
        <f t="shared" si="3"/>
        <v>12</v>
      </c>
      <c r="S14" s="30">
        <f t="shared" si="4"/>
        <v>0</v>
      </c>
      <c r="T14" s="30">
        <f t="shared" si="5"/>
        <v>720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19</v>
      </c>
      <c r="R15" s="42">
        <f t="shared" si="3"/>
        <v>21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0.32100000000000001</v>
      </c>
      <c r="E42" s="56">
        <f>MAX(C42:D42)</f>
        <v>6.7469999999999999</v>
      </c>
      <c r="G42" s="1" t="str">
        <f>B42</f>
        <v>per 1000 youth</v>
      </c>
      <c r="L42" s="57">
        <v>1000</v>
      </c>
      <c r="M42" s="57"/>
      <c r="R42" s="49"/>
    </row>
    <row r="43" spans="2:18" ht="15" hidden="1" customHeight="1" x14ac:dyDescent="0.25">
      <c r="B43" s="49" t="s">
        <v>87</v>
      </c>
      <c r="C43" s="56">
        <f>C7/100</f>
        <v>0.54</v>
      </c>
      <c r="D43" s="56">
        <f>E7/100</f>
        <v>0.06</v>
      </c>
      <c r="E43" s="56">
        <f>MAX(C43:D43,0)</f>
        <v>0.54</v>
      </c>
      <c r="G43" s="1" t="str">
        <f>B43</f>
        <v>per 100 arrests</v>
      </c>
      <c r="L43" s="57">
        <v>100</v>
      </c>
      <c r="M43" s="57"/>
      <c r="R43" s="49"/>
    </row>
    <row r="44" spans="2:18" ht="15" hidden="1" customHeight="1" x14ac:dyDescent="0.25">
      <c r="B44" s="49" t="s">
        <v>88</v>
      </c>
      <c r="C44" s="56">
        <f>C8/100</f>
        <v>0.78</v>
      </c>
      <c r="D44" s="56">
        <f>E8/100</f>
        <v>0.23</v>
      </c>
      <c r="E44" s="56">
        <f>MAX(C44:D44,0)</f>
        <v>0.78</v>
      </c>
      <c r="G44" s="1" t="str">
        <f>B44</f>
        <v>per 100 referrals</v>
      </c>
      <c r="L44" s="57">
        <v>100</v>
      </c>
      <c r="M44" s="57"/>
      <c r="R44" s="49"/>
    </row>
    <row r="45" spans="2:18" ht="15" hidden="1" customHeight="1" x14ac:dyDescent="0.25">
      <c r="B45" s="49" t="s">
        <v>89</v>
      </c>
      <c r="C45" s="49">
        <f>C11/100</f>
        <v>0.19</v>
      </c>
      <c r="D45" s="49">
        <f>E11/100</f>
        <v>0.02</v>
      </c>
      <c r="E45" s="56">
        <f>MAX(C45:D45,0)</f>
        <v>0.19</v>
      </c>
      <c r="G45" s="1" t="str">
        <f>B45</f>
        <v>per 100 youth petitioned</v>
      </c>
      <c r="L45" s="57">
        <v>100</v>
      </c>
      <c r="M45" s="57"/>
      <c r="R45" s="49"/>
    </row>
    <row r="46" spans="2:18" ht="15" hidden="1" customHeight="1" x14ac:dyDescent="0.25">
      <c r="B46" s="49" t="s">
        <v>90</v>
      </c>
      <c r="C46" s="49">
        <f>C12/100</f>
        <v>0.1</v>
      </c>
      <c r="D46" s="49">
        <f>E12/100</f>
        <v>0.02</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0.32100000000000001</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0.54</v>
      </c>
      <c r="D49" s="49">
        <f t="shared" si="9"/>
        <v>0.06</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0.23</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0.02</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0.32100000000000001</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0.06</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0.23</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0.02</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0.32100000000000001</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0.06</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0.23</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0.02</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0.32100000000000001</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0.06</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0.23</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0.02</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Entry'!F6</f>
        <v>68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68</v>
      </c>
      <c r="P7" s="42">
        <f t="shared" ref="P7:P15" si="4">C7</f>
        <v>54</v>
      </c>
      <c r="Q7" s="42">
        <f>C6-C7</f>
        <v>6693</v>
      </c>
      <c r="R7" s="42">
        <f t="shared" ref="R7:R15" si="5">SUM(N7:Q7)</f>
        <v>6815</v>
      </c>
      <c r="S7" s="30">
        <f t="shared" ref="S7:S15" si="6">R7*((((N7*Q7)-(O7*P7))^2))</f>
        <v>91890624960</v>
      </c>
      <c r="T7" s="30">
        <f t="shared" ref="T7:T15" si="7">(N7+O7)*(P7+Q7)*(N7+P7)*(O7+Q7)</f>
        <v>167503666824</v>
      </c>
      <c r="U7" s="31">
        <f t="shared" ref="U7:U15" si="8">IF((S7&gt;0),S7/T7,"- -")</f>
        <v>0.54858873660689245</v>
      </c>
    </row>
    <row r="8" spans="2:21" ht="18" customHeight="1" x14ac:dyDescent="0.25">
      <c r="B8" s="32" t="str">
        <f>'Data Entry'!A8</f>
        <v>3. Refer to Juvenile Court</v>
      </c>
      <c r="C8" s="33">
        <f>'Data Entry'!C8</f>
        <v>78</v>
      </c>
      <c r="D8" s="34">
        <f>IF((AND(C67&gt;0,C8&gt;0)),(C8/C67),0)</f>
        <v>144.44444444444443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78</v>
      </c>
      <c r="Q8" s="42">
        <f>(C$67*L67)-C8</f>
        <v>-24</v>
      </c>
      <c r="R8" s="42">
        <f t="shared" si="5"/>
        <v>54.05</v>
      </c>
      <c r="S8" s="30">
        <f t="shared" si="6"/>
        <v>822.10050000000012</v>
      </c>
      <c r="T8" s="30">
        <f t="shared" si="7"/>
        <v>-5043.8700000000008</v>
      </c>
      <c r="U8" s="31">
        <f t="shared" si="8"/>
        <v>-0.16299002551612154</v>
      </c>
    </row>
    <row r="9" spans="2:21" ht="18" customHeight="1" x14ac:dyDescent="0.25">
      <c r="B9" s="32" t="str">
        <f>'Data Entry'!A9</f>
        <v xml:space="preserve">4. Cases Diverted </v>
      </c>
      <c r="C9" s="33">
        <f>'Data Entry'!C9</f>
        <v>9</v>
      </c>
      <c r="D9" s="34">
        <f>IF((AND(C68&gt;0,C9&gt;0)),((C9/C68)),0)</f>
        <v>11.538461538461538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69</v>
      </c>
      <c r="R9" s="42">
        <f t="shared" si="5"/>
        <v>78</v>
      </c>
      <c r="S9" s="30">
        <f t="shared" si="6"/>
        <v>0</v>
      </c>
      <c r="T9" s="30">
        <f t="shared" si="7"/>
        <v>0</v>
      </c>
      <c r="U9" s="31" t="str">
        <f t="shared" si="8"/>
        <v>- -</v>
      </c>
    </row>
    <row r="10" spans="2:21" ht="18" customHeight="1" x14ac:dyDescent="0.25">
      <c r="B10" s="32" t="str">
        <f>'Data Entry'!A10</f>
        <v>5. Cases Involving Secure Detention</v>
      </c>
      <c r="C10" s="33">
        <f>'Data Entry'!C10</f>
        <v>18</v>
      </c>
      <c r="D10" s="34">
        <f>IF(((AND(C68&gt;0,C10&gt;0))),(C10/(C68)),0)</f>
        <v>23.076923076923077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v>
      </c>
      <c r="Q10" s="42">
        <f>(C$68*L68)-C10</f>
        <v>60</v>
      </c>
      <c r="R10" s="42">
        <f t="shared" si="5"/>
        <v>78</v>
      </c>
      <c r="S10" s="30">
        <f t="shared" si="6"/>
        <v>0</v>
      </c>
      <c r="T10" s="30">
        <f t="shared" si="7"/>
        <v>0</v>
      </c>
      <c r="U10" s="31" t="str">
        <f t="shared" si="8"/>
        <v>- -</v>
      </c>
    </row>
    <row r="11" spans="2:21" ht="18" customHeight="1" x14ac:dyDescent="0.25">
      <c r="B11" s="32" t="str">
        <f>'Data Entry'!A11</f>
        <v>6. Cases Petitioned (Charge Filed)</v>
      </c>
      <c r="C11" s="33">
        <f>'Data Entry'!C11</f>
        <v>19</v>
      </c>
      <c r="D11" s="34">
        <f>IF(((AND(C68&gt;0,C11&gt;0))),(C11/(C68)),0)</f>
        <v>24.358974358974358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59</v>
      </c>
      <c r="R11" s="42">
        <f t="shared" si="5"/>
        <v>78</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52.631578947368418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9</v>
      </c>
      <c r="R12" s="42">
        <f t="shared" si="5"/>
        <v>19</v>
      </c>
      <c r="S12" s="30">
        <f t="shared" si="6"/>
        <v>0</v>
      </c>
      <c r="T12" s="30">
        <f t="shared" si="7"/>
        <v>0</v>
      </c>
      <c r="U12" s="31" t="str">
        <f t="shared" si="8"/>
        <v>- -</v>
      </c>
    </row>
    <row r="13" spans="2:21" ht="18" customHeight="1" x14ac:dyDescent="0.25">
      <c r="B13" s="32" t="str">
        <f>'Data Entry'!A13</f>
        <v>8. Cases Resulting in Probation Placement</v>
      </c>
      <c r="C13" s="33">
        <f>'Data Entry'!C13</f>
        <v>2</v>
      </c>
      <c r="D13" s="34">
        <f>IF(((AND(C70&gt;0,C13&gt;0))),(C13/(C70)),0)</f>
        <v>20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8</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6.8000000000000005E-2</v>
      </c>
      <c r="E42" s="56">
        <f>MAX(C42:D42)</f>
        <v>6.7469999999999999</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0.78</v>
      </c>
      <c r="D44" s="56">
        <f>E8/100</f>
        <v>0</v>
      </c>
      <c r="E44" s="56">
        <f>MAX(C44:D44,0)</f>
        <v>0.78</v>
      </c>
      <c r="G44" s="1" t="str">
        <f>B44</f>
        <v>per 100 referrals</v>
      </c>
      <c r="L44" s="57">
        <v>100</v>
      </c>
      <c r="M44" s="57"/>
      <c r="R44" s="49"/>
    </row>
    <row r="45" spans="2:18" ht="15" hidden="1" customHeight="1" x14ac:dyDescent="0.25">
      <c r="B45" s="49" t="s">
        <v>89</v>
      </c>
      <c r="C45" s="49">
        <f>C11/100</f>
        <v>0.19</v>
      </c>
      <c r="D45" s="49">
        <f>E11/100</f>
        <v>0</v>
      </c>
      <c r="E45" s="56">
        <f>MAX(C45:D45,0)</f>
        <v>0.19</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6.8000000000000005E-2</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6.8000000000000005E-2</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6.8000000000000005E-2</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6.8000000000000005E-2</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Entry'!E6</f>
        <v>1162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Entry'!E7</f>
        <v>1</v>
      </c>
      <c r="F7" s="34">
        <f>IF((AND($E$7&gt;0,$D$66&gt;0)),($E$7/$D$66),0)</f>
        <v>0.86058519793459554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1161</v>
      </c>
      <c r="P7" s="42">
        <f t="shared" ref="P7:P15" si="4">C7</f>
        <v>54</v>
      </c>
      <c r="Q7" s="42">
        <f>C6-C7</f>
        <v>6693</v>
      </c>
      <c r="R7" s="42">
        <f t="shared" ref="R7:R15" si="5">SUM(N7:Q7)</f>
        <v>7909</v>
      </c>
      <c r="S7" s="30">
        <f t="shared" ref="S7:S15" si="6">R7*((((N7*Q7)-(O7*P7))^2))</f>
        <v>24803509815909</v>
      </c>
      <c r="T7" s="30">
        <f t="shared" ref="T7:T15" si="7">(N7+O7)*(P7+Q7)*(N7+P7)*(O7+Q7)</f>
        <v>3386650847580</v>
      </c>
      <c r="U7" s="31">
        <f t="shared" ref="U7:U15" si="8">IF((S7&gt;0),S7/T7,"- -")</f>
        <v>7.3239052185237377</v>
      </c>
    </row>
    <row r="8" spans="2:21" ht="18" customHeight="1" x14ac:dyDescent="0.25">
      <c r="B8" s="32" t="str">
        <f>'Data Entry'!A8</f>
        <v>3. Refer to Juvenile Court</v>
      </c>
      <c r="C8" s="33">
        <f>'Data Entry'!C8</f>
        <v>78</v>
      </c>
      <c r="D8" s="34">
        <f>IF((AND(C67&gt;0,C8&gt;0)),(C8/C67),0)</f>
        <v>144.44444444444443</v>
      </c>
      <c r="E8" s="33">
        <f>'Data Entry'!E8</f>
        <v>2</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-0.95</v>
      </c>
      <c r="P8" s="42">
        <f t="shared" si="4"/>
        <v>78</v>
      </c>
      <c r="Q8" s="42">
        <f>(C$67*L67)-C8</f>
        <v>-24</v>
      </c>
      <c r="R8" s="42">
        <f t="shared" si="5"/>
        <v>55.05</v>
      </c>
      <c r="S8" s="30">
        <f t="shared" si="6"/>
        <v>37500.610499999981</v>
      </c>
      <c r="T8" s="30">
        <f t="shared" si="7"/>
        <v>-113173.2</v>
      </c>
      <c r="U8" s="31">
        <f t="shared" si="8"/>
        <v>-0.33135592613799009</v>
      </c>
    </row>
    <row r="9" spans="2:21" ht="18" customHeight="1" x14ac:dyDescent="0.25">
      <c r="B9" s="32" t="str">
        <f>'Data Entry'!A9</f>
        <v xml:space="preserve">4. Cases Diverted </v>
      </c>
      <c r="C9" s="33">
        <f>'Data Entry'!C9</f>
        <v>9</v>
      </c>
      <c r="D9" s="34">
        <f>IF((AND(C68&gt;0,C9&gt;0)),((C9/C68)),0)</f>
        <v>11.538461538461538</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9</v>
      </c>
      <c r="Q9" s="42">
        <f>(C$68*L68)-C9</f>
        <v>69</v>
      </c>
      <c r="R9" s="42">
        <f t="shared" si="5"/>
        <v>80</v>
      </c>
      <c r="S9" s="30">
        <f t="shared" si="6"/>
        <v>25920</v>
      </c>
      <c r="T9" s="30">
        <f t="shared" si="7"/>
        <v>99684</v>
      </c>
      <c r="U9" s="31">
        <f t="shared" si="8"/>
        <v>0.26002166847237268</v>
      </c>
    </row>
    <row r="10" spans="2:21" ht="18" customHeight="1" x14ac:dyDescent="0.25">
      <c r="B10" s="32" t="str">
        <f>'Data Entry'!A10</f>
        <v>5. Cases Involving Secure Detention</v>
      </c>
      <c r="C10" s="33">
        <f>'Data Entry'!C10</f>
        <v>18</v>
      </c>
      <c r="D10" s="34">
        <f>IF(((AND(C68&gt;0,C10&gt;0))),(C10/(C68)),0)</f>
        <v>23.076923076923077</v>
      </c>
      <c r="E10" s="33">
        <f>'Data Entry'!E10</f>
        <v>1</v>
      </c>
      <c r="F10" s="34">
        <f>IF(((AND($E$10&gt;0,$D$68&gt;0))),($E$10/($D$68)),0)</f>
        <v>50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v>
      </c>
      <c r="P10" s="42">
        <f t="shared" si="4"/>
        <v>18</v>
      </c>
      <c r="Q10" s="42">
        <f>(C$68*L68)-C10</f>
        <v>60</v>
      </c>
      <c r="R10" s="42">
        <f t="shared" si="5"/>
        <v>80</v>
      </c>
      <c r="S10" s="30">
        <f t="shared" si="6"/>
        <v>141120</v>
      </c>
      <c r="T10" s="30">
        <f t="shared" si="7"/>
        <v>180804</v>
      </c>
      <c r="U10" s="31">
        <f t="shared" si="8"/>
        <v>0.78051370544899445</v>
      </c>
    </row>
    <row r="11" spans="2:21" ht="18" customHeight="1" x14ac:dyDescent="0.25">
      <c r="B11" s="32" t="str">
        <f>'Data Entry'!A11</f>
        <v>6. Cases Petitioned (Charge Filed)</v>
      </c>
      <c r="C11" s="33">
        <f>'Data Entry'!C11</f>
        <v>19</v>
      </c>
      <c r="D11" s="34">
        <f>IF(((AND(C68&gt;0,C11&gt;0))),(C11/(C68)),0)</f>
        <v>24.358974358974358</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2</v>
      </c>
      <c r="P11" s="42">
        <f t="shared" si="4"/>
        <v>19</v>
      </c>
      <c r="Q11" s="42">
        <f>(C$68*L68)-C11</f>
        <v>59</v>
      </c>
      <c r="R11" s="42">
        <f t="shared" si="5"/>
        <v>80</v>
      </c>
      <c r="S11" s="30">
        <f t="shared" si="6"/>
        <v>115520</v>
      </c>
      <c r="T11" s="30">
        <f t="shared" si="7"/>
        <v>180804</v>
      </c>
      <c r="U11" s="31">
        <f t="shared" si="8"/>
        <v>0.63892391761244216</v>
      </c>
    </row>
    <row r="12" spans="2:21" ht="18" customHeight="1" x14ac:dyDescent="0.25">
      <c r="B12" s="32" t="str">
        <f>'Data Entry'!A12</f>
        <v>7. Cases Resulting in Delinquent Findings</v>
      </c>
      <c r="C12" s="33">
        <f>'Data Entry'!C12</f>
        <v>10</v>
      </c>
      <c r="D12" s="34">
        <f>IF(((AND(C69&gt;0,C12&gt;0))),(C12/(C69)),0)</f>
        <v>52.631578947368418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9</v>
      </c>
      <c r="R12" s="42">
        <f t="shared" si="5"/>
        <v>19</v>
      </c>
      <c r="S12" s="30">
        <f t="shared" si="6"/>
        <v>0</v>
      </c>
      <c r="T12" s="30">
        <f t="shared" si="7"/>
        <v>0</v>
      </c>
      <c r="U12" s="31" t="str">
        <f t="shared" si="8"/>
        <v>- -</v>
      </c>
    </row>
    <row r="13" spans="2:21" ht="18" customHeight="1" x14ac:dyDescent="0.25">
      <c r="B13" s="32" t="str">
        <f>'Data Entry'!A13</f>
        <v>8. Cases Resulting in Probation Placement</v>
      </c>
      <c r="C13" s="33">
        <f>'Data Entry'!C13</f>
        <v>2</v>
      </c>
      <c r="D13" s="34">
        <f>IF(((AND(C70&gt;0,C13&gt;0))),(C13/(C70)),0)</f>
        <v>20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8</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1.1619999999999999</v>
      </c>
      <c r="E42" s="56">
        <f>MAX(C42:D42)</f>
        <v>6.7469999999999999</v>
      </c>
      <c r="G42" s="1" t="str">
        <f>B42</f>
        <v>per 1000 youth</v>
      </c>
      <c r="L42" s="57">
        <v>1000</v>
      </c>
      <c r="M42" s="57"/>
      <c r="R42" s="49"/>
    </row>
    <row r="43" spans="2:18" ht="15" hidden="1" customHeight="1" x14ac:dyDescent="0.25">
      <c r="B43" s="49" t="s">
        <v>87</v>
      </c>
      <c r="C43" s="56">
        <f>C7/100</f>
        <v>0.54</v>
      </c>
      <c r="D43" s="56">
        <f>E7/100</f>
        <v>0.01</v>
      </c>
      <c r="E43" s="56">
        <f>MAX(C43:D43,0)</f>
        <v>0.54</v>
      </c>
      <c r="G43" s="1" t="str">
        <f>B43</f>
        <v>per 100 arrests</v>
      </c>
      <c r="L43" s="57">
        <v>100</v>
      </c>
      <c r="M43" s="57"/>
      <c r="R43" s="49"/>
    </row>
    <row r="44" spans="2:18" ht="15" hidden="1" customHeight="1" x14ac:dyDescent="0.25">
      <c r="B44" s="49" t="s">
        <v>88</v>
      </c>
      <c r="C44" s="56">
        <f>C8/100</f>
        <v>0.78</v>
      </c>
      <c r="D44" s="56">
        <f>E8/100</f>
        <v>0.02</v>
      </c>
      <c r="E44" s="56">
        <f>MAX(C44:D44,0)</f>
        <v>0.78</v>
      </c>
      <c r="G44" s="1" t="str">
        <f>B44</f>
        <v>per 100 referrals</v>
      </c>
      <c r="L44" s="57">
        <v>100</v>
      </c>
      <c r="M44" s="57"/>
      <c r="R44" s="49"/>
    </row>
    <row r="45" spans="2:18" ht="15" hidden="1" customHeight="1" x14ac:dyDescent="0.25">
      <c r="B45" s="49" t="s">
        <v>89</v>
      </c>
      <c r="C45" s="49">
        <f>C11/100</f>
        <v>0.19</v>
      </c>
      <c r="D45" s="49">
        <f>E11/100</f>
        <v>0</v>
      </c>
      <c r="E45" s="56">
        <f>MAX(C45:D45,0)</f>
        <v>0.19</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1.1619999999999999</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0.01</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0.02</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1.1619999999999999</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0.01</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0.02</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1.1619999999999999</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0.01</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0.02</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1.1619999999999999</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0.01</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0.02</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54</v>
      </c>
      <c r="Q7" s="42">
        <f>C6-C7</f>
        <v>6693</v>
      </c>
      <c r="R7" s="42">
        <f t="shared" ref="R7:R15" si="5">SUM(N7:Q7)</f>
        <v>6747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78</v>
      </c>
      <c r="D8" s="34">
        <f>IF((AND(C67&gt;0,C8&gt;0)),(C8/C67),0)</f>
        <v>144.44444444444443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78</v>
      </c>
      <c r="Q8" s="42">
        <f>(C$67*L67)-C8</f>
        <v>-24</v>
      </c>
      <c r="R8" s="42">
        <f t="shared" si="5"/>
        <v>54.05</v>
      </c>
      <c r="S8" s="30">
        <f t="shared" si="6"/>
        <v>822.10050000000012</v>
      </c>
      <c r="T8" s="30">
        <f t="shared" si="7"/>
        <v>-5043.8700000000008</v>
      </c>
      <c r="U8" s="31">
        <f t="shared" si="8"/>
        <v>-0.16299002551612154</v>
      </c>
    </row>
    <row r="9" spans="2:21" ht="18" customHeight="1" x14ac:dyDescent="0.25">
      <c r="B9" s="32" t="str">
        <f>'Data Entry'!A9</f>
        <v xml:space="preserve">4. Cases Diverted </v>
      </c>
      <c r="C9" s="33">
        <f>'Data Entry'!C9</f>
        <v>9</v>
      </c>
      <c r="D9" s="34">
        <f>IF((AND(C68&gt;0,C9&gt;0)),((C9/C68)),0)</f>
        <v>11.538461538461538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69</v>
      </c>
      <c r="R9" s="42">
        <f t="shared" si="5"/>
        <v>78</v>
      </c>
      <c r="S9" s="30">
        <f t="shared" si="6"/>
        <v>0</v>
      </c>
      <c r="T9" s="30">
        <f t="shared" si="7"/>
        <v>0</v>
      </c>
      <c r="U9" s="31" t="str">
        <f t="shared" si="8"/>
        <v>- -</v>
      </c>
    </row>
    <row r="10" spans="2:21" ht="18" customHeight="1" x14ac:dyDescent="0.25">
      <c r="B10" s="32" t="str">
        <f>'Data Entry'!A10</f>
        <v>5. Cases Involving Secure Detention</v>
      </c>
      <c r="C10" s="33">
        <f>'Data Entry'!C10</f>
        <v>18</v>
      </c>
      <c r="D10" s="34">
        <f>IF(((AND(C68&gt;0,C10&gt;0))),(C10/(C68)),0)</f>
        <v>23.076923076923077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v>
      </c>
      <c r="Q10" s="42">
        <f>(C$68*L68)-C10</f>
        <v>60</v>
      </c>
      <c r="R10" s="42">
        <f t="shared" si="5"/>
        <v>78</v>
      </c>
      <c r="S10" s="30">
        <f t="shared" si="6"/>
        <v>0</v>
      </c>
      <c r="T10" s="30">
        <f t="shared" si="7"/>
        <v>0</v>
      </c>
      <c r="U10" s="31" t="str">
        <f t="shared" si="8"/>
        <v>- -</v>
      </c>
    </row>
    <row r="11" spans="2:21" ht="18" customHeight="1" x14ac:dyDescent="0.25">
      <c r="B11" s="32" t="str">
        <f>'Data Entry'!A11</f>
        <v>6. Cases Petitioned (Charge Filed)</v>
      </c>
      <c r="C11" s="33">
        <f>'Data Entry'!C11</f>
        <v>19</v>
      </c>
      <c r="D11" s="34">
        <f>IF(((AND(C68&gt;0,C11&gt;0))),(C11/(C68)),0)</f>
        <v>24.358974358974358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59</v>
      </c>
      <c r="R11" s="42">
        <f t="shared" si="5"/>
        <v>78</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52.631578947368418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9</v>
      </c>
      <c r="R12" s="42">
        <f t="shared" si="5"/>
        <v>19</v>
      </c>
      <c r="S12" s="30">
        <f t="shared" si="6"/>
        <v>0</v>
      </c>
      <c r="T12" s="30">
        <f t="shared" si="7"/>
        <v>0</v>
      </c>
      <c r="U12" s="31" t="str">
        <f t="shared" si="8"/>
        <v>- -</v>
      </c>
    </row>
    <row r="13" spans="2:21" ht="18" customHeight="1" x14ac:dyDescent="0.25">
      <c r="B13" s="32" t="str">
        <f>'Data Entry'!A13</f>
        <v>8. Cases Resulting in Probation Placement</v>
      </c>
      <c r="C13" s="33">
        <f>'Data Entry'!C13</f>
        <v>2</v>
      </c>
      <c r="D13" s="34">
        <f>IF(((AND(C70&gt;0,C13&gt;0))),(C13/(C70)),0)</f>
        <v>20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8</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0</v>
      </c>
      <c r="E42" s="56">
        <f>MAX(C42:D42)</f>
        <v>6.7469999999999999</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0.78</v>
      </c>
      <c r="D44" s="56">
        <f>E8/100</f>
        <v>0</v>
      </c>
      <c r="E44" s="56">
        <f>MAX(C44:D44,0)</f>
        <v>0.78</v>
      </c>
      <c r="G44" s="1" t="str">
        <f>B44</f>
        <v>per 100 referrals</v>
      </c>
      <c r="L44" s="57">
        <v>100</v>
      </c>
      <c r="M44" s="57"/>
      <c r="R44" s="49"/>
    </row>
    <row r="45" spans="2:18" ht="15" hidden="1" customHeight="1" x14ac:dyDescent="0.25">
      <c r="B45" s="49" t="s">
        <v>89</v>
      </c>
      <c r="C45" s="49">
        <f>C11/100</f>
        <v>0.19</v>
      </c>
      <c r="D45" s="49">
        <f>E11/100</f>
        <v>0</v>
      </c>
      <c r="E45" s="56">
        <f>MAX(C45:D45,0)</f>
        <v>0.19</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0</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0</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0</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0</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Lenawee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6747</v>
      </c>
      <c r="D6" s="34"/>
      <c r="E6" s="33">
        <f>'Data Entry'!H6</f>
        <v>41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54</v>
      </c>
      <c r="D7" s="34">
        <f>IF((AND(C66&gt;0,C7&gt;0)),(C7/C66),0)</f>
        <v>8.0035571365051137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41</v>
      </c>
      <c r="P7" s="42">
        <f t="shared" ref="P7:P15" si="4">C7</f>
        <v>54</v>
      </c>
      <c r="Q7" s="42">
        <f>C6-C7</f>
        <v>6693</v>
      </c>
      <c r="R7" s="42">
        <f t="shared" ref="R7:R15" si="5">SUM(N7:Q7)</f>
        <v>6788</v>
      </c>
      <c r="S7" s="30">
        <f t="shared" ref="S7:S15" si="6">R7*((((N7*Q7)-(O7*P7))^2))</f>
        <v>33273391248</v>
      </c>
      <c r="T7" s="30">
        <f t="shared" ref="T7:T15" si="7">(N7+O7)*(P7+Q7)*(N7+P7)*(O7+Q7)</f>
        <v>100591535772</v>
      </c>
      <c r="U7" s="31">
        <f t="shared" ref="U7:U15" si="8">IF((S7&gt;0),S7/T7,"- -")</f>
        <v>0.33077724673989678</v>
      </c>
    </row>
    <row r="8" spans="2:21" ht="18" customHeight="1" x14ac:dyDescent="0.25">
      <c r="B8" s="32" t="str">
        <f>'Data Entry'!A8</f>
        <v>3. Refer to Juvenile Court</v>
      </c>
      <c r="C8" s="33">
        <f>'Data Entry'!C8</f>
        <v>78</v>
      </c>
      <c r="D8" s="34">
        <f>IF((AND(C67&gt;0,C8&gt;0)),(C8/C67),0)</f>
        <v>144.44444444444443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78</v>
      </c>
      <c r="Q8" s="42">
        <f>(C$67*L67)-C8</f>
        <v>-24</v>
      </c>
      <c r="R8" s="42">
        <f t="shared" si="5"/>
        <v>54.05</v>
      </c>
      <c r="S8" s="30">
        <f t="shared" si="6"/>
        <v>822.10050000000012</v>
      </c>
      <c r="T8" s="30">
        <f t="shared" si="7"/>
        <v>-5043.8700000000008</v>
      </c>
      <c r="U8" s="31">
        <f t="shared" si="8"/>
        <v>-0.16299002551612154</v>
      </c>
    </row>
    <row r="9" spans="2:21" ht="18" customHeight="1" x14ac:dyDescent="0.25">
      <c r="B9" s="32" t="str">
        <f>'Data Entry'!A9</f>
        <v xml:space="preserve">4. Cases Diverted </v>
      </c>
      <c r="C9" s="33">
        <f>'Data Entry'!C9</f>
        <v>9</v>
      </c>
      <c r="D9" s="34">
        <f>IF((AND(C68&gt;0,C9&gt;0)),((C9/C68)),0)</f>
        <v>11.538461538461538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v>
      </c>
      <c r="Q9" s="42">
        <f>(C$68*L68)-C9</f>
        <v>69</v>
      </c>
      <c r="R9" s="42">
        <f t="shared" si="5"/>
        <v>78</v>
      </c>
      <c r="S9" s="30">
        <f t="shared" si="6"/>
        <v>0</v>
      </c>
      <c r="T9" s="30">
        <f t="shared" si="7"/>
        <v>0</v>
      </c>
      <c r="U9" s="31" t="str">
        <f t="shared" si="8"/>
        <v>- -</v>
      </c>
    </row>
    <row r="10" spans="2:21" ht="18" customHeight="1" x14ac:dyDescent="0.25">
      <c r="B10" s="32" t="str">
        <f>'Data Entry'!A10</f>
        <v>5. Cases Involving Secure Detention</v>
      </c>
      <c r="C10" s="33">
        <f>'Data Entry'!C10</f>
        <v>18</v>
      </c>
      <c r="D10" s="34">
        <f>IF(((AND(C68&gt;0,C10&gt;0))),(C10/(C68)),0)</f>
        <v>23.076923076923077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v>
      </c>
      <c r="Q10" s="42">
        <f>(C$68*L68)-C10</f>
        <v>60</v>
      </c>
      <c r="R10" s="42">
        <f t="shared" si="5"/>
        <v>78</v>
      </c>
      <c r="S10" s="30">
        <f t="shared" si="6"/>
        <v>0</v>
      </c>
      <c r="T10" s="30">
        <f t="shared" si="7"/>
        <v>0</v>
      </c>
      <c r="U10" s="31" t="str">
        <f t="shared" si="8"/>
        <v>- -</v>
      </c>
    </row>
    <row r="11" spans="2:21" ht="18" customHeight="1" x14ac:dyDescent="0.25">
      <c r="B11" s="32" t="str">
        <f>'Data Entry'!A11</f>
        <v>6. Cases Petitioned (Charge Filed)</v>
      </c>
      <c r="C11" s="33">
        <f>'Data Entry'!C11</f>
        <v>19</v>
      </c>
      <c r="D11" s="34">
        <f>IF(((AND(C68&gt;0,C11&gt;0))),(C11/(C68)),0)</f>
        <v>24.358974358974358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59</v>
      </c>
      <c r="R11" s="42">
        <f t="shared" si="5"/>
        <v>78</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52.631578947368418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9</v>
      </c>
      <c r="R12" s="42">
        <f t="shared" si="5"/>
        <v>19</v>
      </c>
      <c r="S12" s="30">
        <f t="shared" si="6"/>
        <v>0</v>
      </c>
      <c r="T12" s="30">
        <f t="shared" si="7"/>
        <v>0</v>
      </c>
      <c r="U12" s="31" t="str">
        <f t="shared" si="8"/>
        <v>- -</v>
      </c>
    </row>
    <row r="13" spans="2:21" ht="18" customHeight="1" x14ac:dyDescent="0.25">
      <c r="B13" s="32" t="str">
        <f>'Data Entry'!A13</f>
        <v>8. Cases Resulting in Probation Placement</v>
      </c>
      <c r="C13" s="33">
        <f>'Data Entry'!C13</f>
        <v>2</v>
      </c>
      <c r="D13" s="34">
        <f>IF(((AND(C70&gt;0,C13&gt;0))),(C13/(C70)),0)</f>
        <v>20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v>
      </c>
      <c r="Q13" s="42">
        <f>(C70*L70)-C13</f>
        <v>8</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6.7469999999999999</v>
      </c>
      <c r="D42" s="56">
        <f>E6/1000</f>
        <v>4.1000000000000002E-2</v>
      </c>
      <c r="E42" s="56">
        <f>MAX(C42:D42)</f>
        <v>6.7469999999999999</v>
      </c>
      <c r="G42" s="1" t="str">
        <f>B42</f>
        <v>per 1000 youth</v>
      </c>
      <c r="L42" s="57">
        <v>1000</v>
      </c>
      <c r="M42" s="57"/>
      <c r="R42" s="49"/>
    </row>
    <row r="43" spans="2:18" ht="15" hidden="1" customHeight="1" x14ac:dyDescent="0.25">
      <c r="B43" s="49" t="s">
        <v>87</v>
      </c>
      <c r="C43" s="56">
        <f>C7/100</f>
        <v>0.54</v>
      </c>
      <c r="D43" s="56">
        <f>E7/100</f>
        <v>0</v>
      </c>
      <c r="E43" s="56">
        <f>MAX(C43:D43,0)</f>
        <v>0.54</v>
      </c>
      <c r="G43" s="1" t="str">
        <f>B43</f>
        <v>per 100 arrests</v>
      </c>
      <c r="L43" s="57">
        <v>100</v>
      </c>
      <c r="M43" s="57"/>
      <c r="R43" s="49"/>
    </row>
    <row r="44" spans="2:18" ht="15" hidden="1" customHeight="1" x14ac:dyDescent="0.25">
      <c r="B44" s="49" t="s">
        <v>88</v>
      </c>
      <c r="C44" s="56">
        <f>C8/100</f>
        <v>0.78</v>
      </c>
      <c r="D44" s="56">
        <f>E8/100</f>
        <v>0</v>
      </c>
      <c r="E44" s="56">
        <f>MAX(C44:D44,0)</f>
        <v>0.78</v>
      </c>
      <c r="G44" s="1" t="str">
        <f>B44</f>
        <v>per 100 referrals</v>
      </c>
      <c r="L44" s="57">
        <v>100</v>
      </c>
      <c r="M44" s="57"/>
      <c r="R44" s="49"/>
    </row>
    <row r="45" spans="2:18" ht="15" hidden="1" customHeight="1" x14ac:dyDescent="0.25">
      <c r="B45" s="49" t="s">
        <v>89</v>
      </c>
      <c r="C45" s="49">
        <f>C11/100</f>
        <v>0.19</v>
      </c>
      <c r="D45" s="49">
        <f>E11/100</f>
        <v>0</v>
      </c>
      <c r="E45" s="56">
        <f>MAX(C45:D45,0)</f>
        <v>0.19</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6.7469999999999999</v>
      </c>
      <c r="D48" s="56">
        <f>D42</f>
        <v>4.1000000000000002E-2</v>
      </c>
      <c r="E48" s="56">
        <f>MAX(C48:D48)</f>
        <v>6.7469999999999999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0.54</v>
      </c>
      <c r="D49" s="49">
        <f t="shared" si="9"/>
        <v>0</v>
      </c>
      <c r="E49" s="49">
        <f>MAX(C49:D49)</f>
        <v>0.54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0.78</v>
      </c>
      <c r="D50" s="49">
        <f t="shared" si="9"/>
        <v>0</v>
      </c>
      <c r="E50" s="49">
        <f>MAX(C50:D50)</f>
        <v>0.78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6.7469999999999999</v>
      </c>
      <c r="D54" s="56">
        <f>D48</f>
        <v>4.1000000000000002E-2</v>
      </c>
      <c r="E54" s="56">
        <f>MAX(C54:D54)</f>
        <v>6.7469999999999999</v>
      </c>
      <c r="G54" s="1" t="str">
        <f>G48</f>
        <v>per 1000 youth</v>
      </c>
      <c r="L54" s="58">
        <f>L48</f>
        <v>1000</v>
      </c>
      <c r="M54" s="58"/>
    </row>
    <row r="55" spans="2:18" ht="15" hidden="1" customHeight="1" x14ac:dyDescent="0.25">
      <c r="B55" s="49" t="str">
        <f t="shared" ref="B55:D56" si="10">IF(($E49&gt;0),B49,B48)</f>
        <v>per 100 arrests</v>
      </c>
      <c r="C55" s="49">
        <f t="shared" si="10"/>
        <v>0.54</v>
      </c>
      <c r="D55" s="49">
        <f t="shared" si="10"/>
        <v>0</v>
      </c>
      <c r="E55" s="49">
        <f>MAX(C55:D55)</f>
        <v>0.54</v>
      </c>
      <c r="G55" s="1" t="str">
        <f>G49</f>
        <v>per 100 arrests</v>
      </c>
      <c r="L55" s="58">
        <f>IF(($E49&gt;0),L49,L48)</f>
        <v>100</v>
      </c>
      <c r="M55" s="58"/>
    </row>
    <row r="56" spans="2:18" ht="15" hidden="1" customHeight="1" x14ac:dyDescent="0.25">
      <c r="B56" s="49" t="str">
        <f t="shared" si="10"/>
        <v>per 100 referrals</v>
      </c>
      <c r="C56" s="49">
        <f t="shared" si="10"/>
        <v>0.78</v>
      </c>
      <c r="D56" s="49">
        <f t="shared" si="10"/>
        <v>0</v>
      </c>
      <c r="E56" s="49">
        <f>MAX(C56:D56)</f>
        <v>0.78</v>
      </c>
      <c r="G56" s="1" t="str">
        <f>G50</f>
        <v>per 100 referrals</v>
      </c>
      <c r="L56" s="58">
        <f>IF(($E50&gt;0),L50,L49)</f>
        <v>100</v>
      </c>
      <c r="M56" s="58"/>
    </row>
    <row r="57" spans="2:18" ht="15" hidden="1" customHeight="1" x14ac:dyDescent="0.25">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6.7469999999999999</v>
      </c>
      <c r="D60" s="56">
        <f>D54</f>
        <v>4.1000000000000002E-2</v>
      </c>
      <c r="E60" s="56">
        <f>MAX(C60:D60)</f>
        <v>6.7469999999999999</v>
      </c>
      <c r="G60" s="1" t="str">
        <f>G54</f>
        <v>per 1000 youth</v>
      </c>
      <c r="L60" s="58">
        <f>L54</f>
        <v>1000</v>
      </c>
      <c r="M60" s="58"/>
    </row>
    <row r="61" spans="2:18" ht="15" hidden="1" customHeight="1" x14ac:dyDescent="0.25">
      <c r="B61" s="49" t="str">
        <f t="shared" ref="B61:D62" si="11">IF(($E55&gt;0),B55,B54)</f>
        <v>per 100 arrests</v>
      </c>
      <c r="C61" s="49">
        <f t="shared" si="11"/>
        <v>0.54</v>
      </c>
      <c r="D61" s="49">
        <f t="shared" si="11"/>
        <v>0</v>
      </c>
      <c r="E61" s="49">
        <f>MAX(C61:D61)</f>
        <v>0.54</v>
      </c>
      <c r="G61" s="1" t="str">
        <f>G55</f>
        <v>per 100 arrests</v>
      </c>
      <c r="L61" s="58">
        <f>IF(($E55&gt;0),L55,L54)</f>
        <v>100</v>
      </c>
      <c r="M61" s="58"/>
    </row>
    <row r="62" spans="2:18" ht="15" hidden="1" customHeight="1" x14ac:dyDescent="0.25">
      <c r="B62" s="49" t="str">
        <f t="shared" si="11"/>
        <v>per 100 referrals</v>
      </c>
      <c r="C62" s="49">
        <f t="shared" si="11"/>
        <v>0.78</v>
      </c>
      <c r="D62" s="49">
        <f t="shared" si="11"/>
        <v>0</v>
      </c>
      <c r="E62" s="49">
        <f>MAX(C62:D62)</f>
        <v>0.78</v>
      </c>
      <c r="G62" s="1" t="str">
        <f>G56</f>
        <v>per 100 referrals</v>
      </c>
      <c r="L62" s="58">
        <f>IF(($E56&gt;0),L56,L55)</f>
        <v>100</v>
      </c>
      <c r="M62" s="58"/>
    </row>
    <row r="63" spans="2:18" ht="15" hidden="1" customHeight="1" x14ac:dyDescent="0.25">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6.7469999999999999</v>
      </c>
      <c r="D66" s="56">
        <f>D60</f>
        <v>4.1000000000000002E-2</v>
      </c>
      <c r="E66" s="56">
        <f>MAX(C66:D66)</f>
        <v>6.7469999999999999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0.54</v>
      </c>
      <c r="D67" s="49">
        <f t="shared" si="12"/>
        <v>0</v>
      </c>
      <c r="E67" s="49">
        <f>MAX(C67:D67)</f>
        <v>0.54</v>
      </c>
      <c r="G67" s="1" t="str">
        <f>G61</f>
        <v>per 100 arrests</v>
      </c>
      <c r="L67" s="58">
        <f>IF(($E61&gt;0),L61,L60)</f>
        <v>100</v>
      </c>
      <c r="M67" s="58">
        <f>IF((B67=G67),1,2)</f>
        <v>1</v>
      </c>
    </row>
    <row r="68" spans="2:13" ht="15" hidden="1" customHeight="1" x14ac:dyDescent="0.25">
      <c r="B68" s="49" t="str">
        <f t="shared" si="12"/>
        <v>per 100 referrals</v>
      </c>
      <c r="C68" s="49">
        <f t="shared" si="12"/>
        <v>0.78</v>
      </c>
      <c r="D68" s="49">
        <f t="shared" si="12"/>
        <v>0</v>
      </c>
      <c r="E68" s="49">
        <f>MAX(C68:D68)</f>
        <v>0.78</v>
      </c>
      <c r="G68" s="1" t="str">
        <f>G62</f>
        <v>per 100 referrals</v>
      </c>
      <c r="L68" s="58">
        <f>IF(($E62&gt;0),L62,L61)</f>
        <v>100</v>
      </c>
      <c r="M68" s="58">
        <f>IF((B68=G68),1,2)</f>
        <v>1</v>
      </c>
    </row>
    <row r="69" spans="2:13" ht="15" hidden="1" customHeight="1" x14ac:dyDescent="0.25">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U47JMPN4QEAR-1806752177-30248</_dlc_DocId>
    <_dlc_DocIdUrl xmlns="ac3811b5-0f3e-49e2-ba69-f2ffa0c782af">
      <Url>https://michiganphi.sharepoint.com/sites/CMDMC/_layouts/15/DocIdRedir.aspx?ID=U47JMPN4QEAR-1806752177-30248</Url>
      <Description>U47JMPN4QEAR-1806752177-30248</Description>
    </_dlc_DocIdUrl>
  </documentManagement>
</p:properties>
</file>

<file path=customXml/itemProps1.xml><?xml version="1.0" encoding="utf-8"?>
<ds:datastoreItem xmlns:ds="http://schemas.openxmlformats.org/officeDocument/2006/customXml" ds:itemID="{F30968B8-811C-45D1-A576-016772A0744B}"/>
</file>

<file path=customXml/itemProps2.xml><?xml version="1.0" encoding="utf-8"?>
<ds:datastoreItem xmlns:ds="http://schemas.openxmlformats.org/officeDocument/2006/customXml" ds:itemID="{5902BCA9-3FF0-46EE-9D37-C71AD71B3845}"/>
</file>

<file path=customXml/itemProps3.xml><?xml version="1.0" encoding="utf-8"?>
<ds:datastoreItem xmlns:ds="http://schemas.openxmlformats.org/officeDocument/2006/customXml" ds:itemID="{8C13C6BC-8505-4CE2-910D-98E0AB3BA148}"/>
</file>

<file path=customXml/itemProps4.xml><?xml version="1.0" encoding="utf-8"?>
<ds:datastoreItem xmlns:ds="http://schemas.openxmlformats.org/officeDocument/2006/customXml" ds:itemID="{A8D17FAB-6AB6-4837-9E4E-23B283B927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91c37957-feae-4d72-b1fc-48c6563c48f8</vt:lpwstr>
  </property>
</Properties>
</file>