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3" documentId="8_{3D15383D-9E1D-4872-8A64-6824CC7A855A}" xr6:coauthVersionLast="47" xr6:coauthVersionMax="47" xr10:uidLastSave="{2100DF94-ED6C-45E7-9769-8032B02C7F97}"/>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M66" i="6"/>
  <c r="F27" i="6"/>
  <c r="F27" i="2"/>
  <c r="M66" i="2"/>
  <c r="F27" i="8"/>
  <c r="M66" i="8"/>
  <c r="F27" i="5"/>
  <c r="M66" i="5"/>
  <c r="F27" i="4"/>
  <c r="M66" i="4"/>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E43" i="7"/>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5" l="1"/>
  <c r="L64" i="3"/>
  <c r="B56" i="8"/>
  <c r="L56" i="8"/>
  <c r="E58" i="8"/>
  <c r="D64" i="5"/>
  <c r="E64" i="5" s="1"/>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L64" i="8"/>
  <c r="B64" i="8"/>
  <c r="D64" i="8"/>
  <c r="Q8" i="13"/>
  <c r="I7" i="9"/>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D70" i="8" s="1"/>
  <c r="F13" i="8" s="1"/>
  <c r="B70" i="3"/>
  <c r="M70" i="3" s="1"/>
  <c r="D63" i="8"/>
  <c r="L69" i="7"/>
  <c r="C69" i="7"/>
  <c r="D12" i="7" s="1"/>
  <c r="C63" i="8"/>
  <c r="L63" i="8"/>
  <c r="E63" i="3"/>
  <c r="C69" i="3" s="1"/>
  <c r="D15" i="3" s="1"/>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B70" i="8" l="1"/>
  <c r="M70" i="8" s="1"/>
  <c r="L70" i="8"/>
  <c r="O14" i="8" s="1"/>
  <c r="D69" i="3"/>
  <c r="E69" i="3" s="1"/>
  <c r="F34" i="3"/>
  <c r="E63" i="8"/>
  <c r="D69" i="8" s="1"/>
  <c r="F15" i="8" s="1"/>
  <c r="F33" i="3"/>
  <c r="B69" i="6"/>
  <c r="M69" i="6" s="1"/>
  <c r="C70" i="8"/>
  <c r="D14" i="8" s="1"/>
  <c r="D12" i="3"/>
  <c r="L69" i="3"/>
  <c r="Q12" i="3" s="1"/>
  <c r="D15" i="7"/>
  <c r="Q15" i="7"/>
  <c r="E70" i="6"/>
  <c r="Q12" i="7"/>
  <c r="B69" i="3"/>
  <c r="M69" i="3" s="1"/>
  <c r="F14" i="3"/>
  <c r="O13" i="3"/>
  <c r="E69" i="7"/>
  <c r="D13" i="3"/>
  <c r="O13" i="6"/>
  <c r="F14" i="6"/>
  <c r="O14" i="6"/>
  <c r="D13" i="6"/>
  <c r="C69" i="6"/>
  <c r="D12" i="6" s="1"/>
  <c r="Q14" i="3"/>
  <c r="F12" i="7"/>
  <c r="O12" i="7"/>
  <c r="D14" i="6"/>
  <c r="O15" i="7"/>
  <c r="Q13" i="3"/>
  <c r="Q13" i="6"/>
  <c r="Q14" i="6"/>
  <c r="E70" i="3"/>
  <c r="O14" i="3"/>
  <c r="D69" i="6"/>
  <c r="F12" i="6" s="1"/>
  <c r="T10" i="3"/>
  <c r="K10" i="4"/>
  <c r="F8" i="7"/>
  <c r="T9" i="4"/>
  <c r="T11" i="4"/>
  <c r="U11" i="4" s="1"/>
  <c r="J11" i="4" s="1"/>
  <c r="K11" i="4"/>
  <c r="R10" i="4"/>
  <c r="S10" i="4" s="1"/>
  <c r="T8" i="3"/>
  <c r="U8" i="3" s="1"/>
  <c r="J8" i="3" s="1"/>
  <c r="F12" i="3"/>
  <c r="T13" i="4"/>
  <c r="T8" i="5"/>
  <c r="U8" i="5" s="1"/>
  <c r="J8" i="5" s="1"/>
  <c r="K8" i="5"/>
  <c r="E67" i="7"/>
  <c r="M67" i="7"/>
  <c r="D8" i="7"/>
  <c r="T10" i="4"/>
  <c r="K8" i="3"/>
  <c r="Q8" i="7"/>
  <c r="R8" i="7" s="1"/>
  <c r="S8" i="7" s="1"/>
  <c r="M69" i="2"/>
  <c r="K14" i="4"/>
  <c r="K13" i="4"/>
  <c r="Q8" i="6"/>
  <c r="O8" i="6"/>
  <c r="E67" i="6"/>
  <c r="F15" i="3"/>
  <c r="R13" i="4"/>
  <c r="S13" i="4" s="1"/>
  <c r="K9" i="4"/>
  <c r="R9" i="4"/>
  <c r="S9" i="4" s="1"/>
  <c r="U9" i="4" s="1"/>
  <c r="J9" i="4" s="1"/>
  <c r="M9" i="4" s="1"/>
  <c r="G9" i="4" s="1"/>
  <c r="G10" i="16" s="1"/>
  <c r="F32" i="2"/>
  <c r="O13" i="8"/>
  <c r="R10" i="3"/>
  <c r="S10" i="3" s="1"/>
  <c r="U10" i="3" s="1"/>
  <c r="J10" i="3" s="1"/>
  <c r="M10" i="3" s="1"/>
  <c r="G10" i="3" s="1"/>
  <c r="I11" i="16" s="1"/>
  <c r="F8" i="2"/>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R14" i="5"/>
  <c r="S14" i="5" s="1"/>
  <c r="U14" i="5" s="1"/>
  <c r="J14" i="5" s="1"/>
  <c r="M14" i="5" s="1"/>
  <c r="C70" i="2"/>
  <c r="D14" i="2" s="1"/>
  <c r="T14" i="5"/>
  <c r="K14" i="5"/>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3" i="8" l="1"/>
  <c r="F34" i="8"/>
  <c r="F12" i="8"/>
  <c r="F35" i="3"/>
  <c r="Q14" i="8"/>
  <c r="R14" i="8" s="1"/>
  <c r="S14" i="8" s="1"/>
  <c r="E70" i="8"/>
  <c r="D13" i="8"/>
  <c r="F35" i="6"/>
  <c r="B69" i="8"/>
  <c r="M69" i="8" s="1"/>
  <c r="L69" i="8"/>
  <c r="O15" i="8" s="1"/>
  <c r="O15" i="3"/>
  <c r="K15" i="3" s="1"/>
  <c r="Q13" i="8"/>
  <c r="T13" i="8" s="1"/>
  <c r="C69" i="8"/>
  <c r="D15" i="8" s="1"/>
  <c r="Q12" i="6"/>
  <c r="F32" i="6"/>
  <c r="U13" i="4"/>
  <c r="J13" i="4" s="1"/>
  <c r="L13" i="4" s="1"/>
  <c r="O14" i="16" s="1"/>
  <c r="Q15" i="6"/>
  <c r="Q15" i="3"/>
  <c r="O12" i="3"/>
  <c r="R12" i="3" s="1"/>
  <c r="S12" i="3" s="1"/>
  <c r="U12" i="3" s="1"/>
  <c r="J12" i="3" s="1"/>
  <c r="U10" i="4"/>
  <c r="J10" i="4" s="1"/>
  <c r="M10" i="4" s="1"/>
  <c r="G10" i="4" s="1"/>
  <c r="G11" i="16" s="1"/>
  <c r="K12" i="7"/>
  <c r="T12" i="7"/>
  <c r="T13" i="6"/>
  <c r="R12" i="7"/>
  <c r="S12" i="7" s="1"/>
  <c r="U12" i="7" s="1"/>
  <c r="J12" i="7" s="1"/>
  <c r="M12" i="7" s="1"/>
  <c r="K15" i="7"/>
  <c r="R14" i="3"/>
  <c r="S14" i="3" s="1"/>
  <c r="U14" i="3" s="1"/>
  <c r="J14" i="3" s="1"/>
  <c r="M14" i="3" s="1"/>
  <c r="G14" i="3" s="1"/>
  <c r="I15" i="16" s="1"/>
  <c r="K13" i="3"/>
  <c r="F32" i="3"/>
  <c r="R15" i="7"/>
  <c r="S15" i="7" s="1"/>
  <c r="U15" i="7" s="1"/>
  <c r="J15" i="7" s="1"/>
  <c r="M15" i="7" s="1"/>
  <c r="K14" i="6"/>
  <c r="T14" i="6"/>
  <c r="R14" i="6"/>
  <c r="S14" i="6" s="1"/>
  <c r="U14" i="6" s="1"/>
  <c r="J14" i="6" s="1"/>
  <c r="M14" i="6" s="1"/>
  <c r="G14" i="6" s="1"/>
  <c r="M15" i="13" s="1"/>
  <c r="K13" i="6"/>
  <c r="R13" i="6"/>
  <c r="S13" i="6" s="1"/>
  <c r="O15" i="6"/>
  <c r="O12" i="6"/>
  <c r="E69" i="6"/>
  <c r="D15" i="6"/>
  <c r="T13" i="3"/>
  <c r="K14" i="3"/>
  <c r="T14" i="3"/>
  <c r="R13" i="3"/>
  <c r="S13" i="3" s="1"/>
  <c r="U13" i="3" s="1"/>
  <c r="J13" i="3" s="1"/>
  <c r="T15" i="7"/>
  <c r="F15" i="6"/>
  <c r="L11" i="4"/>
  <c r="O12" i="16" s="1"/>
  <c r="K8" i="7"/>
  <c r="O13" i="2"/>
  <c r="T8" i="7"/>
  <c r="U8" i="7" s="1"/>
  <c r="J8" i="7" s="1"/>
  <c r="M8" i="7" s="1"/>
  <c r="T13" i="7"/>
  <c r="Q10" i="7"/>
  <c r="F13" i="2"/>
  <c r="Q11" i="7"/>
  <c r="R8" i="6"/>
  <c r="S8" i="6" s="1"/>
  <c r="F14" i="2"/>
  <c r="E69" i="8"/>
  <c r="F10" i="7"/>
  <c r="L10" i="3"/>
  <c r="P11" i="16" s="1"/>
  <c r="F30" i="7"/>
  <c r="M68" i="7"/>
  <c r="F29" i="7"/>
  <c r="F15" i="5"/>
  <c r="K14"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T14" i="8"/>
  <c r="D13" i="2"/>
  <c r="E70" i="2"/>
  <c r="Q14" i="2"/>
  <c r="K14" i="2" s="1"/>
  <c r="L9" i="4"/>
  <c r="O10" i="16" s="1"/>
  <c r="R13" i="7"/>
  <c r="S13" i="7" s="1"/>
  <c r="Q13" i="2"/>
  <c r="U9" i="3"/>
  <c r="J9" i="3" s="1"/>
  <c r="L9" i="3" s="1"/>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2" i="6" l="1"/>
  <c r="S12" i="6" s="1"/>
  <c r="F32" i="8"/>
  <c r="K15" i="6"/>
  <c r="T15" i="3"/>
  <c r="T12" i="3"/>
  <c r="K13" i="8"/>
  <c r="D12" i="8"/>
  <c r="O12" i="8"/>
  <c r="R13" i="8"/>
  <c r="S13" i="8" s="1"/>
  <c r="U13" i="8" s="1"/>
  <c r="J13" i="8" s="1"/>
  <c r="M13" i="8" s="1"/>
  <c r="G13" i="8" s="1"/>
  <c r="Q15" i="8"/>
  <c r="R15" i="8" s="1"/>
  <c r="S15" i="8" s="1"/>
  <c r="M13" i="4"/>
  <c r="G13" i="4" s="1"/>
  <c r="G14" i="16" s="1"/>
  <c r="R15" i="3"/>
  <c r="S15" i="3" s="1"/>
  <c r="U15" i="3" s="1"/>
  <c r="J15" i="3" s="1"/>
  <c r="M15" i="3" s="1"/>
  <c r="G15" i="3" s="1"/>
  <c r="I16" i="16" s="1"/>
  <c r="F35" i="8"/>
  <c r="Q12" i="8"/>
  <c r="R15" i="6"/>
  <c r="S15" i="6" s="1"/>
  <c r="U15" i="6" s="1"/>
  <c r="J15" i="6" s="1"/>
  <c r="L12" i="7"/>
  <c r="S13" i="16" s="1"/>
  <c r="L10" i="4"/>
  <c r="O11" i="16" s="1"/>
  <c r="G11" i="13"/>
  <c r="K12" i="3"/>
  <c r="L12" i="3" s="1"/>
  <c r="P13" i="16" s="1"/>
  <c r="U13" i="6"/>
  <c r="J13" i="6" s="1"/>
  <c r="M13" i="6" s="1"/>
  <c r="G13" i="6" s="1"/>
  <c r="G13" i="9" s="1"/>
  <c r="D10" i="9"/>
  <c r="U14" i="8"/>
  <c r="J14" i="8" s="1"/>
  <c r="N30" i="8" s="1"/>
  <c r="L15" i="7"/>
  <c r="S16" i="16" s="1"/>
  <c r="U13" i="7"/>
  <c r="J13" i="7" s="1"/>
  <c r="M13" i="7" s="1"/>
  <c r="T12" i="6"/>
  <c r="U12" i="6" s="1"/>
  <c r="J12" i="6" s="1"/>
  <c r="M12" i="6" s="1"/>
  <c r="T15" i="6"/>
  <c r="L13" i="3"/>
  <c r="P14" i="16" s="1"/>
  <c r="I15" i="13"/>
  <c r="N30" i="3"/>
  <c r="E14" i="9"/>
  <c r="L14" i="3"/>
  <c r="P15" i="16" s="1"/>
  <c r="M13" i="3"/>
  <c r="G13" i="3" s="1"/>
  <c r="I14" i="16" s="1"/>
  <c r="K12" i="6"/>
  <c r="M13" i="9"/>
  <c r="U14" i="13"/>
  <c r="U12" i="13"/>
  <c r="M11" i="9"/>
  <c r="T13" i="2"/>
  <c r="U8" i="6"/>
  <c r="J8" i="6" s="1"/>
  <c r="M8" i="6" s="1"/>
  <c r="G8" i="6" s="1"/>
  <c r="M9" i="13" s="1"/>
  <c r="R13" i="2"/>
  <c r="S13" i="2" s="1"/>
  <c r="U13" i="2" s="1"/>
  <c r="J13" i="2" s="1"/>
  <c r="M13" i="2" s="1"/>
  <c r="G13" i="2" s="1"/>
  <c r="E14" i="16" s="1"/>
  <c r="V11" i="13"/>
  <c r="G14" i="9"/>
  <c r="R10" i="7"/>
  <c r="S10" i="7" s="1"/>
  <c r="U10" i="7" s="1"/>
  <c r="J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U14" i="2" s="1"/>
  <c r="J14" i="2" s="1"/>
  <c r="M14" i="2" s="1"/>
  <c r="G14" i="2" s="1"/>
  <c r="E15" i="16" s="1"/>
  <c r="K9" i="7"/>
  <c r="T14" i="2"/>
  <c r="V12" i="13"/>
  <c r="U10" i="13"/>
  <c r="N11" i="9"/>
  <c r="T15" i="5"/>
  <c r="W14" i="13"/>
  <c r="M9" i="3"/>
  <c r="G9" i="3" s="1"/>
  <c r="I10" i="13" s="1"/>
  <c r="G12" i="13"/>
  <c r="G12" i="16"/>
  <c r="N9" i="9"/>
  <c r="P10" i="16"/>
  <c r="M14" i="7"/>
  <c r="N30" i="7"/>
  <c r="L14" i="7"/>
  <c r="S15" i="16" s="1"/>
  <c r="L8" i="7"/>
  <c r="S9" i="16" s="1"/>
  <c r="O13" i="9"/>
  <c r="M9" i="9"/>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L15" i="6" l="1"/>
  <c r="R16" i="16" s="1"/>
  <c r="T12" i="8"/>
  <c r="R12" i="8"/>
  <c r="S12" i="8" s="1"/>
  <c r="U12" i="8" s="1"/>
  <c r="J12" i="8" s="1"/>
  <c r="M12" i="8" s="1"/>
  <c r="K12" i="8"/>
  <c r="I16" i="13"/>
  <c r="G14" i="13"/>
  <c r="Y13" i="13"/>
  <c r="D13" i="9"/>
  <c r="L15" i="3"/>
  <c r="P16" i="16" s="1"/>
  <c r="K15" i="8"/>
  <c r="T15" i="8"/>
  <c r="U15" i="8" s="1"/>
  <c r="J15" i="8" s="1"/>
  <c r="M15" i="8" s="1"/>
  <c r="G15" i="8" s="1"/>
  <c r="K16" i="16" s="1"/>
  <c r="E15" i="9"/>
  <c r="M15" i="6"/>
  <c r="G15" i="6" s="1"/>
  <c r="G15" i="9" s="1"/>
  <c r="Q12" i="9"/>
  <c r="U11" i="13"/>
  <c r="M10" i="9"/>
  <c r="I14" i="13"/>
  <c r="M14" i="8"/>
  <c r="G14" i="8" s="1"/>
  <c r="K15" i="16" s="1"/>
  <c r="L14" i="8"/>
  <c r="T15" i="16" s="1"/>
  <c r="Q15" i="9"/>
  <c r="Y16" i="13"/>
  <c r="N13" i="9"/>
  <c r="L13" i="6"/>
  <c r="R14" i="16" s="1"/>
  <c r="M14" i="13"/>
  <c r="V15" i="13"/>
  <c r="G12" i="6"/>
  <c r="G12" i="9" s="1"/>
  <c r="V14" i="13"/>
  <c r="L13" i="7"/>
  <c r="S14" i="16" s="1"/>
  <c r="N14" i="9"/>
  <c r="L13" i="8"/>
  <c r="K14" i="16"/>
  <c r="I13" i="9"/>
  <c r="Q14" i="13"/>
  <c r="E13" i="9"/>
  <c r="L12" i="6"/>
  <c r="R13" i="16" s="1"/>
  <c r="L8" i="6"/>
  <c r="R9" i="16" s="1"/>
  <c r="L10" i="7"/>
  <c r="S11" i="16" s="1"/>
  <c r="X16" i="13"/>
  <c r="P15" i="9"/>
  <c r="L15" i="5"/>
  <c r="Q16" i="16" s="1"/>
  <c r="T9" i="13"/>
  <c r="L8" i="9"/>
  <c r="X15" i="13"/>
  <c r="P14" i="9"/>
  <c r="G8" i="9"/>
  <c r="Q14" i="9"/>
  <c r="Y15" i="13"/>
  <c r="E9" i="13"/>
  <c r="L10" i="2"/>
  <c r="N11" i="16" s="1"/>
  <c r="M10" i="7"/>
  <c r="L11" i="6"/>
  <c r="R12" i="16" s="1"/>
  <c r="I10" i="16"/>
  <c r="C8" i="9"/>
  <c r="E9" i="9"/>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L15" i="8" l="1"/>
  <c r="T16" i="16" s="1"/>
  <c r="G12" i="8"/>
  <c r="K13" i="16" s="1"/>
  <c r="M16" i="13"/>
  <c r="V16" i="13"/>
  <c r="N15" i="9"/>
  <c r="Z15" i="13"/>
  <c r="R14" i="9"/>
  <c r="Q15" i="13"/>
  <c r="I14" i="9"/>
  <c r="Q13" i="9"/>
  <c r="M13" i="13"/>
  <c r="X14" i="13"/>
  <c r="P13" i="9"/>
  <c r="Y14" i="13"/>
  <c r="L12" i="8"/>
  <c r="T13" i="16" s="1"/>
  <c r="T14" i="16"/>
  <c r="Z14" i="13"/>
  <c r="R13" i="9"/>
  <c r="X13" i="13"/>
  <c r="P12"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<sst xmlns="http://schemas.openxmlformats.org/spreadsheetml/2006/main" count="654" uniqueCount="141">
  <si>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</si>
  <si>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</si>
  <si>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</si>
  <si>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</si>
  <si>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</si>
  <si>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</si>
  <si>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</si>
  <si>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</si>
  <si>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</si>
  <si>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</si>
  <si>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</si>
  <si>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</si>
  <si>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</si>
  <si>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</si>
  <si>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</si>
  <si>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</si>
  <si>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</si>
  <si>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</si>
  <si>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</si>
  <si>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</si>
  <si>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</si>
  <si>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</si>
  <si>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</si>
  <si>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</si>
  <si>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</si>
  <si>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</si>
  <si>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</si>
  <si>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</si>
  <si>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</si>
  <si>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</si>
  <si>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</si>
  <si>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</si>
  <si>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</si>
  <si>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</si>
  <si>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</si>
  <si>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</si>
  <si>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</si>
  <si>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</si>
  <si>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</si>
  <si>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</si>
  <si>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</si>
  <si>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</si>
  <si>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</si>
  <si>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</si>
  <si>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</si>
  <si>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</si>
  <si>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</si>
  <si>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</si>
  <si>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</si>
  <si>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</si>
  <si>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</si>
  <si>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</si>
  <si>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</si>
  <si>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</si>
  <si>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</si>
  <si>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</si>
  <si>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</si>
  <si>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</si>
  <si>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</si>
  <si>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</si>
  <si>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</si>
  <si>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</si>
  <si>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</si>
  <si>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</si>
  <si>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</si>
  <si>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</si>
  <si>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</si>
  <si>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</si>
  <si>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</si>
  <si>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</si>
  <si>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</si>
  <si>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</si>
  <si>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</si>
  <si>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</si>
  <si>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</si>
  <si>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</si>
  <si>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</si>
  <si>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</si>
  <si>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</si>
  <si>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</si>
  <si>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</si>
  <si>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</si>
  <si>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</si>
  <si>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</si>
  <si>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</si>
  <si>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</si>
  <si>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</si>
  <si>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</si>
  <si>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</si>
  <si>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</si>
  <si>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</si>
  <si>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</si>
  <si>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</si>
  <si>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</si>
  <si>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</si>
  <si>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</si>
  <si>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</si>
  <si>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</si>
  <si>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</si>
  <si>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</si>
  <si>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</si>
  <si>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</si>
  <si>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</si>
  <si>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</si>
  <si>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</si>
  <si>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</si>
  <si>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</si>
  <si>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</si>
  <si>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</si>
  <si>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</si>
  <si>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</si>
  <si>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</si>
  <si>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</si>
  <si>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</si>
  <si>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</si>
  <si>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</si>
  <si>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</si>
  <si>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</si>
  <si>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</si>
  <si>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</si>
  <si>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</si>
  <si>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</si>
  <si>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</si>
  <si>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</si>
  <si>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</si>
  <si>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</si>
  <si>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</si>
  <si>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</si>
  <si>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</si>
  <si>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</si>
  <si>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</si>
  <si>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</si>
  <si>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</si>
  <si>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</si>
  <si>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</si>
  <si>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</si>
  <si>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Leelanau</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</si>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</sst>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Leelanau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N=0</c:v>
                </c:pt>
                <c:pt idx="2">
                  <c:v>Delinquent Findings, total N=1</c:v>
                </c:pt>
                <c:pt idx="3">
                  <c:v>Petitions, total N=0</c:v>
                </c:pt>
                <c:pt idx="4">
                  <c:v>Detentions, total N=0</c:v>
                </c:pt>
                <c:pt idx="5">
                  <c:v>Referrals, total N=14</c:v>
                </c:pt>
                <c:pt idx="6">
                  <c:v>Arrests, total N=5</c:v>
                </c:pt>
                <c:pt idx="7">
                  <c:v>Population, total N=1619</c:v>
                </c:pt>
              </c:strCache>
            </c:strRef>
          </c:cat>
          <c:val>
            <c:numRef>
              <c:f>'Stacked 100%'!$B$7:$B$14</c:f>
              <c:numCache>
                <c:formatCode>0%</c:formatCode>
                <c:ptCount val="8"/>
                <c:pt idx="0">
                  <c:v>0</c:v>
                </c:pt>
                <c:pt idx="1">
                  <c:v>0</c:v>
                </c:pt>
                <c:pt idx="2">
                  <c:v>0</c:v>
                </c:pt>
                <c:pt idx="3">
                  <c:v>0</c:v>
                </c:pt>
                <c:pt idx="4">
                  <c:v>0</c:v>
                </c:pt>
                <c:pt idx="5">
                  <c:v>7.1428571428571425E-2</c:v>
                </c:pt>
                <c:pt idx="6">
                  <c:v>0</c:v>
                </c:pt>
                <c:pt idx="7">
                  <c:v>1.7294626312538603E-2</c:v>
                </c:pt>
              </c:numCache>
            </c:numRef>
          </c:val>
          <c:extLst>
            <c:ext xmlns:c16="http://schemas.microsoft.com/office/drawing/2014/chart" uri="{C3380CC4-5D6E-409C-BE32-E72D297353CC}">
              <c16:uniqueId val="{00000000-AAD3-4139-88BB-A49236DE140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N=0</c:v>
                </c:pt>
                <c:pt idx="2">
                  <c:v>Delinquent Findings, total N=1</c:v>
                </c:pt>
                <c:pt idx="3">
                  <c:v>Petitions, total N=0</c:v>
                </c:pt>
                <c:pt idx="4">
                  <c:v>Detentions, total N=0</c:v>
                </c:pt>
                <c:pt idx="5">
                  <c:v>Referrals, total N=14</c:v>
                </c:pt>
                <c:pt idx="6">
                  <c:v>Arrests, total N=5</c:v>
                </c:pt>
                <c:pt idx="7">
                  <c:v>Population, total N=1619</c:v>
                </c:pt>
              </c:strCache>
            </c:strRef>
          </c:cat>
          <c:val>
            <c:numRef>
              <c:f>'Stacked 100%'!$C$7:$C$14</c:f>
              <c:numCache>
                <c:formatCode>0%</c:formatCode>
                <c:ptCount val="8"/>
                <c:pt idx="0">
                  <c:v>0</c:v>
                </c:pt>
                <c:pt idx="1">
                  <c:v>0</c:v>
                </c:pt>
                <c:pt idx="2">
                  <c:v>0</c:v>
                </c:pt>
                <c:pt idx="3">
                  <c:v>0</c:v>
                </c:pt>
                <c:pt idx="4">
                  <c:v>0</c:v>
                </c:pt>
                <c:pt idx="5">
                  <c:v>0</c:v>
                </c:pt>
                <c:pt idx="6">
                  <c:v>0.2</c:v>
                </c:pt>
                <c:pt idx="7">
                  <c:v>9.2032118591723291E-2</c:v>
                </c:pt>
              </c:numCache>
            </c:numRef>
          </c:val>
          <c:extLst>
            <c:ext xmlns:c16="http://schemas.microsoft.com/office/drawing/2014/chart" uri="{C3380CC4-5D6E-409C-BE32-E72D297353CC}">
              <c16:uniqueId val="{00000001-AAD3-4139-88BB-A49236DE140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N=1</c:v>
                </c:pt>
                <c:pt idx="1">
                  <c:v>Confinement, total N=0</c:v>
                </c:pt>
                <c:pt idx="2">
                  <c:v>Delinquent Findings, total N=1</c:v>
                </c:pt>
                <c:pt idx="3">
                  <c:v>Petitions, total N=0</c:v>
                </c:pt>
                <c:pt idx="4">
                  <c:v>Detentions, total N=0</c:v>
                </c:pt>
                <c:pt idx="5">
                  <c:v>Referrals, total N=14</c:v>
                </c:pt>
                <c:pt idx="6">
                  <c:v>Arrests, total N=5</c:v>
                </c:pt>
                <c:pt idx="7">
                  <c:v>Population, total N=1619</c:v>
                </c:pt>
              </c:strCache>
            </c:strRef>
          </c:cat>
          <c:val>
            <c:numRef>
              <c:f>'Stacked 100%'!$H$7:$H$14</c:f>
              <c:numCache>
                <c:formatCode>0%</c:formatCode>
                <c:ptCount val="8"/>
                <c:pt idx="0">
                  <c:v>0</c:v>
                </c:pt>
                <c:pt idx="1">
                  <c:v>0</c:v>
                </c:pt>
                <c:pt idx="2">
                  <c:v>0</c:v>
                </c:pt>
                <c:pt idx="3">
                  <c:v>0</c:v>
                </c:pt>
                <c:pt idx="4">
                  <c:v>0</c:v>
                </c:pt>
                <c:pt idx="5">
                  <c:v>1.020408163265306E-2</c:v>
                </c:pt>
                <c:pt idx="6">
                  <c:v>0.04</c:v>
                </c:pt>
                <c:pt idx="7">
                  <c:v>4.616275001802636E-5</c:v>
                </c:pt>
              </c:numCache>
            </c:numRef>
          </c:val>
          <c:extLst>
            <c:ext xmlns:c16="http://schemas.microsoft.com/office/drawing/2014/chart" uri="{C3380CC4-5D6E-409C-BE32-E72D297353CC}">
              <c16:uniqueId val="{00000002-AAD3-4139-88BB-A49236DE140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N=0</c:v>
                </c:pt>
                <c:pt idx="2">
                  <c:v>Delinquent Findings, total N=1</c:v>
                </c:pt>
                <c:pt idx="3">
                  <c:v>Petitions, total N=0</c:v>
                </c:pt>
                <c:pt idx="4">
                  <c:v>Detentions, total N=0</c:v>
                </c:pt>
                <c:pt idx="5">
                  <c:v>Referrals, total N=14</c:v>
                </c:pt>
                <c:pt idx="6">
                  <c:v>Arrests, total N=5</c:v>
                </c:pt>
                <c:pt idx="7">
                  <c:v>Population, total N=1619</c:v>
                </c:pt>
              </c:strCache>
            </c:strRef>
          </c:cat>
          <c:val>
            <c:numRef>
              <c:f>'Stacked 100%'!$I$7:$I$14</c:f>
              <c:numCache>
                <c:formatCode>0%</c:formatCode>
                <c:ptCount val="8"/>
                <c:pt idx="0">
                  <c:v>1</c:v>
                </c:pt>
                <c:pt idx="1">
                  <c:v>0</c:v>
                </c:pt>
                <c:pt idx="2">
                  <c:v>1</c:v>
                </c:pt>
                <c:pt idx="3">
                  <c:v>0</c:v>
                </c:pt>
                <c:pt idx="4">
                  <c:v>0</c:v>
                </c:pt>
                <c:pt idx="5">
                  <c:v>0.7142857142857143</c:v>
                </c:pt>
                <c:pt idx="6">
                  <c:v>0.4</c:v>
                </c:pt>
                <c:pt idx="7">
                  <c:v>0.81593576281655344</c:v>
                </c:pt>
              </c:numCache>
            </c:numRef>
          </c:val>
          <c:extLst>
            <c:ext xmlns:c16="http://schemas.microsoft.com/office/drawing/2014/chart" uri="{C3380CC4-5D6E-409C-BE32-E72D297353CC}">
              <c16:uniqueId val="{00000003-AAD3-4139-88BB-A49236DE140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N=1</c:v>
                </c:pt>
                <c:pt idx="1">
                  <c:v>Confinement, total N=0</c:v>
                </c:pt>
                <c:pt idx="2">
                  <c:v>Delinquent Findings, total N=1</c:v>
                </c:pt>
                <c:pt idx="3">
                  <c:v>Petitions, total N=0</c:v>
                </c:pt>
                <c:pt idx="4">
                  <c:v>Detentions, total N=0</c:v>
                </c:pt>
                <c:pt idx="5">
                  <c:v>Referrals, total N=14</c:v>
                </c:pt>
                <c:pt idx="6">
                  <c:v>Arrests, total N=5</c:v>
                </c:pt>
                <c:pt idx="7">
                  <c:v>Population, total N=1619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AD3-4139-88BB-A49236DE140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6" sqref="C16"/>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1619</v>
      </c>
      <c r="C6" s="11">
        <v>1321</v>
      </c>
      <c r="D6" s="11">
        <v>28</v>
      </c>
      <c r="E6" s="11">
        <v>149</v>
      </c>
      <c r="F6" s="11">
        <v>28</v>
      </c>
      <c r="G6" s="11"/>
      <c r="H6" s="11">
        <v>93</v>
      </c>
      <c r="I6" s="11"/>
      <c r="J6" s="91">
        <f>SUM(D6:I6)</f>
        <v>298</v>
      </c>
      <c r="K6" s="92"/>
    </row>
    <row r="7" spans="1:11" ht="15.75" customHeight="1" thickBot="1">
      <c r="A7" s="10" t="s">
        <v>8</v>
      </c>
      <c r="B7" s="11">
        <f t="shared" ref="B7:B15" si="0">SUM(C7:I7)+K7</f>
        <v>5</v>
      </c>
      <c r="C7" s="11">
        <v>2</v>
      </c>
      <c r="D7" s="11"/>
      <c r="E7" s="11">
        <v>1</v>
      </c>
      <c r="F7" s="11"/>
      <c r="G7" s="11"/>
      <c r="H7" s="11">
        <v>1</v>
      </c>
      <c r="I7" s="11"/>
      <c r="J7" s="91">
        <f t="shared" ref="J7:J15" si="1">SUM(D7:I7)</f>
        <v>2</v>
      </c>
      <c r="K7" s="92">
        <v>1</v>
      </c>
    </row>
    <row r="8" spans="1:11" ht="15.75" customHeight="1" thickBot="1">
      <c r="A8" s="10" t="s">
        <v>9</v>
      </c>
      <c r="B8" s="11">
        <f t="shared" si="0"/>
        <v>14</v>
      </c>
      <c r="C8" s="11">
        <v>10</v>
      </c>
      <c r="D8" s="11">
        <v>1</v>
      </c>
      <c r="E8" s="11"/>
      <c r="F8" s="11"/>
      <c r="G8" s="11"/>
      <c r="H8" s="11">
        <v>2</v>
      </c>
      <c r="I8" s="11"/>
      <c r="J8" s="91">
        <f t="shared" si="1"/>
        <v>3</v>
      </c>
      <c r="K8" s="92">
        <v>1</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1</v>
      </c>
      <c r="C12" s="11">
        <v>1</v>
      </c>
      <c r="D12" s="11"/>
      <c r="E12" s="11"/>
      <c r="F12" s="11"/>
      <c r="G12" s="11"/>
      <c r="H12" s="11"/>
      <c r="I12" s="11"/>
      <c r="J12" s="91">
        <f t="shared" si="1"/>
        <v>0</v>
      </c>
      <c r="K12" s="92"/>
    </row>
    <row r="13" spans="1:11" ht="15.75" customHeight="1" thickBot="1">
      <c r="A13" s="10" t="s">
        <v>133</v>
      </c>
      <c r="B13" s="11">
        <f t="shared" si="0"/>
        <v>5</v>
      </c>
      <c r="C13" s="11">
        <v>3</v>
      </c>
      <c r="D13" s="11"/>
      <c r="E13" s="11"/>
      <c r="F13" s="11"/>
      <c r="G13" s="11"/>
      <c r="H13" s="11"/>
      <c r="I13" s="11">
        <v>2</v>
      </c>
      <c r="J13" s="91">
        <f t="shared" si="1"/>
        <v>2</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1</v>
      </c>
      <c r="C15" s="11">
        <v>1</v>
      </c>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Leelanau</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1321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1.5140045420136261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1319</v>
      </c>
      <c r="R7" s="42">
        <f t="shared" ref="R7:R15" si="5">SUM(N7:Q7)</f>
        <v>1321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v>
      </c>
      <c r="D8" s="34">
        <f>IF((AND(C67&gt;0,C8&gt;0)),(C8/C67),0)</f>
        <v>500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v>
      </c>
      <c r="Q8" s="42">
        <f>(C$67*L67)-C8</f>
        <v>-8</v>
      </c>
      <c r="R8" s="42">
        <f t="shared" si="5"/>
        <v>2.0500000000000007</v>
      </c>
      <c r="S8" s="30">
        <f t="shared" si="6"/>
        <v>0.51250000000000018</v>
      </c>
      <c r="T8" s="30">
        <f t="shared" si="7"/>
        <v>-7.95</v>
      </c>
      <c r="U8" s="31">
        <f t="shared" si="8"/>
        <v>-6.4465408805031474E-2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10</v>
      </c>
      <c r="R9" s="42">
        <f t="shared" si="5"/>
        <v>10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10</v>
      </c>
      <c r="R10" s="42">
        <f t="shared" si="5"/>
        <v>10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10</v>
      </c>
      <c r="R11" s="42">
        <f t="shared" si="5"/>
        <v>10</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10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9</v>
      </c>
      <c r="R12" s="42">
        <f t="shared" si="5"/>
        <v>10</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300</v>
      </c>
      <c r="E13" s="33">
        <f>'Data Entry'!I13</f>
        <v>2</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2</v>
      </c>
      <c r="O13" s="42">
        <f>(D70*L70)-E13</f>
        <v>-2</v>
      </c>
      <c r="P13" s="42">
        <f t="shared" si="4"/>
        <v>3</v>
      </c>
      <c r="Q13" s="42">
        <f>(C70*L70)-C13</f>
        <v>-2</v>
      </c>
      <c r="R13" s="42">
        <f t="shared" si="5"/>
        <v>1</v>
      </c>
      <c r="S13" s="30">
        <f t="shared" si="6"/>
        <v>4</v>
      </c>
      <c r="T13" s="30">
        <f t="shared" si="7"/>
        <v>0</v>
      </c>
      <c r="U13" s="31" t="e">
        <f t="shared" si="8"/>
        <v>#DIV/0!</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10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9</v>
      </c>
      <c r="R15" s="42">
        <f t="shared" si="5"/>
        <v>10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1.321</v>
      </c>
      <c r="D42" s="56">
        <f>E6/1000</f>
        <v>0</v>
      </c>
      <c r="E42" s="56">
        <f>MAX(C42:D42)</f>
        <v>1.321</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0.1</v>
      </c>
      <c r="D44" s="56">
        <f>E8/100</f>
        <v>0</v>
      </c>
      <c r="E44" s="56">
        <f>MAX(C44:D44,0)</f>
        <v>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1.321</v>
      </c>
      <c r="D48" s="56">
        <f>D42</f>
        <v>0</v>
      </c>
      <c r="E48" s="56">
        <f>MAX(C48:D48)</f>
        <v>1.321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0.1</v>
      </c>
      <c r="D50" s="49">
        <f t="shared" si="9"/>
        <v>0</v>
      </c>
      <c r="E50" s="49">
        <f>MAX(C50:D50)</f>
        <v>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0.1</v>
      </c>
      <c r="D51" s="49">
        <f>IF(($E45&gt;0),D45,D44)</f>
        <v>0</v>
      </c>
      <c r="E51" s="49">
        <f>MAX(C51:D51)</f>
        <v>0.1</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1.321</v>
      </c>
      <c r="D54" s="56">
        <f>D48</f>
        <v>0</v>
      </c>
      <c r="E54" s="56">
        <f>MAX(C54:D54)</f>
        <v>1.321</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0.1</v>
      </c>
      <c r="D56" s="49">
        <f t="shared" si="10"/>
        <v>0</v>
      </c>
      <c r="E56" s="49">
        <f>MAX(C56:D56)</f>
        <v>0.1</v>
      </c>
      <c r="G56" s="1" t="str">
        <f>G50</f>
        <v>per 100 referrals</v>
      </c>
      <c r="L56" s="58">
        <f>IF(($E50&gt;0),L50,L49)</f>
        <v>100</v>
      </c>
      <c r="M56" s="58"/>
    </row>
    <row r="57" spans="2:18" ht="15" hidden="1" customHeight="1">
      <c r="B57" s="49" t="str">
        <f>IF(($E51&gt;0),B51,B49)</f>
        <v>per 100 arrests</v>
      </c>
      <c r="C57" s="49">
        <f>IF(($E51&gt;0),C51,C50)</f>
        <v>0.1</v>
      </c>
      <c r="D57" s="49">
        <f>IF(($E51&gt;0),D51,D50)</f>
        <v>0</v>
      </c>
      <c r="E57" s="49">
        <f>MAX(C57:D57)</f>
        <v>0.1</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1.321</v>
      </c>
      <c r="D60" s="56">
        <f>D54</f>
        <v>0</v>
      </c>
      <c r="E60" s="56">
        <f>MAX(C60:D60)</f>
        <v>1.321</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0.1</v>
      </c>
      <c r="D62" s="49">
        <f t="shared" si="11"/>
        <v>0</v>
      </c>
      <c r="E62" s="49">
        <f>MAX(C62:D62)</f>
        <v>0.1</v>
      </c>
      <c r="G62" s="1" t="str">
        <f>G56</f>
        <v>per 100 referrals</v>
      </c>
      <c r="L62" s="58">
        <f>IF(($E56&gt;0),L56,L55)</f>
        <v>100</v>
      </c>
      <c r="M62" s="58"/>
    </row>
    <row r="63" spans="2:18" ht="15" hidden="1" customHeight="1">
      <c r="B63" s="49" t="str">
        <f>IF(($E57&gt;0),B57,B55)</f>
        <v>per 100 arrests</v>
      </c>
      <c r="C63" s="49">
        <f>IF(($E57&gt;0),C57,C56)</f>
        <v>0.1</v>
      </c>
      <c r="D63" s="49">
        <f>IF(($E57&gt;0),D57,D56)</f>
        <v>0</v>
      </c>
      <c r="E63" s="49">
        <f>MAX(C63:D63)</f>
        <v>0.1</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1.321</v>
      </c>
      <c r="D66" s="56">
        <f>D60</f>
        <v>0</v>
      </c>
      <c r="E66" s="56">
        <f>MAX(C66:D66)</f>
        <v>1.321</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0.1</v>
      </c>
      <c r="D68" s="49">
        <f t="shared" si="12"/>
        <v>0</v>
      </c>
      <c r="E68" s="49">
        <f>MAX(C68:D68)</f>
        <v>0.1</v>
      </c>
      <c r="G68" s="1" t="str">
        <f>G62</f>
        <v>per 100 referrals</v>
      </c>
      <c r="L68" s="58">
        <f>IF(($E62&gt;0),L62,L61)</f>
        <v>100</v>
      </c>
      <c r="M68" s="58">
        <f>IF((B68=G68),1,2)</f>
        <v>1</v>
      </c>
    </row>
    <row r="69" spans="2:13" ht="15" hidden="1" customHeight="1">
      <c r="B69" s="49" t="str">
        <f>IF(($E63&gt;0),B63,B61)</f>
        <v>per 100 arrests</v>
      </c>
      <c r="C69" s="49">
        <f>IF(($E63&gt;0),C63,C62)</f>
        <v>0.1</v>
      </c>
      <c r="D69" s="49">
        <f>IF(($E63&gt;0),D63,D62)</f>
        <v>0</v>
      </c>
      <c r="E69" s="49">
        <f>MAX(C69:D69)</f>
        <v>0.1</v>
      </c>
      <c r="G69" s="1" t="str">
        <f>G63</f>
        <v>per 100 youth petitioned</v>
      </c>
      <c r="L69" s="58">
        <f>IF(($E63&gt;0),L63,L62)</f>
        <v>100</v>
      </c>
      <c r="M69" s="58">
        <f>IF((B69=G69),1,2)</f>
        <v>2</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Leelanau</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1321</v>
      </c>
      <c r="D6" s="34"/>
      <c r="E6" s="33">
        <f>'Data Entry'!J6</f>
        <v>298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1.5140045420136261</v>
      </c>
      <c r="E7" s="33">
        <f>'Data Entry'!J7</f>
        <v>2</v>
      </c>
      <c r="F7" s="34">
        <f>IF((AND($E$7&gt;0,$D$66&gt;0)),($E$7/$D$66),0)</f>
        <v>6.7114093959731544</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296</v>
      </c>
      <c r="P7" s="42">
        <f t="shared" ref="P7:P15" si="4">C7</f>
        <v>2</v>
      </c>
      <c r="Q7" s="42">
        <f>C6-C7</f>
        <v>1319</v>
      </c>
      <c r="R7" s="42">
        <f t="shared" ref="R7:R15" si="5">SUM(N7:Q7)</f>
        <v>1619</v>
      </c>
      <c r="S7" s="30">
        <f t="shared" ref="S7:S15" si="6">R7*((((N7*Q7)-(O7*P7))^2))</f>
        <v>6777321804</v>
      </c>
      <c r="T7" s="30">
        <f t="shared" ref="T7:T15" si="7">(N7+O7)*(P7+Q7)*(N7+P7)*(O7+Q7)</f>
        <v>2543030680</v>
      </c>
      <c r="U7" s="31">
        <f t="shared" ref="U7:U15" si="8">IF((S7&gt;0),S7/T7,"- -")</f>
        <v>2.6650570350177607</v>
      </c>
    </row>
    <row r="8" spans="2:21" ht="18" customHeight="1">
      <c r="B8" s="32" t="str">
        <f>'Data Entry'!A8</f>
        <v>3. Refer to Juvenile Court</v>
      </c>
      <c r="C8" s="33">
        <f>'Data Entry'!C8</f>
        <v>10</v>
      </c>
      <c r="D8" s="34">
        <f>IF((AND(C67&gt;0,C8&gt;0)),(C8/C67),0)</f>
        <v>500</v>
      </c>
      <c r="E8" s="33">
        <f>'Data Entry'!J8</f>
        <v>3</v>
      </c>
      <c r="F8" s="34">
        <f>IF((AND($E$8&gt;0,$D$67&gt;0)),($E8/$D67),0)</f>
        <v>150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-0.95</v>
      </c>
      <c r="P8" s="42">
        <f t="shared" si="4"/>
        <v>10</v>
      </c>
      <c r="Q8" s="42">
        <f>(C$67*L67)-C8</f>
        <v>-8</v>
      </c>
      <c r="R8" s="42">
        <f t="shared" si="5"/>
        <v>4.0500000000000007</v>
      </c>
      <c r="S8" s="30">
        <f t="shared" si="6"/>
        <v>851.51250000000016</v>
      </c>
      <c r="T8" s="30">
        <f t="shared" si="7"/>
        <v>-477.03499999999991</v>
      </c>
      <c r="U8" s="31">
        <f t="shared" si="8"/>
        <v>-1.785010533818274</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10</v>
      </c>
      <c r="R9" s="42">
        <f t="shared" si="5"/>
        <v>13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10</v>
      </c>
      <c r="R10" s="42">
        <f t="shared" si="5"/>
        <v>13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v>
      </c>
      <c r="P11" s="42">
        <f t="shared" si="4"/>
        <v>0</v>
      </c>
      <c r="Q11" s="42">
        <f>(C$68*L68)-C11</f>
        <v>10</v>
      </c>
      <c r="R11" s="42">
        <f t="shared" si="5"/>
        <v>13</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10</v>
      </c>
      <c r="E12" s="33">
        <f>'Data Entry'!J12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3</v>
      </c>
      <c r="P12" s="42">
        <f t="shared" si="4"/>
        <v>1</v>
      </c>
      <c r="Q12" s="42">
        <f>(C69*L69)-C12</f>
        <v>9</v>
      </c>
      <c r="R12" s="42">
        <f t="shared" si="5"/>
        <v>13</v>
      </c>
      <c r="S12" s="30">
        <f t="shared" si="6"/>
        <v>117</v>
      </c>
      <c r="T12" s="30">
        <f t="shared" si="7"/>
        <v>360</v>
      </c>
      <c r="U12" s="31">
        <f t="shared" si="8"/>
        <v>0.32500000000000001</v>
      </c>
    </row>
    <row r="13" spans="2:21" ht="18" customHeight="1">
      <c r="B13" s="32" t="str">
        <f>'Data Entry'!A13</f>
        <v>8. Cases Resulting in Probation Placement</v>
      </c>
      <c r="C13" s="33">
        <f>'Data Entry'!C13</f>
        <v>3</v>
      </c>
      <c r="D13" s="34">
        <f>IF(((AND(C70&gt;0,C13&gt;0))),(C13/(C70)),0)</f>
        <v>300</v>
      </c>
      <c r="E13" s="33">
        <f>'Data Entry'!J13</f>
        <v>2</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2</v>
      </c>
      <c r="O13" s="42">
        <f>(D70*L70)-E13</f>
        <v>-2</v>
      </c>
      <c r="P13" s="42">
        <f t="shared" si="4"/>
        <v>3</v>
      </c>
      <c r="Q13" s="42">
        <f>(C70*L70)-C13</f>
        <v>-2</v>
      </c>
      <c r="R13" s="42">
        <f t="shared" si="5"/>
        <v>1</v>
      </c>
      <c r="S13" s="30">
        <f t="shared" si="6"/>
        <v>4</v>
      </c>
      <c r="T13" s="30">
        <f t="shared" si="7"/>
        <v>0</v>
      </c>
      <c r="U13" s="31" t="e">
        <f t="shared" si="8"/>
        <v>#DIV/0!</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10</v>
      </c>
      <c r="E15" s="33">
        <f>'Data Entry'!J15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3</v>
      </c>
      <c r="P15" s="42">
        <f t="shared" si="4"/>
        <v>1</v>
      </c>
      <c r="Q15" s="42">
        <f>(C69*L69)-C15</f>
        <v>9</v>
      </c>
      <c r="R15" s="42">
        <f t="shared" si="5"/>
        <v>13</v>
      </c>
      <c r="S15" s="30">
        <f t="shared" si="6"/>
        <v>117</v>
      </c>
      <c r="T15" s="30">
        <f t="shared" si="7"/>
        <v>360</v>
      </c>
      <c r="U15" s="31">
        <f t="shared" si="8"/>
        <v>0.32500000000000001</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1.321</v>
      </c>
      <c r="D42" s="56">
        <f>E6/1000</f>
        <v>0.29799999999999999</v>
      </c>
      <c r="E42" s="56">
        <f>MAX(C42:D42)</f>
        <v>1.321</v>
      </c>
      <c r="G42" s="1" t="str">
        <f>B42</f>
        <v>per 1000 youth</v>
      </c>
      <c r="L42" s="57">
        <v>1000</v>
      </c>
      <c r="M42" s="57"/>
      <c r="R42" s="49"/>
    </row>
    <row r="43" spans="2:18" ht="15" hidden="1" customHeight="1">
      <c r="B43" s="49" t="s">
        <v>87</v>
      </c>
      <c r="C43" s="56">
        <f>C7/100</f>
        <v>0.02</v>
      </c>
      <c r="D43" s="56">
        <f>E7/100</f>
        <v>0.02</v>
      </c>
      <c r="E43" s="56">
        <f>MAX(C43:D43,0)</f>
        <v>0.02</v>
      </c>
      <c r="G43" s="1" t="str">
        <f>B43</f>
        <v>per 100 arrests</v>
      </c>
      <c r="L43" s="57">
        <v>100</v>
      </c>
      <c r="M43" s="57"/>
      <c r="R43" s="49"/>
    </row>
    <row r="44" spans="2:18" ht="15" hidden="1" customHeight="1">
      <c r="B44" s="49" t="s">
        <v>88</v>
      </c>
      <c r="C44" s="56">
        <f>C8/100</f>
        <v>0.1</v>
      </c>
      <c r="D44" s="56">
        <f>E8/100</f>
        <v>0.03</v>
      </c>
      <c r="E44" s="56">
        <f>MAX(C44:D44,0)</f>
        <v>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1.321</v>
      </c>
      <c r="D48" s="56">
        <f>D42</f>
        <v>0.29799999999999999</v>
      </c>
      <c r="E48" s="56">
        <f>MAX(C48:D48)</f>
        <v>1.321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0.02</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0.1</v>
      </c>
      <c r="D50" s="49">
        <f t="shared" si="9"/>
        <v>0.03</v>
      </c>
      <c r="E50" s="49">
        <f>MAX(C50:D50)</f>
        <v>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0.1</v>
      </c>
      <c r="D51" s="49">
        <f>IF(($E45&gt;0),D45,D44)</f>
        <v>0.03</v>
      </c>
      <c r="E51" s="49">
        <f>MAX(C51:D51)</f>
        <v>0.1</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1.321</v>
      </c>
      <c r="D54" s="56">
        <f>D48</f>
        <v>0.29799999999999999</v>
      </c>
      <c r="E54" s="56">
        <f>MAX(C54:D54)</f>
        <v>1.321</v>
      </c>
      <c r="G54" s="1" t="str">
        <f>G48</f>
        <v>per 1000 youth</v>
      </c>
      <c r="L54" s="58">
        <f>L48</f>
        <v>1000</v>
      </c>
      <c r="M54" s="58"/>
    </row>
    <row r="55" spans="2:18" ht="15" hidden="1" customHeight="1">
      <c r="B55" s="49" t="str">
        <f t="shared" ref="B55:D56" si="10">IF(($E49&gt;0),B49,B48)</f>
        <v>per 100 arrests</v>
      </c>
      <c r="C55" s="49">
        <f t="shared" si="10"/>
        <v>0.02</v>
      </c>
      <c r="D55" s="49">
        <f t="shared" si="10"/>
        <v>0.02</v>
      </c>
      <c r="E55" s="49">
        <f>MAX(C55:D55)</f>
        <v>0.02</v>
      </c>
      <c r="G55" s="1" t="str">
        <f>G49</f>
        <v>per 100 arrests</v>
      </c>
      <c r="L55" s="58">
        <f>IF(($E49&gt;0),L49,L48)</f>
        <v>100</v>
      </c>
      <c r="M55" s="58"/>
    </row>
    <row r="56" spans="2:18" ht="15" hidden="1" customHeight="1">
      <c r="B56" s="49" t="str">
        <f t="shared" si="10"/>
        <v>per 100 referrals</v>
      </c>
      <c r="C56" s="49">
        <f t="shared" si="10"/>
        <v>0.1</v>
      </c>
      <c r="D56" s="49">
        <f t="shared" si="10"/>
        <v>0.03</v>
      </c>
      <c r="E56" s="49">
        <f>MAX(C56:D56)</f>
        <v>0.1</v>
      </c>
      <c r="G56" s="1" t="str">
        <f>G50</f>
        <v>per 100 referrals</v>
      </c>
      <c r="L56" s="58">
        <f>IF(($E50&gt;0),L50,L49)</f>
        <v>100</v>
      </c>
      <c r="M56" s="58"/>
    </row>
    <row r="57" spans="2:18" ht="15" hidden="1" customHeight="1">
      <c r="B57" s="49" t="str">
        <f>IF(($E51&gt;0),B51,B49)</f>
        <v>per 100 arrests</v>
      </c>
      <c r="C57" s="49">
        <f>IF(($E51&gt;0),C51,C50)</f>
        <v>0.1</v>
      </c>
      <c r="D57" s="49">
        <f>IF(($E51&gt;0),D51,D50)</f>
        <v>0.03</v>
      </c>
      <c r="E57" s="49">
        <f>MAX(C57:D57)</f>
        <v>0.1</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1.321</v>
      </c>
      <c r="D60" s="56">
        <f>D54</f>
        <v>0.29799999999999999</v>
      </c>
      <c r="E60" s="56">
        <f>MAX(C60:D60)</f>
        <v>1.321</v>
      </c>
      <c r="G60" s="1" t="str">
        <f>G54</f>
        <v>per 1000 youth</v>
      </c>
      <c r="L60" s="58">
        <f>L54</f>
        <v>1000</v>
      </c>
      <c r="M60" s="58"/>
    </row>
    <row r="61" spans="2:18" ht="15" hidden="1" customHeight="1">
      <c r="B61" s="49" t="str">
        <f t="shared" ref="B61:D62" si="11">IF(($E55&gt;0),B55,B54)</f>
        <v>per 100 arrests</v>
      </c>
      <c r="C61" s="49">
        <f t="shared" si="11"/>
        <v>0.02</v>
      </c>
      <c r="D61" s="49">
        <f t="shared" si="11"/>
        <v>0.02</v>
      </c>
      <c r="E61" s="49">
        <f>MAX(C61:D61)</f>
        <v>0.02</v>
      </c>
      <c r="G61" s="1" t="str">
        <f>G55</f>
        <v>per 100 arrests</v>
      </c>
      <c r="L61" s="58">
        <f>IF(($E55&gt;0),L55,L54)</f>
        <v>100</v>
      </c>
      <c r="M61" s="58"/>
    </row>
    <row r="62" spans="2:18" ht="15" hidden="1" customHeight="1">
      <c r="B62" s="49" t="str">
        <f t="shared" si="11"/>
        <v>per 100 referrals</v>
      </c>
      <c r="C62" s="49">
        <f t="shared" si="11"/>
        <v>0.1</v>
      </c>
      <c r="D62" s="49">
        <f t="shared" si="11"/>
        <v>0.03</v>
      </c>
      <c r="E62" s="49">
        <f>MAX(C62:D62)</f>
        <v>0.1</v>
      </c>
      <c r="G62" s="1" t="str">
        <f>G56</f>
        <v>per 100 referrals</v>
      </c>
      <c r="L62" s="58">
        <f>IF(($E56&gt;0),L56,L55)</f>
        <v>100</v>
      </c>
      <c r="M62" s="58"/>
    </row>
    <row r="63" spans="2:18" ht="15" hidden="1" customHeight="1">
      <c r="B63" s="49" t="str">
        <f>IF(($E57&gt;0),B57,B55)</f>
        <v>per 100 arrests</v>
      </c>
      <c r="C63" s="49">
        <f>IF(($E57&gt;0),C57,C56)</f>
        <v>0.1</v>
      </c>
      <c r="D63" s="49">
        <f>IF(($E57&gt;0),D57,D56)</f>
        <v>0.03</v>
      </c>
      <c r="E63" s="49">
        <f>MAX(C63:D63)</f>
        <v>0.1</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1.321</v>
      </c>
      <c r="D66" s="56">
        <f>D60</f>
        <v>0.29799999999999999</v>
      </c>
      <c r="E66" s="56">
        <f>MAX(C66:D66)</f>
        <v>1.321</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0.02</v>
      </c>
      <c r="E67" s="49">
        <f>MAX(C67:D67)</f>
        <v>0.02</v>
      </c>
      <c r="G67" s="1" t="str">
        <f>G61</f>
        <v>per 100 arrests</v>
      </c>
      <c r="L67" s="58">
        <f>IF(($E61&gt;0),L61,L60)</f>
        <v>100</v>
      </c>
      <c r="M67" s="58">
        <f>IF((B67=G67),1,2)</f>
        <v>1</v>
      </c>
    </row>
    <row r="68" spans="2:13" ht="15" hidden="1" customHeight="1">
      <c r="B68" s="49" t="str">
        <f t="shared" si="12"/>
        <v>per 100 referrals</v>
      </c>
      <c r="C68" s="49">
        <f t="shared" si="12"/>
        <v>0.1</v>
      </c>
      <c r="D68" s="49">
        <f t="shared" si="12"/>
        <v>0.03</v>
      </c>
      <c r="E68" s="49">
        <f>MAX(C68:D68)</f>
        <v>0.1</v>
      </c>
      <c r="G68" s="1" t="str">
        <f>G62</f>
        <v>per 100 referrals</v>
      </c>
      <c r="L68" s="58">
        <f>IF(($E62&gt;0),L62,L61)</f>
        <v>100</v>
      </c>
      <c r="M68" s="58">
        <f>IF((B68=G68),1,2)</f>
        <v>1</v>
      </c>
    </row>
    <row r="69" spans="2:13" ht="15" hidden="1" customHeight="1">
      <c r="B69" s="49" t="str">
        <f>IF(($E63&gt;0),B63,B61)</f>
        <v>per 100 arrests</v>
      </c>
      <c r="C69" s="49">
        <f>IF(($E63&gt;0),C63,C62)</f>
        <v>0.1</v>
      </c>
      <c r="D69" s="49">
        <f>IF(($E63&gt;0),D63,D62)</f>
        <v>0.03</v>
      </c>
      <c r="E69" s="49">
        <f>MAX(C69:D69)</f>
        <v>0.1</v>
      </c>
      <c r="G69" s="1" t="str">
        <f>G63</f>
        <v>per 100 youth petitioned</v>
      </c>
      <c r="L69" s="58">
        <f>IF(($E63&gt;0),L63,L62)</f>
        <v>100</v>
      </c>
      <c r="M69" s="58">
        <f>IF((B69=G69),1,2)</f>
        <v>2</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Leelanau</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f>'Am Indian'!L12</f>
        <v>40</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#DIV/0!</v>
      </c>
      <c r="R13" s="1" t="e">
        <f>'All Minorities'!L13</f>
        <v>#DIV/0!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40</v>
      </c>
      <c r="M15" s="1" t="e">
        <f>Hispanic!L15</f>
        <v>#VALUE!</v>
      </c>
      <c r="N15" s="1" t="e">
        <f>Asian!L15</f>
        <v>#VALUE!</v>
      </c>
      <c r="O15" s="1" t="e">
        <f>Hawaiian!L15</f>
        <v>#VALUE!</v>
      </c>
      <c r="P15" s="1">
        <f>'Am Indian'!L15</f>
        <v>40</v>
      </c>
      <c r="Q15" s="1" t="e">
        <f>'Other - Mixed'!L15</f>
        <v>#VALUE!</v>
      </c>
      <c r="R15" s="1">
        <f>'All Minorities'!L15</f>
        <v>40</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1619</v>
      </c>
      <c r="D3" s="57">
        <f>'Data Entry'!C6</f>
        <v>1321</v>
      </c>
      <c r="E3" s="57">
        <f>'Data Entry'!D6</f>
        <v>28</v>
      </c>
      <c r="F3" s="57">
        <f>'Data Entry'!E6</f>
        <v>149</v>
      </c>
      <c r="G3" s="57">
        <f>'Data Entry'!F6</f>
        <v>28</v>
      </c>
      <c r="H3" s="57">
        <f>'Data Entry'!G6</f>
        <v>0</v>
      </c>
      <c r="I3" s="57">
        <f>'Data Entry'!H6</f>
        <v>93</v>
      </c>
      <c r="J3" s="57">
        <f>'Data Entry'!I6</f>
        <v>0</v>
      </c>
      <c r="K3" s="57">
        <f>'Data Entry'!J6</f>
        <v>298</v>
      </c>
    </row>
    <row r="4" spans="2:11" ht="15" customHeight="1">
      <c r="B4" s="16" t="s">
        <v>8</v>
      </c>
      <c r="C4" s="1">
        <f>IF((C$3&gt;0),(1000*('Data Entry'!B7/'Data Entry'!B$6)), 0)</f>
        <v>3.0883261272390365</v>
      </c>
      <c r="D4" s="1">
        <f>IF((D$3&gt;0),(1000*('Data Entry'!C7/'Data Entry'!C$6)), 0)</f>
        <v>1.5140045420136261</v>
      </c>
      <c r="E4" s="1">
        <f>IF((E$3&gt;0),(1000*('Data Entry'!D7/'Data Entry'!D$6)), 0)</f>
        <v>0</v>
      </c>
      <c r="F4" s="1">
        <f>IF((F$3&gt;0),(1000*('Data Entry'!E7/'Data Entry'!E$6)), 0)</f>
        <v>6.7114093959731544</v>
      </c>
      <c r="G4" s="1">
        <f>IF((G$3&gt;0),(1000*('Data Entry'!F7/'Data Entry'!F$6)), 0)</f>
        <v>0</v>
      </c>
      <c r="H4" s="1">
        <f>IF((H$3&gt;0),(1000*('Data Entry'!G7/'Data Entry'!G$6)), 0)</f>
        <v>0</v>
      </c>
      <c r="I4" s="1">
        <f>IF((I$3&gt;0),(1000*('Data Entry'!H7/'Data Entry'!H$6)), 0)</f>
        <v>10.752688172043012</v>
      </c>
      <c r="J4" s="1">
        <f>IF((J$3&gt;0),(1000*('Data Entry'!I7/'Data Entry'!I$6)), 0)</f>
        <v>0</v>
      </c>
      <c r="K4" s="1">
        <f>IF((K$3&gt;0),(1000*('Data Entry'!J7/'Data Entry'!J$6)), 0)</f>
        <v>6.7114093959731544</v>
      </c>
    </row>
    <row r="5" spans="2:11" ht="15" customHeight="1">
      <c r="B5" s="16" t="s">
        <v>9</v>
      </c>
      <c r="C5" s="1">
        <f>IF((C$3&gt;0),(1000*('Data Entry'!B8/'Data Entry'!B$6)), 0)</f>
        <v>8.647313156269302</v>
      </c>
      <c r="D5" s="1">
        <f>IF((D$3&gt;0),(1000*('Data Entry'!C8/'Data Entry'!C$6)), 0)</f>
        <v>7.5700227100681303</v>
      </c>
      <c r="E5" s="1">
        <f>IF((E$3&gt;0),(1000*('Data Entry'!D8/'Data Entry'!D$6)), 0)</f>
        <v>35.714285714285715</v>
      </c>
      <c r="F5" s="1">
        <f>IF((F$3&gt;0),(1000*('Data Entry'!E8/'Data Entry'!E$6)), 0)</f>
        <v>0</v>
      </c>
      <c r="G5" s="1">
        <f>IF((G$3&gt;0),(1000*('Data Entry'!F8/'Data Entry'!F$6)), 0)</f>
        <v>0</v>
      </c>
      <c r="H5" s="1">
        <f>IF((H$3&gt;0),(1000*('Data Entry'!G8/'Data Entry'!G$6)), 0)</f>
        <v>0</v>
      </c>
      <c r="I5" s="1">
        <f>IF((I$3&gt;0),(1000*('Data Entry'!H8/'Data Entry'!H$6)), 0)</f>
        <v>21.505376344086024</v>
      </c>
      <c r="J5" s="1">
        <f>IF((J$3&gt;0),(1000*('Data Entry'!I8/'Data Entry'!I$6)), 0)</f>
        <v>0</v>
      </c>
      <c r="K5" s="1">
        <f>IF((K$3&gt;0),(1000*('Data Entry'!J8/'Data Entry'!J$6)), 0)</f>
        <v>10.067114093959731</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0.61766522544780733</v>
      </c>
      <c r="D9" s="1">
        <f>IF((D$3&gt;0),(1000*('Data Entry'!C12/'Data Entry'!C$6)), 0)</f>
        <v>0.75700227100681305</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3.0883261272390365</v>
      </c>
      <c r="D10" s="1">
        <f>IF((D$3&gt;0),(1000*('Data Entry'!C13/'Data Entry'!C$6)), 0)</f>
        <v>2.2710068130204393</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6.7114093959731544</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0.61766522544780733</v>
      </c>
      <c r="D12" s="1">
        <f>IF((D$3&gt;0),(1000*('Data Entry'!C15/'Data Entry'!C$6)), 0)</f>
        <v>0.75700227100681305</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Leelanau</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f t="shared" si="1"/>
        <v>4.4328859060402683</v>
      </c>
      <c r="F19" s="72" t="str">
        <f t="shared" si="1"/>
        <v>--</v>
      </c>
      <c r="G19" s="72" t="str">
        <f t="shared" si="1"/>
        <v>--</v>
      </c>
      <c r="H19" s="72">
        <f t="shared" si="1"/>
        <v>7.102150537634409</v>
      </c>
      <c r="I19" s="72" t="str">
        <f t="shared" si="1"/>
        <v>--</v>
      </c>
      <c r="J19" s="73">
        <f t="shared" si="1"/>
        <v>4.4328859060402683</v>
      </c>
    </row>
    <row r="20" spans="2:10" ht="15" customHeight="1">
      <c r="B20" s="71" t="s">
        <v>9</v>
      </c>
      <c r="C20" s="72">
        <f t="shared" ref="C20:J27" si="2">IF(AND(($D5&gt;0),(D5&gt;0)), (D5/$D5),"--")</f>
        <v>1</v>
      </c>
      <c r="D20" s="72">
        <f t="shared" si="2"/>
        <v>4.7178571428571425</v>
      </c>
      <c r="E20" s="72" t="str">
        <f t="shared" si="2"/>
        <v>--</v>
      </c>
      <c r="F20" s="72" t="str">
        <f t="shared" si="2"/>
        <v>--</v>
      </c>
      <c r="G20" s="72" t="str">
        <f t="shared" si="2"/>
        <v>--</v>
      </c>
      <c r="H20" s="72">
        <f t="shared" si="2"/>
        <v>2.8408602150537638</v>
      </c>
      <c r="I20" s="72" t="str">
        <f t="shared" si="2"/>
        <v>--</v>
      </c>
      <c r="J20" s="73">
        <f t="shared" si="2"/>
        <v>1.3298657718120803</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f t="shared" si="2"/>
        <v>2.9552572706935121</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f t="shared" si="2"/>
        <v>1</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Leelanau</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1321</v>
      </c>
      <c r="D7" s="104">
        <f>'Data Entry'!D6</f>
        <v>28</v>
      </c>
      <c r="E7" s="105"/>
      <c r="F7" s="106">
        <f>'Data Entry'!E6</f>
        <v>149</v>
      </c>
      <c r="G7" s="105"/>
      <c r="H7" s="106">
        <f>'Data Entry'!F6</f>
        <v>28</v>
      </c>
      <c r="I7" s="105"/>
      <c r="J7" s="106">
        <f>'Data Entry'!G6</f>
        <v>0</v>
      </c>
      <c r="K7" s="105"/>
      <c r="L7" s="106">
        <f>'Data Entry'!H6</f>
        <v>93</v>
      </c>
      <c r="M7" s="105"/>
      <c r="N7" s="106">
        <f>'Data Entry'!I6</f>
        <v>0</v>
      </c>
      <c r="O7" s="105"/>
      <c r="P7" s="106">
        <f>'Data Entry'!J6</f>
        <v>298</v>
      </c>
      <c r="Q7" s="107"/>
    </row>
    <row r="8" spans="2:26" s="1" customFormat="1" ht="15" customHeight="1">
      <c r="B8" s="142" t="s">
        <v>8</v>
      </c>
      <c r="C8" s="103">
        <f>'Data Entry'!C7</f>
        <v>2</v>
      </c>
      <c r="D8" s="104">
        <f>'Data Entry'!D7</f>
        <v>0</v>
      </c>
      <c r="E8" s="105" t="str">
        <f>'Black or African-American'!$G7</f>
        <v>**</v>
      </c>
      <c r="F8" s="106">
        <f>'Data Entry'!E7</f>
        <v>1</v>
      </c>
      <c r="G8" s="105" t="str">
        <f>Hispanic!G7</f>
        <v>**</v>
      </c>
      <c r="H8" s="106">
        <f>'Data Entry'!F7</f>
        <v>0</v>
      </c>
      <c r="I8" s="105" t="str">
        <f>Asian!G7</f>
        <v>**</v>
      </c>
      <c r="J8" s="106">
        <f>'Data Entry'!G7</f>
        <v>0</v>
      </c>
      <c r="K8" s="105" t="str">
        <f>Hawaiian!G7</f>
        <v>*</v>
      </c>
      <c r="L8" s="106">
        <f>'Data Entry'!H7</f>
        <v>1</v>
      </c>
      <c r="M8" s="105" t="str">
        <f>'Am Indian'!G7</f>
        <v>**</v>
      </c>
      <c r="N8" s="106">
        <f>'Data Entry'!I7</f>
        <v>0</v>
      </c>
      <c r="O8" s="105" t="str">
        <f>'Other - Mixed'!G7</f>
        <v>*</v>
      </c>
      <c r="P8" s="106">
        <f>'Data Entry'!J7</f>
        <v>2</v>
      </c>
      <c r="Q8" s="107"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c r="B9" s="142" t="s">
        <v>134</v>
      </c>
      <c r="C9" s="103">
        <f>'Data Entry'!C8</f>
        <v>10</v>
      </c>
      <c r="D9" s="108">
        <f>'Data Entry'!D8</f>
        <v>1</v>
      </c>
      <c r="E9" s="109" t="str">
        <f>'Black or African-American'!$G8</f>
        <v>**</v>
      </c>
      <c r="F9" s="110">
        <f>'Data Entry'!E8</f>
        <v>0</v>
      </c>
      <c r="G9" s="109" t="str">
        <f>Hispanic!G8</f>
        <v>**</v>
      </c>
      <c r="H9" s="110">
        <f>'Data Entry'!F8</f>
        <v>0</v>
      </c>
      <c r="I9" s="109" t="str">
        <f>Asian!G8</f>
        <v>**</v>
      </c>
      <c r="J9" s="110">
        <f>'Data Entry'!G8</f>
        <v>0</v>
      </c>
      <c r="K9" s="109" t="str">
        <f>Hawaiian!G8</f>
        <v>*</v>
      </c>
      <c r="L9" s="110">
        <f>'Data Entry'!H8</f>
        <v>2</v>
      </c>
      <c r="M9" s="109" t="str">
        <f>'Am Indian'!G8</f>
        <v>**</v>
      </c>
      <c r="N9" s="110">
        <f>'Data Entry'!I8</f>
        <v>0</v>
      </c>
      <c r="O9" s="109" t="str">
        <f>'Other - Mixed'!G8</f>
        <v>*</v>
      </c>
      <c r="P9" s="110">
        <f>'Data Entry'!J8</f>
        <v>3</v>
      </c>
      <c r="Q9" s="111"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1</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f>'Black or African-American'!L12</f>
        <v>40</v>
      </c>
      <c r="U13" s="1" t="e">
        <f>Hispanic!L12</f>
        <v>#VALUE!</v>
      </c>
      <c r="V13" s="1" t="e">
        <f>Asian!L12</f>
        <v>#VALUE!</v>
      </c>
      <c r="W13" s="1" t="e">
        <f>Hawaiian!L12</f>
        <v>#VALUE!</v>
      </c>
      <c r="X13" s="1">
        <f>'Am Indian'!L12</f>
        <v>40</v>
      </c>
      <c r="Y13" s="1" t="e">
        <f>'Other - Mixed'!L12</f>
        <v>#VALUE!</v>
      </c>
      <c r="Z13" s="1">
        <f>'All Minorities'!L12</f>
        <v>40</v>
      </c>
    </row>
    <row r="14" spans="2:26" s="1" customFormat="1" ht="15" customHeight="1">
      <c r="B14" s="142" t="s">
        <v>133</v>
      </c>
      <c r="C14" s="103">
        <f>'Data Entry'!C13</f>
        <v>3</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2</v>
      </c>
      <c r="O14" s="113" t="str">
        <f>'Other - Mixed'!G13</f>
        <v>*</v>
      </c>
      <c r="P14" s="114">
        <f>'Data Entry'!J13</f>
        <v>2</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#DIV/0!</v>
      </c>
      <c r="Z14" s="1" t="e">
        <f>'All Minorities'!L13</f>
        <v>#DIV/0!</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1</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f>'Black or African-American'!L15</f>
        <v>40</v>
      </c>
      <c r="U16" s="1" t="e">
        <f>Hispanic!L15</f>
        <v>#VALUE!</v>
      </c>
      <c r="V16" s="1" t="e">
        <f>Asian!L15</f>
        <v>#VALUE!</v>
      </c>
      <c r="W16" s="1" t="e">
        <f>Hawaiian!L15</f>
        <v>#VALUE!</v>
      </c>
      <c r="X16" s="1">
        <f>'Am Indian'!L15</f>
        <v>40</v>
      </c>
      <c r="Y16" s="1" t="e">
        <f>'Other - Mixed'!L15</f>
        <v>#VALUE!</v>
      </c>
      <c r="Z16" s="1">
        <f>'All Minorities'!L15</f>
        <v>40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Leelanau</v>
      </c>
    </row>
    <row r="6" spans="1:12">
      <c r="A6" s="135" t="str">
        <f>CONCATENATE("Percentage of Minorities at Stages of the Juvenile Justice System, ", A5, " 2022")</f>
        <v>Percentage of Minorities at Stages of the Juvenile Justice System, County: Leelanau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N=1</v>
      </c>
      <c r="B7" s="150">
        <f>'Data Entry'!D15/'Data Entry'!B15</f>
        <v>0</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1</v>
      </c>
      <c r="K7" s="96" t="str">
        <f t="shared" ref="K7:K14" si="0">A7</f>
        <v>Waivers, total N=1</v>
      </c>
      <c r="L7">
        <f>I14/(SUM(B14:G14))</f>
        <v>4.4328859060402683</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4.4328859060402683</v>
      </c>
    </row>
    <row r="9" spans="1:12">
      <c r="A9" s="128" t="str">
        <f>CONCATENATE("Delinquent Findings, total N=", 'Data Entry'!B12)</f>
        <v>Delinquent Findings, total N=1</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N=1</v>
      </c>
      <c r="L9">
        <f>I14/(SUM(B14:G14))</f>
        <v>4.4328859060402683</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4.4328859060402683</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4.4328859060402683</v>
      </c>
    </row>
    <row r="12" spans="1:12">
      <c r="A12" s="128" t="str">
        <f>CONCATENATE("Referrals, total N=", 'Data Entry'!B8)</f>
        <v>Referrals, total N=14</v>
      </c>
      <c r="B12" s="150">
        <f>'Data Entry'!D8/'Data Entry'!B8</f>
        <v>7.1428571428571425E-2</v>
      </c>
      <c r="C12" s="150">
        <f>'Data Entry'!E8/'Data Entry'!B8</f>
        <v>0</v>
      </c>
      <c r="D12" s="150">
        <f>'Data Entry'!F8/'Data Entry'!B8</f>
        <v>0</v>
      </c>
      <c r="E12" s="150">
        <f>'Data Entry'!G8/'Data Entry'!B8</f>
        <v>0</v>
      </c>
      <c r="F12" s="150">
        <f>'Data Entry'!H8/'Data Entry'!B8</f>
        <v>0.14285714285714285</v>
      </c>
      <c r="G12" s="150">
        <f>'Data Entry'!I8/'Data Entry'!B8</f>
        <v>0</v>
      </c>
      <c r="H12" s="150">
        <f>SUM(D12:G12)/'Data Entry'!B8</f>
        <v>1.020408163265306E-2</v>
      </c>
      <c r="I12" s="150">
        <f>'Data Entry'!C8/'Data Entry'!B8</f>
        <v>0.7142857142857143</v>
      </c>
      <c r="K12" s="96" t="str">
        <f t="shared" si="0"/>
        <v>Referrals, total N=14</v>
      </c>
      <c r="L12">
        <f>I14/(SUM(B14:G14))</f>
        <v>4.4328859060402683</v>
      </c>
    </row>
    <row r="13" spans="1:12">
      <c r="A13" s="128" t="str">
        <f>CONCATENATE("Arrests, total N=", 'Data Entry'!B7)</f>
        <v>Arrests, total N=5</v>
      </c>
      <c r="B13" s="150">
        <f>'Data Entry'!D7/'Data Entry'!B7</f>
        <v>0</v>
      </c>
      <c r="C13" s="150">
        <f>'Data Entry'!E7/'Data Entry'!B7</f>
        <v>0.2</v>
      </c>
      <c r="D13" s="150">
        <f>'Data Entry'!F7/'Data Entry'!B7</f>
        <v>0</v>
      </c>
      <c r="E13" s="150">
        <f>'Data Entry'!G7/'Data Entry'!B7</f>
        <v>0</v>
      </c>
      <c r="F13" s="150">
        <f>'Data Entry'!H7/'Data Entry'!B7</f>
        <v>0.2</v>
      </c>
      <c r="G13" s="150">
        <f>'Data Entry'!I7/'Data Entry'!B7</f>
        <v>0</v>
      </c>
      <c r="H13" s="150">
        <f>SUM(D13:G13)/'Data Entry'!B7</f>
        <v>0.04</v>
      </c>
      <c r="I13" s="150">
        <f>'Data Entry'!C7/'Data Entry'!B7</f>
        <v>0.4</v>
      </c>
      <c r="K13" s="96" t="str">
        <f t="shared" si="0"/>
        <v>Arrests, total N=5</v>
      </c>
      <c r="L13">
        <f>I14/(SUM(B14:G14))</f>
        <v>4.4328859060402683</v>
      </c>
    </row>
    <row r="14" spans="1:12">
      <c r="A14" s="128" t="str">
        <f>CONCATENATE("Population, total N=", 'Data Entry'!B6)</f>
        <v>Population, total N=1619</v>
      </c>
      <c r="B14" s="150">
        <f>'Data Entry'!D6/'Data Entry'!B6</f>
        <v>1.7294626312538603E-2</v>
      </c>
      <c r="C14" s="150">
        <f>'Data Entry'!E6/'Data Entry'!B6</f>
        <v>9.2032118591723291E-2</v>
      </c>
      <c r="D14" s="150">
        <f>'Data Entry'!F6/'Data Entry'!B6</f>
        <v>1.7294626312538603E-2</v>
      </c>
      <c r="E14" s="150">
        <f>'Data Entry'!G6/'Data Entry'!B6</f>
        <v>0</v>
      </c>
      <c r="F14" s="150">
        <f>'Data Entry'!H6/'Data Entry'!B6</f>
        <v>5.7442865966646078E-2</v>
      </c>
      <c r="G14" s="150">
        <f>'Data Entry'!I6/'Data Entry'!B6</f>
        <v>0</v>
      </c>
      <c r="H14" s="150">
        <f>SUM(D14:G14)/'Data Entry'!B6</f>
        <v>4.616275001802636E-5</v>
      </c>
      <c r="I14" s="150">
        <f>'Data Entry'!C6/'Data Entry'!B6</f>
        <v>0.81593576281655344</v>
      </c>
      <c r="K14" s="96" t="str">
        <f t="shared" si="0"/>
        <v>Population, total N=1619</v>
      </c>
      <c r="L14">
        <f>I14/(SUM(B14:G14))</f>
        <v>4.4328859060402683</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Leelanau</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1321</v>
      </c>
      <c r="D7" s="104">
        <f>'Data Entry'!D6</f>
        <v>28</v>
      </c>
      <c r="E7" s="105"/>
      <c r="F7" s="106">
        <f>'Data Entry'!E6</f>
        <v>149</v>
      </c>
      <c r="G7" s="105"/>
      <c r="H7" s="106">
        <f>'Data Entry'!F6</f>
        <v>28</v>
      </c>
      <c r="I7" s="105"/>
      <c r="J7" s="106">
        <f>'Data Entry'!J6</f>
        <v>298</v>
      </c>
      <c r="K7" s="107"/>
    </row>
    <row r="8" spans="2:30" s="1" customFormat="1" ht="15" customHeight="1">
      <c r="B8" s="121" t="s">
        <v>8</v>
      </c>
      <c r="C8" s="103">
        <f>'Data Entry'!C7</f>
        <v>2</v>
      </c>
      <c r="D8" s="104">
        <f>'Data Entry'!D7</f>
        <v>0</v>
      </c>
      <c r="E8" s="105" t="str">
        <f>'Black or African-American'!$G7</f>
        <v>**</v>
      </c>
      <c r="F8" s="106">
        <f>'Data Entry'!E7</f>
        <v>1</v>
      </c>
      <c r="G8" s="105" t="str">
        <f>Hispanic!G7</f>
        <v>**</v>
      </c>
      <c r="H8" s="106">
        <f>'Data Entry'!F7</f>
        <v>0</v>
      </c>
      <c r="I8" s="105" t="str">
        <f>Asian!G7</f>
        <v>**</v>
      </c>
      <c r="J8" s="106">
        <f>'Data Entry'!J7</f>
        <v>2</v>
      </c>
      <c r="K8" s="107"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c r="B9" s="121" t="s">
        <v>134</v>
      </c>
      <c r="C9" s="103">
        <f>'Data Entry'!C8</f>
        <v>10</v>
      </c>
      <c r="D9" s="108">
        <f>'Data Entry'!D8</f>
        <v>1</v>
      </c>
      <c r="E9" s="109" t="str">
        <f>'Black or African-American'!$G8</f>
        <v>**</v>
      </c>
      <c r="F9" s="110">
        <f>'Data Entry'!E8</f>
        <v>0</v>
      </c>
      <c r="G9" s="109" t="str">
        <f>Hispanic!G8</f>
        <v>**</v>
      </c>
      <c r="H9" s="110">
        <f>'Data Entry'!F8</f>
        <v>0</v>
      </c>
      <c r="I9" s="109" t="str">
        <f>Asian!G8</f>
        <v>**</v>
      </c>
      <c r="J9" s="110">
        <f>'Data Entry'!J8</f>
        <v>3</v>
      </c>
      <c r="K9" s="111"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1</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f>'Black or African-American'!L12</f>
        <v>40</v>
      </c>
      <c r="O13" s="1" t="e">
        <f>Hispanic!L12</f>
        <v>#VALUE!</v>
      </c>
      <c r="P13" s="1" t="e">
        <f>Asian!L12</f>
        <v>#VALUE!</v>
      </c>
      <c r="Q13" s="1" t="e">
        <f>Hawaiian!L12</f>
        <v>#VALUE!</v>
      </c>
      <c r="R13" s="1">
        <f>'Am Indian'!L12</f>
        <v>40</v>
      </c>
      <c r="S13" s="1" t="e">
        <f>'Other - Mixed'!L12</f>
        <v>#VALUE!</v>
      </c>
      <c r="T13" s="1">
        <f>'All Minorities'!L12</f>
        <v>40</v>
      </c>
      <c r="W13" s="8"/>
      <c r="X13" s="8"/>
      <c r="Y13" s="8"/>
      <c r="Z13" s="8"/>
      <c r="AA13" s="8"/>
      <c r="AB13" s="8"/>
      <c r="AC13" s="8"/>
      <c r="AD13" s="8"/>
    </row>
    <row r="14" spans="2:30" s="1" customFormat="1" ht="15" customHeight="1">
      <c r="B14" s="121" t="s">
        <v>14</v>
      </c>
      <c r="C14" s="103">
        <f>'Data Entry'!C13</f>
        <v>3</v>
      </c>
      <c r="D14" s="112">
        <f>'Data Entry'!D13</f>
        <v>0</v>
      </c>
      <c r="E14" s="113" t="str">
        <f>'Black or African-American'!$G13</f>
        <v>--</v>
      </c>
      <c r="F14" s="114">
        <f>'Data Entry'!E13</f>
        <v>0</v>
      </c>
      <c r="G14" s="113" t="str">
        <f>Hispanic!G13</f>
        <v>--</v>
      </c>
      <c r="H14" s="114">
        <f>'Data Entry'!F13</f>
        <v>0</v>
      </c>
      <c r="I14" s="113" t="str">
        <f>Asian!G13</f>
        <v>--</v>
      </c>
      <c r="J14" s="114">
        <f>'Data Entry'!J13</f>
        <v>2</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#DIV/0!</v>
      </c>
      <c r="T14" s="1" t="e">
        <f>'All Minorities'!L13</f>
        <v>#DIV/0!</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1</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f>'Black or African-American'!L15</f>
        <v>40</v>
      </c>
      <c r="O16" s="1" t="e">
        <f>Hispanic!L15</f>
        <v>#VALUE!</v>
      </c>
      <c r="P16" s="1" t="e">
        <f>Asian!L15</f>
        <v>#VALUE!</v>
      </c>
      <c r="Q16" s="1" t="e">
        <f>Hawaiian!L15</f>
        <v>#VALUE!</v>
      </c>
      <c r="R16" s="1">
        <f>'Am Indian'!L15</f>
        <v>40</v>
      </c>
      <c r="S16" s="1" t="e">
        <f>'Other - Mixed'!L15</f>
        <v>#VALUE!</v>
      </c>
      <c r="T16" s="1">
        <f>'All Minorities'!L15</f>
        <v>40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Leelanau</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1321</v>
      </c>
      <c r="D6" s="34"/>
      <c r="E6" s="33">
        <f>'Data Entry'!D6</f>
        <v>28</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1.5140045420136261</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28</v>
      </c>
      <c r="P7" s="42">
        <f t="shared" ref="P7:P15" si="2">C7</f>
        <v>2</v>
      </c>
      <c r="Q7" s="42">
        <f>C6-C7</f>
        <v>1319</v>
      </c>
      <c r="R7" s="42">
        <f t="shared" ref="R7:R15" si="3">SUM(N7:Q7)</f>
        <v>1349</v>
      </c>
      <c r="S7" s="30">
        <f t="shared" ref="S7:S15" si="4">R7*((((N7*Q7)-(O7*P7))^2))</f>
        <v>4230464</v>
      </c>
      <c r="T7" s="30">
        <f t="shared" ref="T7:T15" si="5">(N7+O7)*(P7+Q7)*(N7+P7)*(O7+Q7)</f>
        <v>99645672</v>
      </c>
      <c r="U7" s="31">
        <f t="shared" ref="U7:U15" si="6">IF((S7&gt;0),S7/T7,"- -")</f>
        <v>4.2455070201142302E-2</v>
      </c>
    </row>
    <row r="8" spans="2:21" ht="18" customHeight="1">
      <c r="B8" s="32" t="str">
        <f>'Data Entry'!A8</f>
        <v>3. Refer to Juvenile Court</v>
      </c>
      <c r="C8" s="33">
        <f>'Data Entry'!C8</f>
        <v>10</v>
      </c>
      <c r="D8" s="34">
        <f>IF((AND(C67&gt;0,C8&gt;0)),(C8/C67),0)</f>
        <v>500</v>
      </c>
      <c r="E8" s="33">
        <f>'Data Entry'!D8</f>
        <v>1</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v>
      </c>
      <c r="O8" s="42">
        <f>((D67*L67)-E8)+0.05</f>
        <v>-0.95</v>
      </c>
      <c r="P8" s="42">
        <f t="shared" si="2"/>
        <v>10</v>
      </c>
      <c r="Q8" s="42">
        <f>(C$67*L67)-C8</f>
        <v>-8</v>
      </c>
      <c r="R8" s="42">
        <f t="shared" si="3"/>
        <v>2.0500000000000007</v>
      </c>
      <c r="S8" s="30">
        <f t="shared" si="4"/>
        <v>4.6125000000000016</v>
      </c>
      <c r="T8" s="30">
        <f t="shared" si="5"/>
        <v>-9.8450000000000077</v>
      </c>
      <c r="U8" s="31">
        <f t="shared" si="6"/>
        <v>-0.4685119349923817</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10</v>
      </c>
      <c r="R9" s="42">
        <f t="shared" si="3"/>
        <v>11</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10</v>
      </c>
      <c r="R10" s="42">
        <f t="shared" si="3"/>
        <v>11</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v>
      </c>
      <c r="P11" s="42">
        <f t="shared" si="2"/>
        <v>0</v>
      </c>
      <c r="Q11" s="42">
        <f>(C$68*L68)-C11</f>
        <v>10</v>
      </c>
      <c r="R11" s="42">
        <f t="shared" si="3"/>
        <v>11</v>
      </c>
      <c r="S11" s="30">
        <f t="shared" si="4"/>
        <v>0</v>
      </c>
      <c r="T11" s="30">
        <f t="shared" si="5"/>
        <v>0</v>
      </c>
      <c r="U11" s="31" t="str">
        <f t="shared" si="6"/>
        <v>- -</v>
      </c>
    </row>
    <row r="12" spans="2:21" ht="18" customHeight="1">
      <c r="B12" s="32" t="str">
        <f>'Data Entry'!A12</f>
        <v>7. Cases Resulting in Delinquent Findings</v>
      </c>
      <c r="C12" s="33">
        <f>'Data Entry'!C12</f>
        <v>1</v>
      </c>
      <c r="D12" s="34">
        <f>IF(((AND(C69&gt;0,C12&gt;0))),(C12/(C69)),0)</f>
        <v>10</v>
      </c>
      <c r="E12" s="33">
        <f>'Data Entry'!D12</f>
        <v>0</v>
      </c>
      <c r="F12" s="34">
        <f>IF(((AND($D$69&gt;0,$E$12&gt;0))),(E12/(D69)),0)</f>
        <v>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0</v>
      </c>
      <c r="O12" s="42">
        <f>(D69*L69)-E12</f>
        <v>1</v>
      </c>
      <c r="P12" s="42">
        <f t="shared" si="2"/>
        <v>1</v>
      </c>
      <c r="Q12" s="42">
        <f>(C69*L69)-C12</f>
        <v>9</v>
      </c>
      <c r="R12" s="42">
        <f t="shared" si="3"/>
        <v>11</v>
      </c>
      <c r="S12" s="30">
        <f t="shared" si="4"/>
        <v>11</v>
      </c>
      <c r="T12" s="30">
        <f t="shared" si="5"/>
        <v>100</v>
      </c>
      <c r="U12" s="31">
        <f t="shared" si="6"/>
        <v>0.11</v>
      </c>
    </row>
    <row r="13" spans="2:21" ht="18" customHeight="1">
      <c r="B13" s="32" t="str">
        <f>'Data Entry'!A13</f>
        <v>8. Cases Resulting in Probation Placement</v>
      </c>
      <c r="C13" s="33">
        <f>'Data Entry'!C13</f>
        <v>3</v>
      </c>
      <c r="D13" s="34">
        <f>IF(((AND(C70&gt;0,C13&gt;0))),(C13/(C70)),0)</f>
        <v>300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3</v>
      </c>
      <c r="Q13" s="42">
        <f>(C70*L70)-C13</f>
        <v>-2</v>
      </c>
      <c r="R13" s="42">
        <f t="shared" si="3"/>
        <v>1</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v>
      </c>
      <c r="R14" s="42">
        <f t="shared" si="3"/>
        <v>1</v>
      </c>
      <c r="S14" s="30">
        <f t="shared" si="4"/>
        <v>0</v>
      </c>
      <c r="T14" s="30">
        <f t="shared" si="5"/>
        <v>0</v>
      </c>
      <c r="U14" s="31" t="str">
        <f t="shared" si="6"/>
        <v>- -</v>
      </c>
    </row>
    <row r="15" spans="2:21" ht="15.75" customHeight="1">
      <c r="B15" s="32" t="str">
        <f>'Data Entry'!A15</f>
        <v xml:space="preserve">10. Cases Transferred to Adult Court </v>
      </c>
      <c r="C15" s="33">
        <f>'Data Entry'!C15</f>
        <v>1</v>
      </c>
      <c r="D15" s="34">
        <f>IF(((AND(C69&gt;0,C15&gt;0))),((C15/(C69))),0)</f>
        <v>10</v>
      </c>
      <c r="E15" s="33">
        <f>'Data Entry'!D15</f>
        <v>0</v>
      </c>
      <c r="F15" s="34">
        <f>IF(((AND($D$69&gt;0,$E$15&gt;0))),(($E$15/($D$69))),0)</f>
        <v>0</v>
      </c>
      <c r="G15" s="39" t="str">
        <f t="shared" si="7"/>
        <v>**</v>
      </c>
      <c r="H15" s="40"/>
      <c r="I15" s="41"/>
      <c r="J15" s="40">
        <f>IF((ABS($U15)&gt;Defaults!D$7),1,2)</f>
        <v>2</v>
      </c>
      <c r="K15" s="39">
        <f>IF((AND(N15&gt;Defaults!B$12,(N15+O15)&gt;Defaults!B$13, P15 &gt; Defaults!B$12, (P15+Q15) &gt; Defaults!B$13)),1,20)</f>
        <v>20</v>
      </c>
      <c r="L15" s="1">
        <f t="shared" si="8"/>
        <v>40</v>
      </c>
      <c r="M15" s="1" t="b">
        <f t="shared" si="0"/>
        <v>1</v>
      </c>
      <c r="N15" s="42">
        <f t="shared" si="1"/>
        <v>0</v>
      </c>
      <c r="O15" s="42">
        <f>(D69*L69)-E15</f>
        <v>1</v>
      </c>
      <c r="P15" s="42">
        <f t="shared" si="2"/>
        <v>1</v>
      </c>
      <c r="Q15" s="42">
        <f>(C69*L69)-C15</f>
        <v>9</v>
      </c>
      <c r="R15" s="42">
        <f t="shared" si="3"/>
        <v>11</v>
      </c>
      <c r="S15" s="30">
        <f t="shared" si="4"/>
        <v>11</v>
      </c>
      <c r="T15" s="30">
        <f t="shared" si="5"/>
        <v>100</v>
      </c>
      <c r="U15" s="31">
        <f t="shared" si="6"/>
        <v>0.11</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1.321</v>
      </c>
      <c r="D42" s="56">
        <f>E6/1000</f>
        <v>2.8000000000000001E-2</v>
      </c>
      <c r="E42" s="56">
        <f>MAX(C42:D42)</f>
        <v>1.321</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0.1</v>
      </c>
      <c r="D44" s="56">
        <f>E8/100</f>
        <v>0.01</v>
      </c>
      <c r="E44" s="56">
        <f>MAX(C44:D44,0)</f>
        <v>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1.321</v>
      </c>
      <c r="D48" s="56">
        <f>D42</f>
        <v>2.8000000000000001E-2</v>
      </c>
      <c r="E48" s="56">
        <f>MAX(C48:D48)</f>
        <v>1.321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0.1</v>
      </c>
      <c r="D50" s="49">
        <f t="shared" si="9"/>
        <v>0.01</v>
      </c>
      <c r="E50" s="49">
        <f>MAX(C50:D50)</f>
        <v>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0.1</v>
      </c>
      <c r="D51" s="49">
        <f>IF(($E45&gt;0),D45,D44)</f>
        <v>0.01</v>
      </c>
      <c r="E51" s="49">
        <f>MAX(C51:D51)</f>
        <v>0.1</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1.321</v>
      </c>
      <c r="D54" s="56">
        <f>D48</f>
        <v>2.8000000000000001E-2</v>
      </c>
      <c r="E54" s="56">
        <f>MAX(C54:D54)</f>
        <v>1.321</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0.1</v>
      </c>
      <c r="D56" s="49">
        <f t="shared" si="10"/>
        <v>0.01</v>
      </c>
      <c r="E56" s="49">
        <f>MAX(C56:D56)</f>
        <v>0.1</v>
      </c>
      <c r="G56" s="1" t="str">
        <f>G50</f>
        <v>per 100 referrals</v>
      </c>
      <c r="L56" s="58">
        <f>IF(($E50&gt;0),L50,L49)</f>
        <v>100</v>
      </c>
      <c r="M56" s="58"/>
    </row>
    <row r="57" spans="2:18" ht="15" hidden="1" customHeight="1">
      <c r="B57" s="49" t="str">
        <f>IF(($E51&gt;0),B51,B49)</f>
        <v>per 100 arrests</v>
      </c>
      <c r="C57" s="49">
        <f>IF(($E51&gt;0),C51,C50)</f>
        <v>0.1</v>
      </c>
      <c r="D57" s="49">
        <f>IF(($E51&gt;0),D51,D50)</f>
        <v>0.01</v>
      </c>
      <c r="E57" s="49">
        <f>MAX(C57:D57)</f>
        <v>0.1</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1.321</v>
      </c>
      <c r="D60" s="56">
        <f>D54</f>
        <v>2.8000000000000001E-2</v>
      </c>
      <c r="E60" s="56">
        <f>MAX(C60:D60)</f>
        <v>1.321</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0.1</v>
      </c>
      <c r="D62" s="49">
        <f t="shared" si="11"/>
        <v>0.01</v>
      </c>
      <c r="E62" s="49">
        <f>MAX(C62:D62)</f>
        <v>0.1</v>
      </c>
      <c r="G62" s="1" t="str">
        <f>G56</f>
        <v>per 100 referrals</v>
      </c>
      <c r="L62" s="58">
        <f>IF(($E56&gt;0),L56,L55)</f>
        <v>100</v>
      </c>
      <c r="M62" s="58"/>
    </row>
    <row r="63" spans="2:18" ht="15" hidden="1" customHeight="1">
      <c r="B63" s="49" t="str">
        <f>IF(($E57&gt;0),B57,B55)</f>
        <v>per 100 arrests</v>
      </c>
      <c r="C63" s="49">
        <f>IF(($E57&gt;0),C57,C56)</f>
        <v>0.1</v>
      </c>
      <c r="D63" s="49">
        <f>IF(($E57&gt;0),D57,D56)</f>
        <v>0.01</v>
      </c>
      <c r="E63" s="49">
        <f>MAX(C63:D63)</f>
        <v>0.1</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1.321</v>
      </c>
      <c r="D66" s="56">
        <f>D60</f>
        <v>2.8000000000000001E-2</v>
      </c>
      <c r="E66" s="56">
        <f>MAX(C66:D66)</f>
        <v>1.321</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0.1</v>
      </c>
      <c r="D68" s="49">
        <f t="shared" si="12"/>
        <v>0.01</v>
      </c>
      <c r="E68" s="49">
        <f>MAX(C68:D68)</f>
        <v>0.1</v>
      </c>
      <c r="G68" s="1" t="str">
        <f>G62</f>
        <v>per 100 referrals</v>
      </c>
      <c r="L68" s="58">
        <f>IF(($E62&gt;0),L62,L61)</f>
        <v>100</v>
      </c>
      <c r="M68" s="58">
        <f>IF((B68=G68),1,2)</f>
        <v>1</v>
      </c>
    </row>
    <row r="69" spans="2:13" ht="15" hidden="1" customHeight="1">
      <c r="B69" s="49" t="str">
        <f>IF(($E63&gt;0),B63,B61)</f>
        <v>per 100 arrests</v>
      </c>
      <c r="C69" s="49">
        <f>IF(($E63&gt;0),C63,C62)</f>
        <v>0.1</v>
      </c>
      <c r="D69" s="49">
        <f>IF(($E63&gt;0),D63,D62)</f>
        <v>0.01</v>
      </c>
      <c r="E69" s="49">
        <f>MAX(C69:D69)</f>
        <v>0.1</v>
      </c>
      <c r="G69" s="1" t="str">
        <f>G63</f>
        <v>per 100 youth petitioned</v>
      </c>
      <c r="L69" s="58">
        <f>IF(($E63&gt;0),L63,L62)</f>
        <v>100</v>
      </c>
      <c r="M69" s="58">
        <f>IF((B69=G69),1,2)</f>
        <v>2</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Leelanau</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1321</v>
      </c>
      <c r="D6" s="34"/>
      <c r="E6" s="33">
        <f>'Data Entry'!F6</f>
        <v>28</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1.5140045420136261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28</v>
      </c>
      <c r="P7" s="42">
        <f t="shared" ref="P7:P15" si="4">C7</f>
        <v>2</v>
      </c>
      <c r="Q7" s="42">
        <f>C6-C7</f>
        <v>1319</v>
      </c>
      <c r="R7" s="42">
        <f t="shared" ref="R7:R15" si="5">SUM(N7:Q7)</f>
        <v>1349</v>
      </c>
      <c r="S7" s="30">
        <f t="shared" ref="S7:S15" si="6">R7*((((N7*Q7)-(O7*P7))^2))</f>
        <v>4230464</v>
      </c>
      <c r="T7" s="30">
        <f t="shared" ref="T7:T15" si="7">(N7+O7)*(P7+Q7)*(N7+P7)*(O7+Q7)</f>
        <v>99645672</v>
      </c>
      <c r="U7" s="31">
        <f t="shared" ref="U7:U15" si="8">IF((S7&gt;0),S7/T7,"- -")</f>
        <v>4.2455070201142302E-2</v>
      </c>
    </row>
    <row r="8" spans="2:21" ht="18" customHeight="1">
      <c r="B8" s="32" t="str">
        <f>'Data Entry'!A8</f>
        <v>3. Refer to Juvenile Court</v>
      </c>
      <c r="C8" s="33">
        <f>'Data Entry'!C8</f>
        <v>10</v>
      </c>
      <c r="D8" s="34">
        <f>IF((AND(C67&gt;0,C8&gt;0)),(C8/C67),0)</f>
        <v>500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10</v>
      </c>
      <c r="Q8" s="42">
        <f>(C$67*L67)-C8</f>
        <v>-8</v>
      </c>
      <c r="R8" s="42">
        <f t="shared" si="5"/>
        <v>2.0500000000000007</v>
      </c>
      <c r="S8" s="30">
        <f t="shared" si="6"/>
        <v>0.51250000000000018</v>
      </c>
      <c r="T8" s="30">
        <f t="shared" si="7"/>
        <v>-7.95</v>
      </c>
      <c r="U8" s="31">
        <f t="shared" si="8"/>
        <v>-6.4465408805031474E-2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10</v>
      </c>
      <c r="R9" s="42">
        <f t="shared" si="5"/>
        <v>10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10</v>
      </c>
      <c r="R10" s="42">
        <f t="shared" si="5"/>
        <v>10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10</v>
      </c>
      <c r="R11" s="42">
        <f t="shared" si="5"/>
        <v>10</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10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9</v>
      </c>
      <c r="R12" s="42">
        <f t="shared" si="5"/>
        <v>10</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300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-2</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10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9</v>
      </c>
      <c r="R15" s="42">
        <f t="shared" si="5"/>
        <v>10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1.321</v>
      </c>
      <c r="D42" s="56">
        <f>E6/1000</f>
        <v>2.8000000000000001E-2</v>
      </c>
      <c r="E42" s="56">
        <f>MAX(C42:D42)</f>
        <v>1.321</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0.1</v>
      </c>
      <c r="D44" s="56">
        <f>E8/100</f>
        <v>0</v>
      </c>
      <c r="E44" s="56">
        <f>MAX(C44:D44,0)</f>
        <v>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1.321</v>
      </c>
      <c r="D48" s="56">
        <f>D42</f>
        <v>2.8000000000000001E-2</v>
      </c>
      <c r="E48" s="56">
        <f>MAX(C48:D48)</f>
        <v>1.321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0.1</v>
      </c>
      <c r="D50" s="49">
        <f t="shared" si="9"/>
        <v>0</v>
      </c>
      <c r="E50" s="49">
        <f>MAX(C50:D50)</f>
        <v>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0.1</v>
      </c>
      <c r="D51" s="49">
        <f>IF(($E45&gt;0),D45,D44)</f>
        <v>0</v>
      </c>
      <c r="E51" s="49">
        <f>MAX(C51:D51)</f>
        <v>0.1</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1.321</v>
      </c>
      <c r="D54" s="56">
        <f>D48</f>
        <v>2.8000000000000001E-2</v>
      </c>
      <c r="E54" s="56">
        <f>MAX(C54:D54)</f>
        <v>1.321</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0.1</v>
      </c>
      <c r="D56" s="49">
        <f t="shared" si="10"/>
        <v>0</v>
      </c>
      <c r="E56" s="49">
        <f>MAX(C56:D56)</f>
        <v>0.1</v>
      </c>
      <c r="G56" s="1" t="str">
        <f>G50</f>
        <v>per 100 referrals</v>
      </c>
      <c r="L56" s="58">
        <f>IF(($E50&gt;0),L50,L49)</f>
        <v>100</v>
      </c>
      <c r="M56" s="58"/>
    </row>
    <row r="57" spans="2:18" ht="15" hidden="1" customHeight="1">
      <c r="B57" s="49" t="str">
        <f>IF(($E51&gt;0),B51,B49)</f>
        <v>per 100 arrests</v>
      </c>
      <c r="C57" s="49">
        <f>IF(($E51&gt;0),C51,C50)</f>
        <v>0.1</v>
      </c>
      <c r="D57" s="49">
        <f>IF(($E51&gt;0),D51,D50)</f>
        <v>0</v>
      </c>
      <c r="E57" s="49">
        <f>MAX(C57:D57)</f>
        <v>0.1</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1.321</v>
      </c>
      <c r="D60" s="56">
        <f>D54</f>
        <v>2.8000000000000001E-2</v>
      </c>
      <c r="E60" s="56">
        <f>MAX(C60:D60)</f>
        <v>1.321</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0.1</v>
      </c>
      <c r="D62" s="49">
        <f t="shared" si="11"/>
        <v>0</v>
      </c>
      <c r="E62" s="49">
        <f>MAX(C62:D62)</f>
        <v>0.1</v>
      </c>
      <c r="G62" s="1" t="str">
        <f>G56</f>
        <v>per 100 referrals</v>
      </c>
      <c r="L62" s="58">
        <f>IF(($E56&gt;0),L56,L55)</f>
        <v>100</v>
      </c>
      <c r="M62" s="58"/>
    </row>
    <row r="63" spans="2:18" ht="15" hidden="1" customHeight="1">
      <c r="B63" s="49" t="str">
        <f>IF(($E57&gt;0),B57,B55)</f>
        <v>per 100 arrests</v>
      </c>
      <c r="C63" s="49">
        <f>IF(($E57&gt;0),C57,C56)</f>
        <v>0.1</v>
      </c>
      <c r="D63" s="49">
        <f>IF(($E57&gt;0),D57,D56)</f>
        <v>0</v>
      </c>
      <c r="E63" s="49">
        <f>MAX(C63:D63)</f>
        <v>0.1</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1.321</v>
      </c>
      <c r="D66" s="56">
        <f>D60</f>
        <v>2.8000000000000001E-2</v>
      </c>
      <c r="E66" s="56">
        <f>MAX(C66:D66)</f>
        <v>1.321</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0.1</v>
      </c>
      <c r="D68" s="49">
        <f t="shared" si="12"/>
        <v>0</v>
      </c>
      <c r="E68" s="49">
        <f>MAX(C68:D68)</f>
        <v>0.1</v>
      </c>
      <c r="G68" s="1" t="str">
        <f>G62</f>
        <v>per 100 referrals</v>
      </c>
      <c r="L68" s="58">
        <f>IF(($E62&gt;0),L62,L61)</f>
        <v>100</v>
      </c>
      <c r="M68" s="58">
        <f>IF((B68=G68),1,2)</f>
        <v>1</v>
      </c>
    </row>
    <row r="69" spans="2:13" ht="15" hidden="1" customHeight="1">
      <c r="B69" s="49" t="str">
        <f>IF(($E63&gt;0),B63,B61)</f>
        <v>per 100 arrests</v>
      </c>
      <c r="C69" s="49">
        <f>IF(($E63&gt;0),C63,C62)</f>
        <v>0.1</v>
      </c>
      <c r="D69" s="49">
        <f>IF(($E63&gt;0),D63,D62)</f>
        <v>0</v>
      </c>
      <c r="E69" s="49">
        <f>MAX(C69:D69)</f>
        <v>0.1</v>
      </c>
      <c r="G69" s="1" t="str">
        <f>G63</f>
        <v>per 100 youth petitioned</v>
      </c>
      <c r="L69" s="58">
        <f>IF(($E63&gt;0),L63,L62)</f>
        <v>100</v>
      </c>
      <c r="M69" s="58">
        <f>IF((B69=G69),1,2)</f>
        <v>2</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Leelanau</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1321</v>
      </c>
      <c r="D6" s="34"/>
      <c r="E6" s="33">
        <f>'Data Entry'!E6</f>
        <v>149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1.5140045420136261</v>
      </c>
      <c r="E7" s="33">
        <f>'Data Entry'!E7</f>
        <v>1</v>
      </c>
      <c r="F7" s="34">
        <f>IF((AND($E$7&gt;0,$D$66&gt;0)),($E$7/$D$66),0)</f>
        <v>6.7114093959731544</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148</v>
      </c>
      <c r="P7" s="42">
        <f t="shared" ref="P7:P15" si="4">C7</f>
        <v>2</v>
      </c>
      <c r="Q7" s="42">
        <f>C6-C7</f>
        <v>1319</v>
      </c>
      <c r="R7" s="42">
        <f t="shared" ref="R7:R15" si="5">SUM(N7:Q7)</f>
        <v>1470</v>
      </c>
      <c r="S7" s="30">
        <f t="shared" ref="S7:S15" si="6">R7*((((N7*Q7)-(O7*P7))^2))</f>
        <v>1538397630</v>
      </c>
      <c r="T7" s="30">
        <f t="shared" ref="T7:T15" si="7">(N7+O7)*(P7+Q7)*(N7+P7)*(O7+Q7)</f>
        <v>866244429</v>
      </c>
      <c r="U7" s="31">
        <f t="shared" ref="U7:U15" si="8">IF((S7&gt;0),S7/T7,"- -")</f>
        <v>1.7759394213662527</v>
      </c>
    </row>
    <row r="8" spans="2:21" ht="18" customHeight="1">
      <c r="B8" s="32" t="str">
        <f>'Data Entry'!A8</f>
        <v>3. Refer to Juvenile Court</v>
      </c>
      <c r="C8" s="33">
        <f>'Data Entry'!C8</f>
        <v>10</v>
      </c>
      <c r="D8" s="34">
        <f>IF((AND(C67&gt;0,C8&gt;0)),(C8/C67),0)</f>
        <v>500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1.05</v>
      </c>
      <c r="P8" s="42">
        <f t="shared" si="4"/>
        <v>10</v>
      </c>
      <c r="Q8" s="42">
        <f>(C$67*L67)-C8</f>
        <v>-8</v>
      </c>
      <c r="R8" s="42">
        <f t="shared" si="5"/>
        <v>3.0500000000000007</v>
      </c>
      <c r="S8" s="30">
        <f t="shared" si="6"/>
        <v>336.2625000000001</v>
      </c>
      <c r="T8" s="30">
        <f t="shared" si="7"/>
        <v>-145.95000000000002</v>
      </c>
      <c r="U8" s="31">
        <f t="shared" si="8"/>
        <v>-2.3039568345323747</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10</v>
      </c>
      <c r="R9" s="42">
        <f t="shared" si="5"/>
        <v>10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10</v>
      </c>
      <c r="R10" s="42">
        <f t="shared" si="5"/>
        <v>10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10</v>
      </c>
      <c r="R11" s="42">
        <f t="shared" si="5"/>
        <v>10</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10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9</v>
      </c>
      <c r="R12" s="42">
        <f t="shared" si="5"/>
        <v>10</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300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-2</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10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9</v>
      </c>
      <c r="R15" s="42">
        <f t="shared" si="5"/>
        <v>10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1.321</v>
      </c>
      <c r="D42" s="56">
        <f>E6/1000</f>
        <v>0.14899999999999999</v>
      </c>
      <c r="E42" s="56">
        <f>MAX(C42:D42)</f>
        <v>1.321</v>
      </c>
      <c r="G42" s="1" t="str">
        <f>B42</f>
        <v>per 1000 youth</v>
      </c>
      <c r="L42" s="57">
        <v>1000</v>
      </c>
      <c r="M42" s="57"/>
      <c r="R42" s="49"/>
    </row>
    <row r="43" spans="2:18" ht="15" hidden="1" customHeight="1">
      <c r="B43" s="49" t="s">
        <v>87</v>
      </c>
      <c r="C43" s="56">
        <f>C7/100</f>
        <v>0.02</v>
      </c>
      <c r="D43" s="56">
        <f>E7/100</f>
        <v>0.01</v>
      </c>
      <c r="E43" s="56">
        <f>MAX(C43:D43,0)</f>
        <v>0.02</v>
      </c>
      <c r="G43" s="1" t="str">
        <f>B43</f>
        <v>per 100 arrests</v>
      </c>
      <c r="L43" s="57">
        <v>100</v>
      </c>
      <c r="M43" s="57"/>
      <c r="R43" s="49"/>
    </row>
    <row r="44" spans="2:18" ht="15" hidden="1" customHeight="1">
      <c r="B44" s="49" t="s">
        <v>88</v>
      </c>
      <c r="C44" s="56">
        <f>C8/100</f>
        <v>0.1</v>
      </c>
      <c r="D44" s="56">
        <f>E8/100</f>
        <v>0</v>
      </c>
      <c r="E44" s="56">
        <f>MAX(C44:D44,0)</f>
        <v>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1.321</v>
      </c>
      <c r="D48" s="56">
        <f>D42</f>
        <v>0.14899999999999999</v>
      </c>
      <c r="E48" s="56">
        <f>MAX(C48:D48)</f>
        <v>1.321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0.01</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0.1</v>
      </c>
      <c r="D50" s="49">
        <f t="shared" si="9"/>
        <v>0</v>
      </c>
      <c r="E50" s="49">
        <f>MAX(C50:D50)</f>
        <v>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0.1</v>
      </c>
      <c r="D51" s="49">
        <f>IF(($E45&gt;0),D45,D44)</f>
        <v>0</v>
      </c>
      <c r="E51" s="49">
        <f>MAX(C51:D51)</f>
        <v>0.1</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1.321</v>
      </c>
      <c r="D54" s="56">
        <f>D48</f>
        <v>0.14899999999999999</v>
      </c>
      <c r="E54" s="56">
        <f>MAX(C54:D54)</f>
        <v>1.321</v>
      </c>
      <c r="G54" s="1" t="str">
        <f>G48</f>
        <v>per 1000 youth</v>
      </c>
      <c r="L54" s="58">
        <f>L48</f>
        <v>1000</v>
      </c>
      <c r="M54" s="58"/>
    </row>
    <row r="55" spans="2:18" ht="15" hidden="1" customHeight="1">
      <c r="B55" s="49" t="str">
        <f t="shared" ref="B55:D56" si="10">IF(($E49&gt;0),B49,B48)</f>
        <v>per 100 arrests</v>
      </c>
      <c r="C55" s="49">
        <f t="shared" si="10"/>
        <v>0.02</v>
      </c>
      <c r="D55" s="49">
        <f t="shared" si="10"/>
        <v>0.01</v>
      </c>
      <c r="E55" s="49">
        <f>MAX(C55:D55)</f>
        <v>0.02</v>
      </c>
      <c r="G55" s="1" t="str">
        <f>G49</f>
        <v>per 100 arrests</v>
      </c>
      <c r="L55" s="58">
        <f>IF(($E49&gt;0),L49,L48)</f>
        <v>100</v>
      </c>
      <c r="M55" s="58"/>
    </row>
    <row r="56" spans="2:18" ht="15" hidden="1" customHeight="1">
      <c r="B56" s="49" t="str">
        <f t="shared" si="10"/>
        <v>per 100 referrals</v>
      </c>
      <c r="C56" s="49">
        <f t="shared" si="10"/>
        <v>0.1</v>
      </c>
      <c r="D56" s="49">
        <f t="shared" si="10"/>
        <v>0</v>
      </c>
      <c r="E56" s="49">
        <f>MAX(C56:D56)</f>
        <v>0.1</v>
      </c>
      <c r="G56" s="1" t="str">
        <f>G50</f>
        <v>per 100 referrals</v>
      </c>
      <c r="L56" s="58">
        <f>IF(($E50&gt;0),L50,L49)</f>
        <v>100</v>
      </c>
      <c r="M56" s="58"/>
    </row>
    <row r="57" spans="2:18" ht="15" hidden="1" customHeight="1">
      <c r="B57" s="49" t="str">
        <f>IF(($E51&gt;0),B51,B49)</f>
        <v>per 100 arrests</v>
      </c>
      <c r="C57" s="49">
        <f>IF(($E51&gt;0),C51,C50)</f>
        <v>0.1</v>
      </c>
      <c r="D57" s="49">
        <f>IF(($E51&gt;0),D51,D50)</f>
        <v>0</v>
      </c>
      <c r="E57" s="49">
        <f>MAX(C57:D57)</f>
        <v>0.1</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1.321</v>
      </c>
      <c r="D60" s="56">
        <f>D54</f>
        <v>0.14899999999999999</v>
      </c>
      <c r="E60" s="56">
        <f>MAX(C60:D60)</f>
        <v>1.321</v>
      </c>
      <c r="G60" s="1" t="str">
        <f>G54</f>
        <v>per 1000 youth</v>
      </c>
      <c r="L60" s="58">
        <f>L54</f>
        <v>1000</v>
      </c>
      <c r="M60" s="58"/>
    </row>
    <row r="61" spans="2:18" ht="15" hidden="1" customHeight="1">
      <c r="B61" s="49" t="str">
        <f t="shared" ref="B61:D62" si="11">IF(($E55&gt;0),B55,B54)</f>
        <v>per 100 arrests</v>
      </c>
      <c r="C61" s="49">
        <f t="shared" si="11"/>
        <v>0.02</v>
      </c>
      <c r="D61" s="49">
        <f t="shared" si="11"/>
        <v>0.01</v>
      </c>
      <c r="E61" s="49">
        <f>MAX(C61:D61)</f>
        <v>0.02</v>
      </c>
      <c r="G61" s="1" t="str">
        <f>G55</f>
        <v>per 100 arrests</v>
      </c>
      <c r="L61" s="58">
        <f>IF(($E55&gt;0),L55,L54)</f>
        <v>100</v>
      </c>
      <c r="M61" s="58"/>
    </row>
    <row r="62" spans="2:18" ht="15" hidden="1" customHeight="1">
      <c r="B62" s="49" t="str">
        <f t="shared" si="11"/>
        <v>per 100 referrals</v>
      </c>
      <c r="C62" s="49">
        <f t="shared" si="11"/>
        <v>0.1</v>
      </c>
      <c r="D62" s="49">
        <f t="shared" si="11"/>
        <v>0</v>
      </c>
      <c r="E62" s="49">
        <f>MAX(C62:D62)</f>
        <v>0.1</v>
      </c>
      <c r="G62" s="1" t="str">
        <f>G56</f>
        <v>per 100 referrals</v>
      </c>
      <c r="L62" s="58">
        <f>IF(($E56&gt;0),L56,L55)</f>
        <v>100</v>
      </c>
      <c r="M62" s="58"/>
    </row>
    <row r="63" spans="2:18" ht="15" hidden="1" customHeight="1">
      <c r="B63" s="49" t="str">
        <f>IF(($E57&gt;0),B57,B55)</f>
        <v>per 100 arrests</v>
      </c>
      <c r="C63" s="49">
        <f>IF(($E57&gt;0),C57,C56)</f>
        <v>0.1</v>
      </c>
      <c r="D63" s="49">
        <f>IF(($E57&gt;0),D57,D56)</f>
        <v>0</v>
      </c>
      <c r="E63" s="49">
        <f>MAX(C63:D63)</f>
        <v>0.1</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1.321</v>
      </c>
      <c r="D66" s="56">
        <f>D60</f>
        <v>0.14899999999999999</v>
      </c>
      <c r="E66" s="56">
        <f>MAX(C66:D66)</f>
        <v>1.321</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0.01</v>
      </c>
      <c r="E67" s="49">
        <f>MAX(C67:D67)</f>
        <v>0.02</v>
      </c>
      <c r="G67" s="1" t="str">
        <f>G61</f>
        <v>per 100 arrests</v>
      </c>
      <c r="L67" s="58">
        <f>IF(($E61&gt;0),L61,L60)</f>
        <v>100</v>
      </c>
      <c r="M67" s="58">
        <f>IF((B67=G67),1,2)</f>
        <v>1</v>
      </c>
    </row>
    <row r="68" spans="2:13" ht="15" hidden="1" customHeight="1">
      <c r="B68" s="49" t="str">
        <f t="shared" si="12"/>
        <v>per 100 referrals</v>
      </c>
      <c r="C68" s="49">
        <f t="shared" si="12"/>
        <v>0.1</v>
      </c>
      <c r="D68" s="49">
        <f t="shared" si="12"/>
        <v>0</v>
      </c>
      <c r="E68" s="49">
        <f>MAX(C68:D68)</f>
        <v>0.1</v>
      </c>
      <c r="G68" s="1" t="str">
        <f>G62</f>
        <v>per 100 referrals</v>
      </c>
      <c r="L68" s="58">
        <f>IF(($E62&gt;0),L62,L61)</f>
        <v>100</v>
      </c>
      <c r="M68" s="58">
        <f>IF((B68=G68),1,2)</f>
        <v>1</v>
      </c>
    </row>
    <row r="69" spans="2:13" ht="15" hidden="1" customHeight="1">
      <c r="B69" s="49" t="str">
        <f>IF(($E63&gt;0),B63,B61)</f>
        <v>per 100 arrests</v>
      </c>
      <c r="C69" s="49">
        <f>IF(($E63&gt;0),C63,C62)</f>
        <v>0.1</v>
      </c>
      <c r="D69" s="49">
        <f>IF(($E63&gt;0),D63,D62)</f>
        <v>0</v>
      </c>
      <c r="E69" s="49">
        <f>MAX(C69:D69)</f>
        <v>0.1</v>
      </c>
      <c r="G69" s="1" t="str">
        <f>G63</f>
        <v>per 100 youth petitioned</v>
      </c>
      <c r="L69" s="58">
        <f>IF(($E63&gt;0),L63,L62)</f>
        <v>100</v>
      </c>
      <c r="M69" s="58">
        <f>IF((B69=G69),1,2)</f>
        <v>2</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Leelanau</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1321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1.5140045420136261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1319</v>
      </c>
      <c r="R7" s="42">
        <f t="shared" ref="R7:R15" si="5">SUM(N7:Q7)</f>
        <v>1321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v>
      </c>
      <c r="D8" s="34">
        <f>IF((AND(C67&gt;0,C8&gt;0)),(C8/C67),0)</f>
        <v>500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v>
      </c>
      <c r="Q8" s="42">
        <f>(C$67*L67)-C8</f>
        <v>-8</v>
      </c>
      <c r="R8" s="42">
        <f t="shared" si="5"/>
        <v>2.0500000000000007</v>
      </c>
      <c r="S8" s="30">
        <f t="shared" si="6"/>
        <v>0.51250000000000018</v>
      </c>
      <c r="T8" s="30">
        <f t="shared" si="7"/>
        <v>-7.95</v>
      </c>
      <c r="U8" s="31">
        <f t="shared" si="8"/>
        <v>-6.4465408805031474E-2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10</v>
      </c>
      <c r="R9" s="42">
        <f t="shared" si="5"/>
        <v>10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10</v>
      </c>
      <c r="R10" s="42">
        <f t="shared" si="5"/>
        <v>10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10</v>
      </c>
      <c r="R11" s="42">
        <f t="shared" si="5"/>
        <v>10</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10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9</v>
      </c>
      <c r="R12" s="42">
        <f t="shared" si="5"/>
        <v>10</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300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-2</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10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9</v>
      </c>
      <c r="R15" s="42">
        <f t="shared" si="5"/>
        <v>10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1.321</v>
      </c>
      <c r="D42" s="56">
        <f>E6/1000</f>
        <v>0</v>
      </c>
      <c r="E42" s="56">
        <f>MAX(C42:D42)</f>
        <v>1.321</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0.1</v>
      </c>
      <c r="D44" s="56">
        <f>E8/100</f>
        <v>0</v>
      </c>
      <c r="E44" s="56">
        <f>MAX(C44:D44,0)</f>
        <v>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1.321</v>
      </c>
      <c r="D48" s="56">
        <f>D42</f>
        <v>0</v>
      </c>
      <c r="E48" s="56">
        <f>MAX(C48:D48)</f>
        <v>1.321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0.1</v>
      </c>
      <c r="D50" s="49">
        <f t="shared" si="9"/>
        <v>0</v>
      </c>
      <c r="E50" s="49">
        <f>MAX(C50:D50)</f>
        <v>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0.1</v>
      </c>
      <c r="D51" s="49">
        <f>IF(($E45&gt;0),D45,D44)</f>
        <v>0</v>
      </c>
      <c r="E51" s="49">
        <f>MAX(C51:D51)</f>
        <v>0.1</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1.321</v>
      </c>
      <c r="D54" s="56">
        <f>D48</f>
        <v>0</v>
      </c>
      <c r="E54" s="56">
        <f>MAX(C54:D54)</f>
        <v>1.321</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0.1</v>
      </c>
      <c r="D56" s="49">
        <f t="shared" si="10"/>
        <v>0</v>
      </c>
      <c r="E56" s="49">
        <f>MAX(C56:D56)</f>
        <v>0.1</v>
      </c>
      <c r="G56" s="1" t="str">
        <f>G50</f>
        <v>per 100 referrals</v>
      </c>
      <c r="L56" s="58">
        <f>IF(($E50&gt;0),L50,L49)</f>
        <v>100</v>
      </c>
      <c r="M56" s="58"/>
    </row>
    <row r="57" spans="2:18" ht="15" hidden="1" customHeight="1">
      <c r="B57" s="49" t="str">
        <f>IF(($E51&gt;0),B51,B49)</f>
        <v>per 100 arrests</v>
      </c>
      <c r="C57" s="49">
        <f>IF(($E51&gt;0),C51,C50)</f>
        <v>0.1</v>
      </c>
      <c r="D57" s="49">
        <f>IF(($E51&gt;0),D51,D50)</f>
        <v>0</v>
      </c>
      <c r="E57" s="49">
        <f>MAX(C57:D57)</f>
        <v>0.1</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1.321</v>
      </c>
      <c r="D60" s="56">
        <f>D54</f>
        <v>0</v>
      </c>
      <c r="E60" s="56">
        <f>MAX(C60:D60)</f>
        <v>1.321</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0.1</v>
      </c>
      <c r="D62" s="49">
        <f t="shared" si="11"/>
        <v>0</v>
      </c>
      <c r="E62" s="49">
        <f>MAX(C62:D62)</f>
        <v>0.1</v>
      </c>
      <c r="G62" s="1" t="str">
        <f>G56</f>
        <v>per 100 referrals</v>
      </c>
      <c r="L62" s="58">
        <f>IF(($E56&gt;0),L56,L55)</f>
        <v>100</v>
      </c>
      <c r="M62" s="58"/>
    </row>
    <row r="63" spans="2:18" ht="15" hidden="1" customHeight="1">
      <c r="B63" s="49" t="str">
        <f>IF(($E57&gt;0),B57,B55)</f>
        <v>per 100 arrests</v>
      </c>
      <c r="C63" s="49">
        <f>IF(($E57&gt;0),C57,C56)</f>
        <v>0.1</v>
      </c>
      <c r="D63" s="49">
        <f>IF(($E57&gt;0),D57,D56)</f>
        <v>0</v>
      </c>
      <c r="E63" s="49">
        <f>MAX(C63:D63)</f>
        <v>0.1</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1.321</v>
      </c>
      <c r="D66" s="56">
        <f>D60</f>
        <v>0</v>
      </c>
      <c r="E66" s="56">
        <f>MAX(C66:D66)</f>
        <v>1.321</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0.1</v>
      </c>
      <c r="D68" s="49">
        <f t="shared" si="12"/>
        <v>0</v>
      </c>
      <c r="E68" s="49">
        <f>MAX(C68:D68)</f>
        <v>0.1</v>
      </c>
      <c r="G68" s="1" t="str">
        <f>G62</f>
        <v>per 100 referrals</v>
      </c>
      <c r="L68" s="58">
        <f>IF(($E62&gt;0),L62,L61)</f>
        <v>100</v>
      </c>
      <c r="M68" s="58">
        <f>IF((B68=G68),1,2)</f>
        <v>1</v>
      </c>
    </row>
    <row r="69" spans="2:13" ht="15" hidden="1" customHeight="1">
      <c r="B69" s="49" t="str">
        <f>IF(($E63&gt;0),B63,B61)</f>
        <v>per 100 arrests</v>
      </c>
      <c r="C69" s="49">
        <f>IF(($E63&gt;0),C63,C62)</f>
        <v>0.1</v>
      </c>
      <c r="D69" s="49">
        <f>IF(($E63&gt;0),D63,D62)</f>
        <v>0</v>
      </c>
      <c r="E69" s="49">
        <f>MAX(C69:D69)</f>
        <v>0.1</v>
      </c>
      <c r="G69" s="1" t="str">
        <f>G63</f>
        <v>per 100 youth petitioned</v>
      </c>
      <c r="L69" s="58">
        <f>IF(($E63&gt;0),L63,L62)</f>
        <v>100</v>
      </c>
      <c r="M69" s="58">
        <f>IF((B69=G69),1,2)</f>
        <v>2</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Leelanau</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1321</v>
      </c>
      <c r="D6" s="34"/>
      <c r="E6" s="33">
        <f>'Data Entry'!H6</f>
        <v>93</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1.5140045420136261</v>
      </c>
      <c r="E7" s="33">
        <f>'Data Entry'!H7</f>
        <v>1</v>
      </c>
      <c r="F7" s="34">
        <f>IF((AND($E$7&gt;0,$D$66&gt;0)),($E$7/$D$66),0)</f>
        <v>10.75268817204301</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92</v>
      </c>
      <c r="P7" s="42">
        <f t="shared" ref="P7:P15" si="4">C7</f>
        <v>2</v>
      </c>
      <c r="Q7" s="42">
        <f>C6-C7</f>
        <v>1319</v>
      </c>
      <c r="R7" s="42">
        <f t="shared" ref="R7:R15" si="5">SUM(N7:Q7)</f>
        <v>1414</v>
      </c>
      <c r="S7" s="30">
        <f t="shared" ref="S7:S15" si="6">R7*((((N7*Q7)-(O7*P7))^2))</f>
        <v>1821550150</v>
      </c>
      <c r="T7" s="30">
        <f t="shared" ref="T7:T15" si="7">(N7+O7)*(P7+Q7)*(N7+P7)*(O7+Q7)</f>
        <v>520036749</v>
      </c>
      <c r="U7" s="31">
        <f t="shared" ref="U7:U15" si="8">IF((S7&gt;0),S7/T7,"- -")</f>
        <v>3.5027335154731536</v>
      </c>
    </row>
    <row r="8" spans="2:21" ht="18" customHeight="1">
      <c r="B8" s="32" t="str">
        <f>'Data Entry'!A8</f>
        <v>3. Refer to Juvenile Court</v>
      </c>
      <c r="C8" s="33">
        <f>'Data Entry'!C8</f>
        <v>10</v>
      </c>
      <c r="D8" s="34">
        <f>IF((AND(C67&gt;0,C8&gt;0)),(C8/C67),0)</f>
        <v>500</v>
      </c>
      <c r="E8" s="33">
        <f>'Data Entry'!H8</f>
        <v>2</v>
      </c>
      <c r="F8" s="34">
        <f>IF((AND($E$8&gt;0,$D$67&gt;0)),($E8/$D67),0)</f>
        <v>200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-0.95</v>
      </c>
      <c r="P8" s="42">
        <f t="shared" si="4"/>
        <v>10</v>
      </c>
      <c r="Q8" s="42">
        <f>(C$67*L67)-C8</f>
        <v>-8</v>
      </c>
      <c r="R8" s="42">
        <f t="shared" si="5"/>
        <v>3.0500000000000007</v>
      </c>
      <c r="S8" s="30">
        <f t="shared" si="6"/>
        <v>128.86250000000004</v>
      </c>
      <c r="T8" s="30">
        <f t="shared" si="7"/>
        <v>-225.54000000000002</v>
      </c>
      <c r="U8" s="31">
        <f t="shared" si="8"/>
        <v>-0.57135097987053307</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10</v>
      </c>
      <c r="R9" s="42">
        <f t="shared" si="5"/>
        <v>12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10</v>
      </c>
      <c r="R10" s="42">
        <f t="shared" si="5"/>
        <v>12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v>
      </c>
      <c r="P11" s="42">
        <f t="shared" si="4"/>
        <v>0</v>
      </c>
      <c r="Q11" s="42">
        <f>(C$68*L68)-C11</f>
        <v>10</v>
      </c>
      <c r="R11" s="42">
        <f t="shared" si="5"/>
        <v>12</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10</v>
      </c>
      <c r="E12" s="33">
        <f>'Data Entry'!H12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2</v>
      </c>
      <c r="P12" s="42">
        <f t="shared" si="4"/>
        <v>1</v>
      </c>
      <c r="Q12" s="42">
        <f>(C69*L69)-C12</f>
        <v>9</v>
      </c>
      <c r="R12" s="42">
        <f t="shared" si="5"/>
        <v>12</v>
      </c>
      <c r="S12" s="30">
        <f t="shared" si="6"/>
        <v>48</v>
      </c>
      <c r="T12" s="30">
        <f t="shared" si="7"/>
        <v>220</v>
      </c>
      <c r="U12" s="31">
        <f t="shared" si="8"/>
        <v>0.21818181818181817</v>
      </c>
    </row>
    <row r="13" spans="2:21" ht="18" customHeight="1">
      <c r="B13" s="32" t="str">
        <f>'Data Entry'!A13</f>
        <v>8. Cases Resulting in Probation Placement</v>
      </c>
      <c r="C13" s="33">
        <f>'Data Entry'!C13</f>
        <v>3</v>
      </c>
      <c r="D13" s="34">
        <f>IF(((AND(C70&gt;0,C13&gt;0))),(C13/(C70)),0)</f>
        <v>300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-2</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10</v>
      </c>
      <c r="E15" s="33">
        <f>'Data Entry'!H15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2</v>
      </c>
      <c r="P15" s="42">
        <f t="shared" si="4"/>
        <v>1</v>
      </c>
      <c r="Q15" s="42">
        <f>(C69*L69)-C15</f>
        <v>9</v>
      </c>
      <c r="R15" s="42">
        <f t="shared" si="5"/>
        <v>12</v>
      </c>
      <c r="S15" s="30">
        <f t="shared" si="6"/>
        <v>48</v>
      </c>
      <c r="T15" s="30">
        <f t="shared" si="7"/>
        <v>220</v>
      </c>
      <c r="U15" s="31">
        <f t="shared" si="8"/>
        <v>0.21818181818181817</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1.321</v>
      </c>
      <c r="D42" s="56">
        <f>E6/1000</f>
        <v>9.2999999999999999E-2</v>
      </c>
      <c r="E42" s="56">
        <f>MAX(C42:D42)</f>
        <v>1.321</v>
      </c>
      <c r="G42" s="1" t="str">
        <f>B42</f>
        <v>per 1000 youth</v>
      </c>
      <c r="L42" s="57">
        <v>1000</v>
      </c>
      <c r="M42" s="57"/>
      <c r="R42" s="49"/>
    </row>
    <row r="43" spans="2:18" ht="15" hidden="1" customHeight="1">
      <c r="B43" s="49" t="s">
        <v>87</v>
      </c>
      <c r="C43" s="56">
        <f>C7/100</f>
        <v>0.02</v>
      </c>
      <c r="D43" s="56">
        <f>E7/100</f>
        <v>0.01</v>
      </c>
      <c r="E43" s="56">
        <f>MAX(C43:D43,0)</f>
        <v>0.02</v>
      </c>
      <c r="G43" s="1" t="str">
        <f>B43</f>
        <v>per 100 arrests</v>
      </c>
      <c r="L43" s="57">
        <v>100</v>
      </c>
      <c r="M43" s="57"/>
      <c r="R43" s="49"/>
    </row>
    <row r="44" spans="2:18" ht="15" hidden="1" customHeight="1">
      <c r="B44" s="49" t="s">
        <v>88</v>
      </c>
      <c r="C44" s="56">
        <f>C8/100</f>
        <v>0.1</v>
      </c>
      <c r="D44" s="56">
        <f>E8/100</f>
        <v>0.02</v>
      </c>
      <c r="E44" s="56">
        <f>MAX(C44:D44,0)</f>
        <v>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1.321</v>
      </c>
      <c r="D48" s="56">
        <f>D42</f>
        <v>9.2999999999999999E-2</v>
      </c>
      <c r="E48" s="56">
        <f>MAX(C48:D48)</f>
        <v>1.321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0.01</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0.1</v>
      </c>
      <c r="D50" s="49">
        <f t="shared" si="9"/>
        <v>0.02</v>
      </c>
      <c r="E50" s="49">
        <f>MAX(C50:D50)</f>
        <v>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0.1</v>
      </c>
      <c r="D51" s="49">
        <f>IF(($E45&gt;0),D45,D44)</f>
        <v>0.02</v>
      </c>
      <c r="E51" s="49">
        <f>MAX(C51:D51)</f>
        <v>0.1</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1.321</v>
      </c>
      <c r="D54" s="56">
        <f>D48</f>
        <v>9.2999999999999999E-2</v>
      </c>
      <c r="E54" s="56">
        <f>MAX(C54:D54)</f>
        <v>1.321</v>
      </c>
      <c r="G54" s="1" t="str">
        <f>G48</f>
        <v>per 1000 youth</v>
      </c>
      <c r="L54" s="58">
        <f>L48</f>
        <v>1000</v>
      </c>
      <c r="M54" s="58"/>
    </row>
    <row r="55" spans="2:18" ht="15" hidden="1" customHeight="1">
      <c r="B55" s="49" t="str">
        <f t="shared" ref="B55:D56" si="10">IF(($E49&gt;0),B49,B48)</f>
        <v>per 100 arrests</v>
      </c>
      <c r="C55" s="49">
        <f t="shared" si="10"/>
        <v>0.02</v>
      </c>
      <c r="D55" s="49">
        <f t="shared" si="10"/>
        <v>0.01</v>
      </c>
      <c r="E55" s="49">
        <f>MAX(C55:D55)</f>
        <v>0.02</v>
      </c>
      <c r="G55" s="1" t="str">
        <f>G49</f>
        <v>per 100 arrests</v>
      </c>
      <c r="L55" s="58">
        <f>IF(($E49&gt;0),L49,L48)</f>
        <v>100</v>
      </c>
      <c r="M55" s="58"/>
    </row>
    <row r="56" spans="2:18" ht="15" hidden="1" customHeight="1">
      <c r="B56" s="49" t="str">
        <f t="shared" si="10"/>
        <v>per 100 referrals</v>
      </c>
      <c r="C56" s="49">
        <f t="shared" si="10"/>
        <v>0.1</v>
      </c>
      <c r="D56" s="49">
        <f t="shared" si="10"/>
        <v>0.02</v>
      </c>
      <c r="E56" s="49">
        <f>MAX(C56:D56)</f>
        <v>0.1</v>
      </c>
      <c r="G56" s="1" t="str">
        <f>G50</f>
        <v>per 100 referrals</v>
      </c>
      <c r="L56" s="58">
        <f>IF(($E50&gt;0),L50,L49)</f>
        <v>100</v>
      </c>
      <c r="M56" s="58"/>
    </row>
    <row r="57" spans="2:18" ht="15" hidden="1" customHeight="1">
      <c r="B57" s="49" t="str">
        <f>IF(($E51&gt;0),B51,B49)</f>
        <v>per 100 arrests</v>
      </c>
      <c r="C57" s="49">
        <f>IF(($E51&gt;0),C51,C50)</f>
        <v>0.1</v>
      </c>
      <c r="D57" s="49">
        <f>IF(($E51&gt;0),D51,D50)</f>
        <v>0.02</v>
      </c>
      <c r="E57" s="49">
        <f>MAX(C57:D57)</f>
        <v>0.1</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1.321</v>
      </c>
      <c r="D60" s="56">
        <f>D54</f>
        <v>9.2999999999999999E-2</v>
      </c>
      <c r="E60" s="56">
        <f>MAX(C60:D60)</f>
        <v>1.321</v>
      </c>
      <c r="G60" s="1" t="str">
        <f>G54</f>
        <v>per 1000 youth</v>
      </c>
      <c r="L60" s="58">
        <f>L54</f>
        <v>1000</v>
      </c>
      <c r="M60" s="58"/>
    </row>
    <row r="61" spans="2:18" ht="15" hidden="1" customHeight="1">
      <c r="B61" s="49" t="str">
        <f t="shared" ref="B61:D62" si="11">IF(($E55&gt;0),B55,B54)</f>
        <v>per 100 arrests</v>
      </c>
      <c r="C61" s="49">
        <f t="shared" si="11"/>
        <v>0.02</v>
      </c>
      <c r="D61" s="49">
        <f t="shared" si="11"/>
        <v>0.01</v>
      </c>
      <c r="E61" s="49">
        <f>MAX(C61:D61)</f>
        <v>0.02</v>
      </c>
      <c r="G61" s="1" t="str">
        <f>G55</f>
        <v>per 100 arrests</v>
      </c>
      <c r="L61" s="58">
        <f>IF(($E55&gt;0),L55,L54)</f>
        <v>100</v>
      </c>
      <c r="M61" s="58"/>
    </row>
    <row r="62" spans="2:18" ht="15" hidden="1" customHeight="1">
      <c r="B62" s="49" t="str">
        <f t="shared" si="11"/>
        <v>per 100 referrals</v>
      </c>
      <c r="C62" s="49">
        <f t="shared" si="11"/>
        <v>0.1</v>
      </c>
      <c r="D62" s="49">
        <f t="shared" si="11"/>
        <v>0.02</v>
      </c>
      <c r="E62" s="49">
        <f>MAX(C62:D62)</f>
        <v>0.1</v>
      </c>
      <c r="G62" s="1" t="str">
        <f>G56</f>
        <v>per 100 referrals</v>
      </c>
      <c r="L62" s="58">
        <f>IF(($E56&gt;0),L56,L55)</f>
        <v>100</v>
      </c>
      <c r="M62" s="58"/>
    </row>
    <row r="63" spans="2:18" ht="15" hidden="1" customHeight="1">
      <c r="B63" s="49" t="str">
        <f>IF(($E57&gt;0),B57,B55)</f>
        <v>per 100 arrests</v>
      </c>
      <c r="C63" s="49">
        <f>IF(($E57&gt;0),C57,C56)</f>
        <v>0.1</v>
      </c>
      <c r="D63" s="49">
        <f>IF(($E57&gt;0),D57,D56)</f>
        <v>0.02</v>
      </c>
      <c r="E63" s="49">
        <f>MAX(C63:D63)</f>
        <v>0.1</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1.321</v>
      </c>
      <c r="D66" s="56">
        <f>D60</f>
        <v>9.2999999999999999E-2</v>
      </c>
      <c r="E66" s="56">
        <f>MAX(C66:D66)</f>
        <v>1.321</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0.01</v>
      </c>
      <c r="E67" s="49">
        <f>MAX(C67:D67)</f>
        <v>0.02</v>
      </c>
      <c r="G67" s="1" t="str">
        <f>G61</f>
        <v>per 100 arrests</v>
      </c>
      <c r="L67" s="58">
        <f>IF(($E61&gt;0),L61,L60)</f>
        <v>100</v>
      </c>
      <c r="M67" s="58">
        <f>IF((B67=G67),1,2)</f>
        <v>1</v>
      </c>
    </row>
    <row r="68" spans="2:13" ht="15" hidden="1" customHeight="1">
      <c r="B68" s="49" t="str">
        <f t="shared" si="12"/>
        <v>per 100 referrals</v>
      </c>
      <c r="C68" s="49">
        <f t="shared" si="12"/>
        <v>0.1</v>
      </c>
      <c r="D68" s="49">
        <f t="shared" si="12"/>
        <v>0.02</v>
      </c>
      <c r="E68" s="49">
        <f>MAX(C68:D68)</f>
        <v>0.1</v>
      </c>
      <c r="G68" s="1" t="str">
        <f>G62</f>
        <v>per 100 referrals</v>
      </c>
      <c r="L68" s="58">
        <f>IF(($E62&gt;0),L62,L61)</f>
        <v>100</v>
      </c>
      <c r="M68" s="58">
        <f>IF((B68=G68),1,2)</f>
        <v>1</v>
      </c>
    </row>
    <row r="69" spans="2:13" ht="15" hidden="1" customHeight="1">
      <c r="B69" s="49" t="str">
        <f>IF(($E63&gt;0),B63,B61)</f>
        <v>per 100 arrests</v>
      </c>
      <c r="C69" s="49">
        <f>IF(($E63&gt;0),C63,C62)</f>
        <v>0.1</v>
      </c>
      <c r="D69" s="49">
        <f>IF(($E63&gt;0),D63,D62)</f>
        <v>0.02</v>
      </c>
      <c r="E69" s="49">
        <f>MAX(C69:D69)</f>
        <v>0.1</v>
      </c>
      <c r="G69" s="1" t="str">
        <f>G63</f>
        <v>per 100 youth petitioned</v>
      </c>
      <c r="L69" s="58">
        <f>IF(($E63&gt;0),L63,L62)</f>
        <v>100</v>
      </c>
      <c r="M69" s="58">
        <f>IF((B69=G69),1,2)</f>
        <v>2</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U47JMPN4QEAR-1806752177-30473</_dlc_DocId>
    <_dlc_DocIdUrl xmlns="ac3811b5-0f3e-49e2-ba69-f2ffa0c782af">
      <Url>https://michiganphi.sharepoint.com/sites/CMDMC/_layouts/15/DocIdRedir.aspx?ID=U47JMPN4QEAR-1806752177-30473</Url>
      <Description>U47JMPN4QEAR-1806752177-30473</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015F10D-6B87-4359-9003-0DBBD70FEFC0}">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AE5FD487-C8DC-446D-A131-035F51211C5B}">
  <ds:schemaRefs>
    <ds:schemaRef ds:uri="http://schemas.microsoft.com/sharepoint/v3/contenttype/forms"/>
  </ds:schemaRefs>
</ds:datastoreItem>
</file>

<file path=customXml/itemProps3.xml><?xml version="1.0" encoding="utf-8"?>
<ds:datastoreItem xmlns:ds="http://schemas.openxmlformats.org/officeDocument/2006/customXml" ds:itemID="{AF779EE1-222F-430B-843A-D0B38AA88BD2}"/>
</file>

<file path=customXml/itemProps4.xml><?xml version="1.0" encoding="utf-8"?>
<ds:datastoreItem xmlns:ds="http://schemas.openxmlformats.org/officeDocument/2006/customXml" ds:itemID="{1C790E8F-AD93-4833-8B59-3BD41E48A0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4e766d30-0576-4c76-b46a-7c097c952634</vt:lpwstr>
  </property>
</Properties>
</file>