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95EF61B-AB86-440B-BEBC-6A3FF94329D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8"/>
  <c r="M66"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5" l="1"/>
  <c r="L64" i="3"/>
  <c r="B56" i="8"/>
  <c r="L56" i="8"/>
  <c r="E58" i="8"/>
  <c r="C64" i="8" s="1"/>
  <c r="D64" i="5"/>
  <c r="E64" i="5" s="1"/>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L64" i="8" l="1"/>
  <c r="B64" i="8"/>
  <c r="D64" i="8"/>
  <c r="E64" i="8" s="1"/>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L69" i="7"/>
  <c r="C69" i="7"/>
  <c r="D12" i="7" s="1"/>
  <c r="C63" i="8"/>
  <c r="L63" i="8"/>
  <c r="L70" i="8" s="1"/>
  <c r="E63" i="3"/>
  <c r="C69" i="3" s="1"/>
  <c r="D15"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E63" i="8"/>
  <c r="D69" i="8" s="1"/>
  <c r="F15" i="8" s="1"/>
  <c r="F33" i="3"/>
  <c r="B69" i="6"/>
  <c r="M69" i="6" s="1"/>
  <c r="C70" i="8"/>
  <c r="D14" i="8" s="1"/>
  <c r="D12" i="3"/>
  <c r="L69" i="3"/>
  <c r="Q12" i="3" s="1"/>
  <c r="D15" i="7"/>
  <c r="Q15" i="7"/>
  <c r="E70" i="6"/>
  <c r="Q12" i="7"/>
  <c r="B69" i="3"/>
  <c r="M69" i="3" s="1"/>
  <c r="F14" i="3"/>
  <c r="O13" i="3"/>
  <c r="E69" i="7"/>
  <c r="D13" i="3"/>
  <c r="O13" i="6"/>
  <c r="F14" i="6"/>
  <c r="O14" i="6"/>
  <c r="D13" i="6"/>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Q14" i="8"/>
  <c r="E70" i="8"/>
  <c r="D13" i="8"/>
  <c r="F35" i="6"/>
  <c r="B69" i="8"/>
  <c r="M69" i="8" s="1"/>
  <c r="L69" i="8"/>
  <c r="O15" i="8" s="1"/>
  <c r="O15" i="3"/>
  <c r="Q13" i="8"/>
  <c r="T13" i="8" s="1"/>
  <c r="C69" i="8"/>
  <c r="D15" i="8" s="1"/>
  <c r="Q12" i="6"/>
  <c r="F32" i="6"/>
  <c r="U13" i="4"/>
  <c r="J13" i="4" s="1"/>
  <c r="L13" i="4" s="1"/>
  <c r="O14" i="16" s="1"/>
  <c r="Q15" i="6"/>
  <c r="Q15" i="3"/>
  <c r="O12" i="3"/>
  <c r="R12" i="3" s="1"/>
  <c r="S12" i="3" s="1"/>
  <c r="U12" i="3" s="1"/>
  <c r="J12" i="3" s="1"/>
  <c r="U10" i="4"/>
  <c r="J10" i="4" s="1"/>
  <c r="M10" i="4" s="1"/>
  <c r="G10" i="4" s="1"/>
  <c r="G11" i="16" s="1"/>
  <c r="K12" i="7"/>
  <c r="T12" i="7"/>
  <c r="T13" i="6"/>
  <c r="R12" i="7"/>
  <c r="S12" i="7" s="1"/>
  <c r="U12" i="7" s="1"/>
  <c r="J12" i="7" s="1"/>
  <c r="M12" i="7" s="1"/>
  <c r="K15" i="7"/>
  <c r="R14" i="3"/>
  <c r="S14" i="3" s="1"/>
  <c r="U14" i="3" s="1"/>
  <c r="J14" i="3" s="1"/>
  <c r="M14" i="3" s="1"/>
  <c r="G14" i="3" s="1"/>
  <c r="I15" i="16" s="1"/>
  <c r="K13" i="3"/>
  <c r="F32" i="3"/>
  <c r="R15" i="7"/>
  <c r="S15" i="7" s="1"/>
  <c r="U15" i="7" s="1"/>
  <c r="J15" i="7" s="1"/>
  <c r="M15" i="7" s="1"/>
  <c r="K14" i="6"/>
  <c r="T14" i="6"/>
  <c r="R14" i="6"/>
  <c r="S14" i="6" s="1"/>
  <c r="U14" i="6" s="1"/>
  <c r="J14" i="6" s="1"/>
  <c r="M14" i="6" s="1"/>
  <c r="G14" i="6" s="1"/>
  <c r="M15" i="13" s="1"/>
  <c r="K13" i="6"/>
  <c r="R13" i="6"/>
  <c r="S13" i="6" s="1"/>
  <c r="R14" i="8"/>
  <c r="S14" i="8" s="1"/>
  <c r="O15" i="6"/>
  <c r="K15" i="6" s="1"/>
  <c r="O12" i="6"/>
  <c r="R12" i="6" s="1"/>
  <c r="S12" i="6" s="1"/>
  <c r="E69" i="6"/>
  <c r="D15" i="6"/>
  <c r="T13" i="3"/>
  <c r="K14" i="3"/>
  <c r="T14" i="3"/>
  <c r="R13" i="3"/>
  <c r="S13" i="3" s="1"/>
  <c r="U13" i="3" s="1"/>
  <c r="J13" i="3" s="1"/>
  <c r="T15" i="7"/>
  <c r="F15" i="6"/>
  <c r="L11" i="4"/>
  <c r="O12" i="16" s="1"/>
  <c r="K8" i="7"/>
  <c r="O13" i="2"/>
  <c r="T8" i="7"/>
  <c r="U8" i="7" s="1"/>
  <c r="J8" i="7" s="1"/>
  <c r="M8" i="7" s="1"/>
  <c r="T13" i="7"/>
  <c r="F32" i="8"/>
  <c r="Q10" i="7"/>
  <c r="F13" i="2"/>
  <c r="Q11" i="7"/>
  <c r="R8" i="6"/>
  <c r="S8" i="6" s="1"/>
  <c r="F14" i="2"/>
  <c r="E69" i="8"/>
  <c r="F10" i="7"/>
  <c r="L10" i="3"/>
  <c r="P11" i="16" s="1"/>
  <c r="F30" i="7"/>
  <c r="M68" i="7"/>
  <c r="F29" i="7"/>
  <c r="F15" i="5"/>
  <c r="K14" i="8"/>
  <c r="T8" i="6"/>
  <c r="K8" i="6"/>
  <c r="O12" i="5"/>
  <c r="R12" i="5" s="1"/>
  <c r="S12" i="5" s="1"/>
  <c r="U12" i="5" s="1"/>
  <c r="J12" i="5" s="1"/>
  <c r="F35" i="5"/>
  <c r="F12" i="5"/>
  <c r="M69" i="5"/>
  <c r="K8" i="2"/>
  <c r="M70" i="2"/>
  <c r="F9" i="7"/>
  <c r="O11" i="7"/>
  <c r="F34" i="2"/>
  <c r="O10" i="7"/>
  <c r="F11" i="7"/>
  <c r="O9" i="7"/>
  <c r="R9" i="7" s="1"/>
  <c r="S9" i="7" s="1"/>
  <c r="L11" i="3"/>
  <c r="P12" i="16" s="1"/>
  <c r="E69" i="5"/>
  <c r="D15" i="5"/>
  <c r="T12" i="3"/>
  <c r="D12" i="5"/>
  <c r="Q15" i="5"/>
  <c r="K15" i="5" s="1"/>
  <c r="I12" i="16"/>
  <c r="E11" i="9"/>
  <c r="I12" i="13"/>
  <c r="T14" i="8"/>
  <c r="D13" i="2"/>
  <c r="E70" i="2"/>
  <c r="Q14" i="2"/>
  <c r="K14" i="2"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3" i="8" l="1"/>
  <c r="D12" i="8"/>
  <c r="O12" i="8"/>
  <c r="R13" i="8"/>
  <c r="S13" i="8" s="1"/>
  <c r="U13" i="8" s="1"/>
  <c r="J13" i="8" s="1"/>
  <c r="M13" i="8" s="1"/>
  <c r="G13" i="8" s="1"/>
  <c r="Q15" i="8"/>
  <c r="R15" i="8" s="1"/>
  <c r="S15" i="8" s="1"/>
  <c r="M13" i="4"/>
  <c r="G13" i="4" s="1"/>
  <c r="G14" i="16" s="1"/>
  <c r="R15" i="3"/>
  <c r="S15" i="3" s="1"/>
  <c r="U15" i="3" s="1"/>
  <c r="J15" i="3" s="1"/>
  <c r="M15" i="3" s="1"/>
  <c r="G15" i="3" s="1"/>
  <c r="I16" i="16" s="1"/>
  <c r="F35" i="8"/>
  <c r="Q12" i="8"/>
  <c r="R15" i="6"/>
  <c r="S15" i="6" s="1"/>
  <c r="U15" i="6" s="1"/>
  <c r="J15" i="6" s="1"/>
  <c r="L15" i="6" s="1"/>
  <c r="R16" i="16" s="1"/>
  <c r="L12" i="7"/>
  <c r="S13" i="16" s="1"/>
  <c r="L10" i="4"/>
  <c r="O11" i="16" s="1"/>
  <c r="G11" i="13"/>
  <c r="K12" i="3"/>
  <c r="L12" i="3" s="1"/>
  <c r="P13" i="16" s="1"/>
  <c r="U13" i="6"/>
  <c r="J13" i="6" s="1"/>
  <c r="M13" i="6" s="1"/>
  <c r="G13" i="6" s="1"/>
  <c r="G13" i="9" s="1"/>
  <c r="D10" i="9"/>
  <c r="U14" i="8"/>
  <c r="J14" i="8" s="1"/>
  <c r="N30" i="8" s="1"/>
  <c r="L15" i="7"/>
  <c r="S16" i="16" s="1"/>
  <c r="U13" i="7"/>
  <c r="J13" i="7" s="1"/>
  <c r="M13" i="7" s="1"/>
  <c r="T12" i="6"/>
  <c r="U12" i="6" s="1"/>
  <c r="J12" i="6" s="1"/>
  <c r="M12" i="6" s="1"/>
  <c r="T15" i="6"/>
  <c r="L13" i="3"/>
  <c r="P14" i="16" s="1"/>
  <c r="I15" i="13"/>
  <c r="N30" i="3"/>
  <c r="E14" i="9"/>
  <c r="L14" i="3"/>
  <c r="P15" i="16" s="1"/>
  <c r="M13" i="3"/>
  <c r="G13" i="3" s="1"/>
  <c r="I14" i="16" s="1"/>
  <c r="K12" i="6"/>
  <c r="M13" i="9"/>
  <c r="U14" i="13"/>
  <c r="U12" i="13"/>
  <c r="M11" i="9"/>
  <c r="R12" i="8"/>
  <c r="S12" i="8" s="1"/>
  <c r="T13" i="2"/>
  <c r="U8" i="6"/>
  <c r="J8" i="6" s="1"/>
  <c r="M8" i="6" s="1"/>
  <c r="G8" i="6" s="1"/>
  <c r="M9" i="13" s="1"/>
  <c r="R13" i="2"/>
  <c r="S13" i="2" s="1"/>
  <c r="U13" i="2" s="1"/>
  <c r="J13" i="2" s="1"/>
  <c r="M13" i="2" s="1"/>
  <c r="G13" i="2" s="1"/>
  <c r="E14" i="16" s="1"/>
  <c r="V11" i="13"/>
  <c r="G14" i="9"/>
  <c r="T12" i="8"/>
  <c r="K12" i="8"/>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I16" i="13" l="1"/>
  <c r="G14" i="13"/>
  <c r="Y13" i="13"/>
  <c r="D13" i="9"/>
  <c r="L15" i="3"/>
  <c r="P16" i="16" s="1"/>
  <c r="K15" i="8"/>
  <c r="L15" i="8" s="1"/>
  <c r="T16" i="16" s="1"/>
  <c r="T15" i="8"/>
  <c r="E15" i="9"/>
  <c r="M15" i="6"/>
  <c r="G15" i="6" s="1"/>
  <c r="G15" i="9" s="1"/>
  <c r="Q12" i="9"/>
  <c r="U11" i="13"/>
  <c r="M10" i="9"/>
  <c r="I14" i="13"/>
  <c r="M14" i="8"/>
  <c r="G14" i="8" s="1"/>
  <c r="K15" i="16" s="1"/>
  <c r="L14" i="8"/>
  <c r="T15" i="16" s="1"/>
  <c r="Q15" i="9"/>
  <c r="Y16" i="13"/>
  <c r="N13" i="9"/>
  <c r="L13" i="6"/>
  <c r="R14" i="16" s="1"/>
  <c r="M14" i="13"/>
  <c r="V15" i="13"/>
  <c r="G12" i="6"/>
  <c r="G12" i="9" s="1"/>
  <c r="V14" i="13"/>
  <c r="L13" i="7"/>
  <c r="S14" i="16" s="1"/>
  <c r="N14" i="9"/>
  <c r="L13" i="8"/>
  <c r="U12" i="8"/>
  <c r="J12" i="8" s="1"/>
  <c r="M12" i="8" s="1"/>
  <c r="G12" i="8" s="1"/>
  <c r="K13" i="16" s="1"/>
  <c r="K14" i="16"/>
  <c r="I13" i="9"/>
  <c r="Q14" i="13"/>
  <c r="E13" i="9"/>
  <c r="L12" i="6"/>
  <c r="R13" i="16" s="1"/>
  <c r="L8" i="6"/>
  <c r="R9" i="16" s="1"/>
  <c r="L10" i="7"/>
  <c r="S11" i="16" s="1"/>
  <c r="X16" i="13"/>
  <c r="P15" i="9"/>
  <c r="L15" i="5"/>
  <c r="Q16" i="16" s="1"/>
  <c r="T9" i="13"/>
  <c r="L8" i="9"/>
  <c r="X15" i="13"/>
  <c r="P14" i="9"/>
  <c r="G8" i="9"/>
  <c r="Q14" i="9"/>
  <c r="Y15" i="13"/>
  <c r="E9" i="13"/>
  <c r="L10" i="2"/>
  <c r="N11" i="16" s="1"/>
  <c r="M10" i="7"/>
  <c r="L11" i="6"/>
  <c r="R12" i="16" s="1"/>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M16" i="13" l="1"/>
  <c r="V16" i="13"/>
  <c r="N15" i="9"/>
  <c r="Z15" i="13"/>
  <c r="R14" i="9"/>
  <c r="Q15" i="13"/>
  <c r="I14" i="9"/>
  <c r="Q13" i="9"/>
  <c r="M13" i="13"/>
  <c r="X14" i="13"/>
  <c r="P13" i="9"/>
  <c r="Y14" i="13"/>
  <c r="L12" i="8"/>
  <c r="T13" i="16" s="1"/>
  <c r="T14" i="16"/>
  <c r="Z14" i="13"/>
  <c r="R13"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<sst xmlns="http://schemas.openxmlformats.org/spreadsheetml/2006/main" count="654" uniqueCount="141">
  <si>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</si>
  <si>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</si>
  <si>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</si>
  <si>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</si>
  <si>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</si>
  <si>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</si>
  <si>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</si>
  <si>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</si>
  <si>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</si>
  <si>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</si>
  <si>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</si>
  <si>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</si>
  <si>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</si>
  <si>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</si>
  <si>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</si>
  <si>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</si>
  <si>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</si>
  <si>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</si>
  <si>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</si>
  <si>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</si>
  <si>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</si>
  <si>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</si>
  <si>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</si>
  <si>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</si>
  <si>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</si>
  <si>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</si>
  <si>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</si>
  <si>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</si>
  <si>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</si>
  <si>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</si>
  <si>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</si>
  <si>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</si>
  <si>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</si>
  <si>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</si>
  <si>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</si>
  <si>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</si>
  <si>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</si>
  <si>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</si>
  <si>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</si>
  <si>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</si>
  <si>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</si>
  <si>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</si>
  <si>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</si>
  <si>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</si>
  <si>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</si>
  <si>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</si>
  <si>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</si>
  <si>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</si>
  <si>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</si>
  <si>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</si>
  <si>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</si>
  <si>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</si>
  <si>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</si>
  <si>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</si>
  <si>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</si>
  <si>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</si>
  <si>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</si>
  <si>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</si>
  <si>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</si>
  <si>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</si>
  <si>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</si>
  <si>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</si>
  <si>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</si>
  <si>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</si>
  <si>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</si>
  <si>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</si>
  <si>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</si>
  <si>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</si>
  <si>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</si>
  <si>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</si>
  <si>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</si>
  <si>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</si>
  <si>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</si>
  <si>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</si>
  <si>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</si>
  <si>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</si>
  <si>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</si>
  <si>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</si>
  <si>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</si>
  <si>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</si>
  <si>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</si>
  <si>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</si>
  <si>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</si>
  <si>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</si>
  <si>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</si>
  <si>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</si>
  <si>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</si>
  <si>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</si>
  <si>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</si>
  <si>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</si>
  <si>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</si>
  <si>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</si>
  <si>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</si>
  <si>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</si>
  <si>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</si>
  <si>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</si>
  <si>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</si>
  <si>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</si>
  <si>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</si>
  <si>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</si>
  <si>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</si>
  <si>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</si>
  <si>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</si>
  <si>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</si>
  <si>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</si>
  <si>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</si>
  <si>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</si>
  <si>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</si>
  <si>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</si>
  <si>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</si>
  <si>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</si>
  <si>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</si>
  <si>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</si>
  <si>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</si>
  <si>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</si>
  <si>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</si>
  <si>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</si>
  <si>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</si>
  <si>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</si>
  <si>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</si>
  <si>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</si>
  <si>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</si>
  <si>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</si>
  <si>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</si>
  <si>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</si>
  <si>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</si>
  <si>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</si>
  <si>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</si>
  <si>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</si>
  <si>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</si>
  <si>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</si>
  <si>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</si>
  <si>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</si>
  <si>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</si>
  <si>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</si>
  <si>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</si>
  <si>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</si>
  <si>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Leelanau</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</si>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</sst>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Leelanau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N=0</c:v>
                </c:pt>
                <c:pt idx="5">
                  <c:v>Referrals, total N=14</c:v>
                </c:pt>
                <c:pt idx="6">
                  <c:v>Arrests, total N=1</c:v>
                </c:pt>
                <c:pt idx="7">
                  <c:v>Population, total N=1381</c:v>
                </c:pt>
              </c:strCache>
            </c:strRef>
          </c:cat>
          <c:val>
            <c:numRef>
              <c:f>'Stacked 100%'!$B$7:$B$14</c:f>
              <c:numCache>
                <c:formatCode>0%</c:formatCode>
                <c:ptCount val="8"/>
                <c:pt idx="0">
                  <c:v>0</c:v>
                </c:pt>
                <c:pt idx="1">
                  <c:v>0</c:v>
                </c:pt>
                <c:pt idx="2">
                  <c:v>0</c:v>
                </c:pt>
                <c:pt idx="3">
                  <c:v>0</c:v>
                </c:pt>
                <c:pt idx="4">
                  <c:v>0</c:v>
                </c:pt>
                <c:pt idx="5">
                  <c:v>7.1428571428571425E-2</c:v>
                </c:pt>
                <c:pt idx="6">
                  <c:v>0</c:v>
                </c:pt>
                <c:pt idx="7">
                  <c:v>1.8826937002172341E-2</c:v>
                </c:pt>
              </c:numCache>
            </c:numRef>
          </c:val>
          <c:extLst>
            <c:ext xmlns:c16="http://schemas.microsoft.com/office/drawing/2014/chart" uri="{C3380CC4-5D6E-409C-BE32-E72D297353CC}">
              <c16:uniqueId val="{00000000-AAD3-4139-88BB-A49236DE140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N=0</c:v>
                </c:pt>
                <c:pt idx="5">
                  <c:v>Referrals, total N=14</c:v>
                </c:pt>
                <c:pt idx="6">
                  <c:v>Arrests, total N=1</c:v>
                </c:pt>
                <c:pt idx="7">
                  <c:v>Population, total N=1381</c:v>
                </c:pt>
              </c:strCache>
            </c:strRef>
          </c:cat>
          <c:val>
            <c:numRef>
              <c:f>'Stacked 100%'!$C$7:$C$14</c:f>
              <c:numCache>
                <c:formatCode>0%</c:formatCode>
                <c:ptCount val="8"/>
                <c:pt idx="0">
                  <c:v>0</c:v>
                </c:pt>
                <c:pt idx="1">
                  <c:v>0</c:v>
                </c:pt>
                <c:pt idx="2">
                  <c:v>0</c:v>
                </c:pt>
                <c:pt idx="3">
                  <c:v>0</c:v>
                </c:pt>
                <c:pt idx="4">
                  <c:v>0</c:v>
                </c:pt>
                <c:pt idx="5">
                  <c:v>0.14285714285714285</c:v>
                </c:pt>
                <c:pt idx="6">
                  <c:v>0</c:v>
                </c:pt>
                <c:pt idx="7">
                  <c:v>9.6307023895727734E-2</c:v>
                </c:pt>
              </c:numCache>
            </c:numRef>
          </c:val>
          <c:extLst>
            <c:ext xmlns:c16="http://schemas.microsoft.com/office/drawing/2014/chart" uri="{C3380CC4-5D6E-409C-BE32-E72D297353CC}">
              <c16:uniqueId val="{00000001-AAD3-4139-88BB-A49236DE140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N=4</c:v>
                </c:pt>
                <c:pt idx="4">
                  <c:v>Detentions, total N=0</c:v>
                </c:pt>
                <c:pt idx="5">
                  <c:v>Referrals, total N=14</c:v>
                </c:pt>
                <c:pt idx="6">
                  <c:v>Arrests, total N=1</c:v>
                </c:pt>
                <c:pt idx="7">
                  <c:v>Population, total N=1381</c:v>
                </c:pt>
              </c:strCache>
            </c:strRef>
          </c:cat>
          <c:val>
            <c:numRef>
              <c:f>'Stacked 100%'!$H$7:$H$14</c:f>
              <c:numCache>
                <c:formatCode>0%</c:formatCode>
                <c:ptCount val="8"/>
                <c:pt idx="0">
                  <c:v>0</c:v>
                </c:pt>
                <c:pt idx="1">
                  <c:v>0</c:v>
                </c:pt>
                <c:pt idx="2">
                  <c:v>0</c:v>
                </c:pt>
                <c:pt idx="3">
                  <c:v>0</c:v>
                </c:pt>
                <c:pt idx="4">
                  <c:v>0</c:v>
                </c:pt>
                <c:pt idx="5">
                  <c:v>2.0408163265306121E-2</c:v>
                </c:pt>
                <c:pt idx="6">
                  <c:v>0</c:v>
                </c:pt>
                <c:pt idx="7">
                  <c:v>5.6104335187223318E-5</c:v>
                </c:pt>
              </c:numCache>
            </c:numRef>
          </c:val>
          <c:extLst>
            <c:ext xmlns:c16="http://schemas.microsoft.com/office/drawing/2014/chart" uri="{C3380CC4-5D6E-409C-BE32-E72D297353CC}">
              <c16:uniqueId val="{00000002-AAD3-4139-88BB-A49236DE140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N=4</c:v>
                </c:pt>
                <c:pt idx="4">
                  <c:v>Detentions, total N=0</c:v>
                </c:pt>
                <c:pt idx="5">
                  <c:v>Referrals, total N=14</c:v>
                </c:pt>
                <c:pt idx="6">
                  <c:v>Arrests, total N=1</c:v>
                </c:pt>
                <c:pt idx="7">
                  <c:v>Population, total N=1381</c:v>
                </c:pt>
              </c:strCache>
            </c:strRef>
          </c:cat>
          <c:val>
            <c:numRef>
              <c:f>'Stacked 100%'!$I$7:$I$14</c:f>
              <c:numCache>
                <c:formatCode>0%</c:formatCode>
                <c:ptCount val="8"/>
                <c:pt idx="0">
                  <c:v>0</c:v>
                </c:pt>
                <c:pt idx="1">
                  <c:v>0</c:v>
                </c:pt>
                <c:pt idx="2">
                  <c:v>1</c:v>
                </c:pt>
                <c:pt idx="3">
                  <c:v>1</c:v>
                </c:pt>
                <c:pt idx="4">
                  <c:v>0</c:v>
                </c:pt>
                <c:pt idx="5">
                  <c:v>0.5</c:v>
                </c:pt>
                <c:pt idx="6">
                  <c:v>1</c:v>
                </c:pt>
                <c:pt idx="7">
                  <c:v>0.80738595220854459</c:v>
                </c:pt>
              </c:numCache>
            </c:numRef>
          </c:val>
          <c:extLst>
            <c:ext xmlns:c16="http://schemas.microsoft.com/office/drawing/2014/chart" uri="{C3380CC4-5D6E-409C-BE32-E72D297353CC}">
              <c16:uniqueId val="{00000003-AAD3-4139-88BB-A49236DE140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N=4</c:v>
                </c:pt>
                <c:pt idx="4">
                  <c:v>Detentions, total N=0</c:v>
                </c:pt>
                <c:pt idx="5">
                  <c:v>Referrals, total N=14</c:v>
                </c:pt>
                <c:pt idx="6">
                  <c:v>Arrests, total N=1</c:v>
                </c:pt>
                <c:pt idx="7">
                  <c:v>Population, total N=1381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AD3-4139-88BB-A49236DE140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1381</v>
      </c>
      <c r="C6" s="11">
        <v>1115</v>
      </c>
      <c r="D6" s="11">
        <v>26</v>
      </c>
      <c r="E6" s="11">
        <v>133</v>
      </c>
      <c r="F6" s="11">
        <v>24</v>
      </c>
      <c r="G6" s="11"/>
      <c r="H6" s="11">
        <v>83</v>
      </c>
      <c r="I6" s="11"/>
      <c r="J6" s="91">
        <f>SUM(D6:I6)</f>
        <v>266</v>
      </c>
      <c r="K6" s="92"/>
    </row>
    <row r="7" spans="1:11" ht="15.75" customHeight="1" thickBot="1" x14ac:dyDescent="0.25">
      <c r="A7" s="10" t="s">
        <v>8</v>
      </c>
      <c r="B7" s="11">
        <f t="shared" ref="B7:B15" si="0">SUM(C7:I7)+K7</f>
        <v>1</v>
      </c>
      <c r="C7" s="11">
        <v>1</v>
      </c>
      <c r="D7" s="11"/>
      <c r="E7" s="11"/>
      <c r="F7" s="11"/>
      <c r="G7" s="11"/>
      <c r="H7" s="11"/>
      <c r="I7" s="11"/>
      <c r="J7" s="91">
        <f t="shared" ref="J7:J15" si="1">SUM(D7:I7)</f>
        <v>0</v>
      </c>
      <c r="K7" s="92"/>
    </row>
    <row r="8" spans="1:11" ht="15.75" customHeight="1" thickBot="1" x14ac:dyDescent="0.25">
      <c r="A8" s="10" t="s">
        <v>9</v>
      </c>
      <c r="B8" s="11">
        <f t="shared" si="0"/>
        <v>14</v>
      </c>
      <c r="C8" s="11">
        <v>7</v>
      </c>
      <c r="D8" s="11">
        <v>1</v>
      </c>
      <c r="E8" s="11">
        <v>2</v>
      </c>
      <c r="F8" s="11"/>
      <c r="G8" s="11"/>
      <c r="H8" s="11">
        <v>4</v>
      </c>
      <c r="I8" s="11"/>
      <c r="J8" s="91">
        <f t="shared" si="1"/>
        <v>7</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4</v>
      </c>
      <c r="C11" s="11">
        <v>4</v>
      </c>
      <c r="D11" s="11"/>
      <c r="E11" s="11"/>
      <c r="F11" s="11"/>
      <c r="G11" s="11"/>
      <c r="H11" s="11"/>
      <c r="I11" s="11"/>
      <c r="J11" s="91">
        <f t="shared" si="1"/>
        <v>0</v>
      </c>
      <c r="K11" s="92"/>
    </row>
    <row r="12" spans="1:11" ht="15.75" customHeight="1" thickBot="1" x14ac:dyDescent="0.25">
      <c r="A12" s="10" t="s">
        <v>13</v>
      </c>
      <c r="B12" s="11">
        <f t="shared" si="0"/>
        <v>4</v>
      </c>
      <c r="C12" s="11">
        <v>4</v>
      </c>
      <c r="D12" s="11"/>
      <c r="E12" s="11"/>
      <c r="F12" s="11"/>
      <c r="G12" s="11"/>
      <c r="H12" s="11"/>
      <c r="I12" s="11"/>
      <c r="J12" s="91">
        <f t="shared" si="1"/>
        <v>0</v>
      </c>
      <c r="K12" s="92"/>
    </row>
    <row r="13" spans="1:11" ht="15.75" customHeight="1" thickBot="1" x14ac:dyDescent="0.25">
      <c r="A13" s="10" t="s">
        <v>133</v>
      </c>
      <c r="B13" s="11">
        <f t="shared" si="0"/>
        <v>10</v>
      </c>
      <c r="C13" s="11">
        <v>5</v>
      </c>
      <c r="D13" s="11"/>
      <c r="E13" s="11">
        <v>2</v>
      </c>
      <c r="F13" s="11"/>
      <c r="G13" s="11"/>
      <c r="H13" s="11">
        <v>3</v>
      </c>
      <c r="I13" s="11"/>
      <c r="J13" s="91">
        <f t="shared" si="1"/>
        <v>5</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1114</v>
      </c>
      <c r="R7" s="42">
        <f t="shared" ref="R7:R15" si="5">SUM(N7:Q7)</f>
        <v>1115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700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-6</v>
      </c>
      <c r="R8" s="42">
        <f t="shared" si="5"/>
        <v>1.0499999999999998</v>
      </c>
      <c r="S8" s="30">
        <f t="shared" si="6"/>
        <v>0.12862500000000002</v>
      </c>
      <c r="T8" s="30">
        <f t="shared" si="7"/>
        <v>-2.0825000000000005</v>
      </c>
      <c r="U8" s="31">
        <f t="shared" si="8"/>
        <v>-6.1764705882352937E-2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-1</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0</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0</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0</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0</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0</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Entry'!J6</f>
        <v>266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266</v>
      </c>
      <c r="P7" s="42">
        <f t="shared" ref="P7:P15" si="4">C7</f>
        <v>1</v>
      </c>
      <c r="Q7" s="42">
        <f>C6-C7</f>
        <v>1114</v>
      </c>
      <c r="R7" s="42">
        <f t="shared" ref="R7:R15" si="5">SUM(N7:Q7)</f>
        <v>1381</v>
      </c>
      <c r="S7" s="30">
        <f t="shared" ref="S7:S15" si="6">R7*((((N7*Q7)-(O7*P7))^2))</f>
        <v>97714036</v>
      </c>
      <c r="T7" s="30">
        <f t="shared" ref="T7:T15" si="7">(N7+O7)*(P7+Q7)*(N7+P7)*(O7+Q7)</f>
        <v>409294200</v>
      </c>
      <c r="U7" s="31">
        <f t="shared" ref="U7:U15" si="8">IF((S7&gt;0),S7/T7,"- -")</f>
        <v>0.23873789562617795</v>
      </c>
    </row>
    <row r="8" spans="2:21" ht="18" customHeight="1" x14ac:dyDescent="0.25">
      <c r="B8" s="32" t="str">
        <f>'Data Entry'!A8</f>
        <v>3. Refer to Juvenile Court</v>
      </c>
      <c r="C8" s="33">
        <f>'Data Entry'!C8</f>
        <v>7</v>
      </c>
      <c r="D8" s="34">
        <f>IF((AND(C67&gt;0,C8&gt;0)),(C8/C67),0)</f>
        <v>700</v>
      </c>
      <c r="E8" s="33">
        <f>'Data Entry'!J8</f>
        <v>7</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-6.95</v>
      </c>
      <c r="P8" s="42">
        <f t="shared" si="4"/>
        <v>7</v>
      </c>
      <c r="Q8" s="42">
        <f>(C$67*L67)-C8</f>
        <v>-6</v>
      </c>
      <c r="R8" s="42">
        <f t="shared" si="5"/>
        <v>1.0499999999999998</v>
      </c>
      <c r="S8" s="30">
        <f t="shared" si="6"/>
        <v>46.433624999999971</v>
      </c>
      <c r="T8" s="30">
        <f t="shared" si="7"/>
        <v>-9.0649999999999675</v>
      </c>
      <c r="U8" s="31">
        <f t="shared" si="8"/>
        <v>-5.1222972972973126</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7.0000000000000009</v>
      </c>
      <c r="R9" s="42">
        <f t="shared" si="5"/>
        <v>14.000000000000002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7.0000000000000009</v>
      </c>
      <c r="R10" s="42">
        <f t="shared" si="5"/>
        <v>14.000000000000002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Entry'!J11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7.0000000000000009</v>
      </c>
      <c r="P11" s="42">
        <f t="shared" si="4"/>
        <v>4</v>
      </c>
      <c r="Q11" s="42">
        <f>(C$68*L68)-C11</f>
        <v>3.0000000000000009</v>
      </c>
      <c r="R11" s="42">
        <f t="shared" si="5"/>
        <v>14</v>
      </c>
      <c r="S11" s="30">
        <f t="shared" si="6"/>
        <v>10976.000000000004</v>
      </c>
      <c r="T11" s="30">
        <f t="shared" si="7"/>
        <v>1960.0000000000009</v>
      </c>
      <c r="U11" s="31">
        <f t="shared" si="8"/>
        <v>5.6</v>
      </c>
    </row>
    <row r="12" spans="2:21" ht="18" customHeight="1" x14ac:dyDescent="0.25">
      <c r="B12" s="32" t="str">
        <f>'Data Entry'!A12</f>
        <v>7. Cases Resulting in Delinquent Findings</v>
      </c>
      <c r="C12" s="33">
        <f>'Data Entry'!C12</f>
        <v>4</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Entry'!J13</f>
        <v>5</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5</v>
      </c>
      <c r="O13" s="42">
        <f>(D70*L70)-E13</f>
        <v>-5</v>
      </c>
      <c r="P13" s="42">
        <f t="shared" si="4"/>
        <v>5</v>
      </c>
      <c r="Q13" s="42">
        <f>(C70*L70)-C13</f>
        <v>-1</v>
      </c>
      <c r="R13" s="42">
        <f t="shared" si="5"/>
        <v>4</v>
      </c>
      <c r="S13" s="30">
        <f t="shared" si="6"/>
        <v>1600</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0.26600000000000001</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7.0000000000000007E-2</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0.26600000000000001</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7.0000000000000007E-2</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0.26600000000000001</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7.0000000000000007E-2</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0.26600000000000001</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7.0000000000000007E-2</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0.26600000000000001</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7.0000000000000007E-2</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Leelanau</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t="e">
        <f>'Other - Mixed'!L11</f>
        <v>#VALUE!</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#DIV/0!</v>
      </c>
      <c r="N13" s="1" t="e">
        <f>Asian!L13</f>
        <v>#VALUE!</v>
      </c>
      <c r="O13" s="1" t="e">
        <f>Hawaiian!L13</f>
        <v>#VALUE!</v>
      </c>
      <c r="P13" s="1" t="e">
        <f>'Am Indian'!L13</f>
        <v>#DIV/0!</v>
      </c>
      <c r="Q13" s="1" t="e">
        <f>'Other - Mixed'!L13</f>
        <v>#VALUE!</v>
      </c>
      <c r="R13" s="1" t="e">
        <f>'All Minorities'!L13</f>
        <v>#DIV/0!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1381</v>
      </c>
      <c r="D3" s="57">
        <f>'Data Entry'!C6</f>
        <v>1115</v>
      </c>
      <c r="E3" s="57">
        <f>'Data Entry'!D6</f>
        <v>26</v>
      </c>
      <c r="F3" s="57">
        <f>'Data Entry'!E6</f>
        <v>133</v>
      </c>
      <c r="G3" s="57">
        <f>'Data Entry'!F6</f>
        <v>24</v>
      </c>
      <c r="H3" s="57">
        <f>'Data Entry'!G6</f>
        <v>0</v>
      </c>
      <c r="I3" s="57">
        <f>'Data Entry'!H6</f>
        <v>83</v>
      </c>
      <c r="J3" s="57">
        <f>'Data Entry'!I6</f>
        <v>0</v>
      </c>
      <c r="K3" s="57">
        <f>'Data Entry'!J6</f>
        <v>266</v>
      </c>
    </row>
    <row r="4" spans="2:11" ht="15" customHeight="1" x14ac:dyDescent="0.25">
      <c r="B4" s="16" t="s">
        <v>8</v>
      </c>
      <c r="C4" s="1">
        <f>IF((C$3&gt;0),(1000*('Data Entry'!B7/'Data Entry'!B$6)), 0)</f>
        <v>0.724112961622013</v>
      </c>
      <c r="D4" s="1">
        <f>IF((D$3&gt;0),(1000*('Data Entry'!C7/'Data Entry'!C$6)), 0)</f>
        <v>0.89686098654708524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10.137581462708182</v>
      </c>
      <c r="D5" s="1">
        <f>IF((D$3&gt;0),(1000*('Data Entry'!C8/'Data Entry'!C$6)), 0)</f>
        <v>6.2780269058295959</v>
      </c>
      <c r="E5" s="1">
        <f>IF((E$3&gt;0),(1000*('Data Entry'!D8/'Data Entry'!D$6)), 0)</f>
        <v>38.461538461538467</v>
      </c>
      <c r="F5" s="1">
        <f>IF((F$3&gt;0),(1000*('Data Entry'!E8/'Data Entry'!E$6)), 0)</f>
        <v>15.037593984962406</v>
      </c>
      <c r="G5" s="1">
        <f>IF((G$3&gt;0),(1000*('Data Entry'!F8/'Data Entry'!F$6)), 0)</f>
        <v>0</v>
      </c>
      <c r="H5" s="1">
        <f>IF((H$3&gt;0),(1000*('Data Entry'!G8/'Data Entry'!G$6)), 0)</f>
        <v>0</v>
      </c>
      <c r="I5" s="1">
        <f>IF((I$3&gt;0),(1000*('Data Entry'!H8/'Data Entry'!H$6)), 0)</f>
        <v>48.192771084337352</v>
      </c>
      <c r="J5" s="1">
        <f>IF((J$3&gt;0),(1000*('Data Entry'!I8/'Data Entry'!I$6)), 0)</f>
        <v>0</v>
      </c>
      <c r="K5" s="1">
        <f>IF((K$3&gt;0),(1000*('Data Entry'!J8/'Data Entry'!J$6)), 0)</f>
        <v>26.315789473684209</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2.896451846488052</v>
      </c>
      <c r="D8" s="1">
        <f>IF((D$3&gt;0),(1000*('Data Entry'!C11/'Data Entry'!C$6)), 0)</f>
        <v>3.5874439461883409</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2.896451846488052</v>
      </c>
      <c r="D9" s="1">
        <f>IF((D$3&gt;0),(1000*('Data Entry'!C12/'Data Entry'!C$6)), 0)</f>
        <v>3.5874439461883409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7.24112961622013</v>
      </c>
      <c r="D10" s="1">
        <f>IF((D$3&gt;0),(1000*('Data Entry'!C13/'Data Entry'!C$6)), 0)</f>
        <v>4.4843049327354256</v>
      </c>
      <c r="E10" s="1">
        <f>IF((E$3&gt;0),(1000*('Data Entry'!D13/'Data Entry'!D$6)), 0)</f>
        <v>0</v>
      </c>
      <c r="F10" s="1">
        <f>IF((F$3&gt;0),(1000*('Data Entry'!E13/'Data Entry'!E$6)), 0)</f>
        <v>15.037593984962406</v>
      </c>
      <c r="G10" s="1">
        <f>IF((G$3&gt;0),(1000*('Data Entry'!F13/'Data Entry'!F$6)), 0)</f>
        <v>0</v>
      </c>
      <c r="H10" s="1">
        <f>IF((H$3&gt;0),(1000*('Data Entry'!G13/'Data Entry'!G$6)), 0)</f>
        <v>0</v>
      </c>
      <c r="I10" s="1">
        <f>IF((I$3&gt;0),(1000*('Data Entry'!H13/'Data Entry'!H$6)), 0)</f>
        <v>36.144578313253014</v>
      </c>
      <c r="J10" s="1">
        <f>IF((J$3&gt;0),(1000*('Data Entry'!I13/'Data Entry'!I$6)), 0)</f>
        <v>0</v>
      </c>
      <c r="K10" s="1">
        <f>IF((K$3&gt;0),(1000*('Data Entry'!J13/'Data Entry'!J$6)), 0)</f>
        <v>18.796992481203006</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Leelanau</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6.1263736263736277</v>
      </c>
      <c r="E20" s="72">
        <f t="shared" si="2"/>
        <v>2.3952738990332976</v>
      </c>
      <c r="F20" s="72" t="str">
        <f t="shared" si="2"/>
        <v>--</v>
      </c>
      <c r="G20" s="72" t="str">
        <f t="shared" si="2"/>
        <v>--</v>
      </c>
      <c r="H20" s="72">
        <f t="shared" si="2"/>
        <v>7.676419965576593</v>
      </c>
      <c r="I20" s="72" t="str">
        <f t="shared" si="2"/>
        <v>--</v>
      </c>
      <c r="J20" s="73">
        <f t="shared" si="2"/>
        <v>4.1917293233082704</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f t="shared" si="2"/>
        <v>3.3533834586466167</v>
      </c>
      <c r="F25" s="72" t="str">
        <f t="shared" si="2"/>
        <v>--</v>
      </c>
      <c r="G25" s="72" t="str">
        <f t="shared" si="2"/>
        <v>--</v>
      </c>
      <c r="H25" s="72">
        <f t="shared" si="2"/>
        <v>8.0602409638554224</v>
      </c>
      <c r="I25" s="72" t="str">
        <f t="shared" si="2"/>
        <v>--</v>
      </c>
      <c r="J25" s="73">
        <f t="shared" si="2"/>
        <v>4.1917293233082704</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Leelanau</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1115</v>
      </c>
      <c r="D7" s="105">
        <f>'Data Entry'!D6</f>
        <v>26</v>
      </c>
      <c r="E7" s="106"/>
      <c r="F7" s="107">
        <f>'Data Entry'!E6</f>
        <v>133</v>
      </c>
      <c r="G7" s="106"/>
      <c r="H7" s="107">
        <f>'Data Entry'!F6</f>
        <v>24</v>
      </c>
      <c r="I7" s="106"/>
      <c r="J7" s="107">
        <f>'Data Entry'!G6</f>
        <v>0</v>
      </c>
      <c r="K7" s="106"/>
      <c r="L7" s="107">
        <f>'Data Entry'!H6</f>
        <v>83</v>
      </c>
      <c r="M7" s="106"/>
      <c r="N7" s="107">
        <f>'Data Entry'!I6</f>
        <v>0</v>
      </c>
      <c r="O7" s="106"/>
      <c r="P7" s="107">
        <f>'Data Entry'!J6</f>
        <v>266</v>
      </c>
      <c r="Q7" s="108"/>
    </row>
    <row r="8" spans="2:26" s="1" customFormat="1" ht="15" customHeight="1" x14ac:dyDescent="0.3">
      <c r="B8" s="149" t="s">
        <v>8</v>
      </c>
      <c r="C8" s="104">
        <f>'Data Entry'!C7</f>
        <v>1</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7</v>
      </c>
      <c r="D9" s="109">
        <f>'Data Entry'!D8</f>
        <v>1</v>
      </c>
      <c r="E9" s="110" t="str">
        <f>'Black or African-American'!$G8</f>
        <v>**</v>
      </c>
      <c r="F9" s="111">
        <f>'Data Entry'!E8</f>
        <v>2</v>
      </c>
      <c r="G9" s="110" t="str">
        <f>Hispanic!G8</f>
        <v>**</v>
      </c>
      <c r="H9" s="111">
        <f>'Data Entry'!F8</f>
        <v>0</v>
      </c>
      <c r="I9" s="110" t="str">
        <f>Asian!G8</f>
        <v>**</v>
      </c>
      <c r="J9" s="111">
        <f>'Data Entry'!G8</f>
        <v>0</v>
      </c>
      <c r="K9" s="110" t="str">
        <f>Hawaiian!G8</f>
        <v>*</v>
      </c>
      <c r="L9" s="111">
        <f>'Data Entry'!H8</f>
        <v>4</v>
      </c>
      <c r="M9" s="110" t="str">
        <f>'Am Indian'!G8</f>
        <v>**</v>
      </c>
      <c r="N9" s="111">
        <f>'Data Entry'!I8</f>
        <v>0</v>
      </c>
      <c r="O9" s="110" t="str">
        <f>'Other - Mixed'!G8</f>
        <v>*</v>
      </c>
      <c r="P9" s="111">
        <f>'Data Entry'!J8</f>
        <v>7</v>
      </c>
      <c r="Q9" s="112" t="str">
        <f>'All Minorities'!G8</f>
        <v>**</v>
      </c>
      <c r="R9"/>
      <c r="T9" s="1">
        <f>'Black or African-American'!L8</f>
        <v>40</v>
      </c>
      <c r="U9" s="1">
        <f>Hispanic!L8</f>
        <v>40</v>
      </c>
      <c r="V9" s="1">
        <f>Asian!L8</f>
        <v>40</v>
      </c>
      <c r="W9" s="1">
        <f>Hawaiian!L8</f>
        <v>139</v>
      </c>
      <c r="X9" s="1">
        <f>'Am Indian'!L8</f>
        <v>40</v>
      </c>
      <c r="Y9" s="1">
        <f>'Other - Mixed'!L8</f>
        <v>139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f>'Black or African-American'!L11</f>
        <v>40</v>
      </c>
      <c r="U12" s="1">
        <f>Hispanic!L11</f>
        <v>40</v>
      </c>
      <c r="V12" s="1" t="e">
        <f>Asian!L11</f>
        <v>#VALUE!</v>
      </c>
      <c r="W12" s="1" t="e">
        <f>Hawaiian!L11</f>
        <v>#VALUE!</v>
      </c>
      <c r="X12" s="1">
        <f>'Am Indian'!L11</f>
        <v>40</v>
      </c>
      <c r="Y12" s="1" t="e">
        <f>'Other - Mixed'!L11</f>
        <v>#VALUE!</v>
      </c>
      <c r="Z12" s="1">
        <f>'All Minorities'!L11</f>
        <v>20</v>
      </c>
    </row>
    <row r="13" spans="2:26" s="1" customFormat="1" ht="15" customHeight="1" x14ac:dyDescent="0.3">
      <c r="B13" s="149" t="s">
        <v>13</v>
      </c>
      <c r="C13" s="104">
        <f>'Data Entry'!C12</f>
        <v>4</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5</v>
      </c>
      <c r="D14" s="113">
        <f>'Data Entry'!D13</f>
        <v>0</v>
      </c>
      <c r="E14" s="114" t="str">
        <f>'Black or African-American'!$G13</f>
        <v>--</v>
      </c>
      <c r="F14" s="115">
        <f>'Data Entry'!E13</f>
        <v>2</v>
      </c>
      <c r="G14" s="114" t="str">
        <f>Hispanic!G13</f>
        <v>--</v>
      </c>
      <c r="H14" s="115">
        <f>'Data Entry'!F13</f>
        <v>0</v>
      </c>
      <c r="I14" s="114" t="str">
        <f>Asian!G13</f>
        <v>--</v>
      </c>
      <c r="J14" s="115">
        <f>'Data Entry'!G13</f>
        <v>0</v>
      </c>
      <c r="K14" s="114" t="str">
        <f>Hawaiian!G13</f>
        <v>*</v>
      </c>
      <c r="L14" s="115">
        <f>'Data Entry'!H13</f>
        <v>3</v>
      </c>
      <c r="M14" s="114" t="str">
        <f>'Am Indian'!G13</f>
        <v>--</v>
      </c>
      <c r="N14" s="115">
        <f>'Data Entry'!I13</f>
        <v>0</v>
      </c>
      <c r="O14" s="114" t="str">
        <f>'Other - Mixed'!G13</f>
        <v>*</v>
      </c>
      <c r="P14" s="115">
        <f>'Data Entry'!J13</f>
        <v>5</v>
      </c>
      <c r="Q14" s="116" t="str">
        <f>'All Minorities'!G13</f>
        <v>--</v>
      </c>
      <c r="R14"/>
      <c r="T14" s="1" t="e">
        <f>'Black or African-American'!L13</f>
        <v>#VALUE!</v>
      </c>
      <c r="U14" s="1" t="e">
        <f>Hispanic!L13</f>
        <v>#DIV/0!</v>
      </c>
      <c r="V14" s="1" t="e">
        <f>Asian!L13</f>
        <v>#VALUE!</v>
      </c>
      <c r="W14" s="1" t="e">
        <f>Hawaiian!L13</f>
        <v>#VALUE!</v>
      </c>
      <c r="X14" s="1" t="e">
        <f>'Am Indian'!L13</f>
        <v>#DIV/0!</v>
      </c>
      <c r="Y14" s="1" t="e">
        <f>'Other - Mixed'!L13</f>
        <v>#VALUE!</v>
      </c>
      <c r="Z14" s="1" t="e">
        <f>'All Minorities'!L13</f>
        <v>#DIV/0!</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Leelanau</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Leelanau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4.1917293233082713</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4.1917293233082713</v>
      </c>
    </row>
    <row r="9" spans="1:12" x14ac:dyDescent="0.2">
      <c r="A9" s="132" t="str">
        <f>CONCATENATE("Delinquent Findings, total N=", 'Data Entry'!B12)</f>
        <v>Delinquent Findings, total N=4</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N=4</v>
      </c>
      <c r="L9">
        <f>I14/(SUM(B14:G14))</f>
        <v>4.1917293233082713</v>
      </c>
    </row>
    <row r="10" spans="1:12" x14ac:dyDescent="0.2">
      <c r="A10" s="132" t="str">
        <f>CONCATENATE("Petitions, total N=", 'Data Entry'!B11)</f>
        <v>Petitions, total N=4</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N=4</v>
      </c>
      <c r="L10">
        <f>I14/(SUM(B14:G14))</f>
        <v>4.1917293233082713</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4.1917293233082713</v>
      </c>
    </row>
    <row r="12" spans="1:12" x14ac:dyDescent="0.2">
      <c r="A12" s="132" t="str">
        <f>CONCATENATE("Referrals, total N=", 'Data Entry'!B8)</f>
        <v>Referrals, total N=14</v>
      </c>
      <c r="B12" s="157">
        <f>'Data Entry'!D8/'Data Entry'!B8</f>
        <v>7.1428571428571425E-2</v>
      </c>
      <c r="C12" s="157">
        <f>'Data Entry'!E8/'Data Entry'!B8</f>
        <v>0.14285714285714285</v>
      </c>
      <c r="D12" s="157">
        <f>'Data Entry'!F8/'Data Entry'!B8</f>
        <v>0</v>
      </c>
      <c r="E12" s="157">
        <f>'Data Entry'!G8/'Data Entry'!B8</f>
        <v>0</v>
      </c>
      <c r="F12" s="157">
        <f>'Data Entry'!H8/'Data Entry'!B8</f>
        <v>0.2857142857142857</v>
      </c>
      <c r="G12" s="157">
        <f>'Data Entry'!I8/'Data Entry'!B8</f>
        <v>0</v>
      </c>
      <c r="H12" s="157">
        <f>SUM(D12:G12)/'Data Entry'!B8</f>
        <v>2.0408163265306121E-2</v>
      </c>
      <c r="I12" s="157">
        <f>'Data Entry'!C8/'Data Entry'!B8</f>
        <v>0.5</v>
      </c>
      <c r="K12" s="97" t="str">
        <f t="shared" si="0"/>
        <v>Referrals, total N=14</v>
      </c>
      <c r="L12">
        <f>I14/(SUM(B14:G14))</f>
        <v>4.1917293233082713</v>
      </c>
    </row>
    <row r="13" spans="1:12" x14ac:dyDescent="0.2">
      <c r="A13" s="132" t="str">
        <f>CONCATENATE("Arrests, total N=", 'Data Entry'!B7)</f>
        <v>Arrests, total N=1</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N=1</v>
      </c>
      <c r="L13">
        <f>I14/(SUM(B14:G14))</f>
        <v>4.1917293233082713</v>
      </c>
    </row>
    <row r="14" spans="1:12" x14ac:dyDescent="0.2">
      <c r="A14" s="132" t="str">
        <f>CONCATENATE("Population, total N=", 'Data Entry'!B6)</f>
        <v>Population, total N=1381</v>
      </c>
      <c r="B14" s="157">
        <f>'Data Entry'!D6/'Data Entry'!B6</f>
        <v>1.8826937002172341E-2</v>
      </c>
      <c r="C14" s="157">
        <f>'Data Entry'!E6/'Data Entry'!B6</f>
        <v>9.6307023895727734E-2</v>
      </c>
      <c r="D14" s="157">
        <f>'Data Entry'!F6/'Data Entry'!B6</f>
        <v>1.7378711078928313E-2</v>
      </c>
      <c r="E14" s="157">
        <f>'Data Entry'!G6/'Data Entry'!B6</f>
        <v>0</v>
      </c>
      <c r="F14" s="157">
        <f>'Data Entry'!H6/'Data Entry'!B6</f>
        <v>6.010137581462708E-2</v>
      </c>
      <c r="G14" s="157">
        <f>'Data Entry'!I6/'Data Entry'!B6</f>
        <v>0</v>
      </c>
      <c r="H14" s="157">
        <f>SUM(D14:G14)/'Data Entry'!B6</f>
        <v>5.6104335187223318E-5</v>
      </c>
      <c r="I14" s="157">
        <f>'Data Entry'!C6/'Data Entry'!B6</f>
        <v>0.80738595220854459</v>
      </c>
      <c r="K14" s="97" t="str">
        <f t="shared" si="0"/>
        <v>Population, total N=1381</v>
      </c>
      <c r="L14">
        <f>I14/(SUM(B14:G14))</f>
        <v>4.1917293233082713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Leelanau</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1115</v>
      </c>
      <c r="D7" s="105">
        <f>'Data Entry'!D6</f>
        <v>26</v>
      </c>
      <c r="E7" s="106"/>
      <c r="F7" s="107">
        <f>'Data Entry'!E6</f>
        <v>133</v>
      </c>
      <c r="G7" s="106"/>
      <c r="H7" s="107">
        <f>'Data Entry'!F6</f>
        <v>24</v>
      </c>
      <c r="I7" s="106"/>
      <c r="J7" s="107">
        <f>'Data Entry'!J6</f>
        <v>266</v>
      </c>
      <c r="K7" s="108"/>
    </row>
    <row r="8" spans="2:30" s="1" customFormat="1" ht="15" customHeight="1" x14ac:dyDescent="0.3">
      <c r="B8" s="125" t="s">
        <v>8</v>
      </c>
      <c r="C8" s="104">
        <f>'Data Entry'!C7</f>
        <v>1</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7</v>
      </c>
      <c r="D9" s="109">
        <f>'Data Entry'!D8</f>
        <v>1</v>
      </c>
      <c r="E9" s="110" t="str">
        <f>'Black or African-American'!$G8</f>
        <v>**</v>
      </c>
      <c r="F9" s="111">
        <f>'Data Entry'!E8</f>
        <v>2</v>
      </c>
      <c r="G9" s="110" t="str">
        <f>Hispanic!G8</f>
        <v>**</v>
      </c>
      <c r="H9" s="111">
        <f>'Data Entry'!F8</f>
        <v>0</v>
      </c>
      <c r="I9" s="110" t="str">
        <f>Asian!G8</f>
        <v>**</v>
      </c>
      <c r="J9" s="111">
        <f>'Data Entry'!J8</f>
        <v>7</v>
      </c>
      <c r="K9" s="112" t="str">
        <f>'All Minorities'!G8</f>
        <v>**</v>
      </c>
      <c r="L9"/>
      <c r="N9" s="1">
        <f>'Black or African-American'!L8</f>
        <v>40</v>
      </c>
      <c r="O9" s="1">
        <f>Hispanic!L8</f>
        <v>40</v>
      </c>
      <c r="P9" s="1">
        <f>Asian!L8</f>
        <v>40</v>
      </c>
      <c r="Q9" s="1">
        <f>Hawaiian!L8</f>
        <v>139</v>
      </c>
      <c r="R9" s="1">
        <f>'Am Indian'!L8</f>
        <v>40</v>
      </c>
      <c r="S9" s="1">
        <f>'Other - Mixed'!L8</f>
        <v>139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f>'Black or African-American'!L11</f>
        <v>40</v>
      </c>
      <c r="O12" s="1">
        <f>Hispanic!L11</f>
        <v>40</v>
      </c>
      <c r="P12" s="1" t="e">
        <f>Asian!L11</f>
        <v>#VALUE!</v>
      </c>
      <c r="Q12" s="1" t="e">
        <f>Hawaiian!L11</f>
        <v>#VALUE!</v>
      </c>
      <c r="R12" s="1">
        <f>'Am Indian'!L11</f>
        <v>40</v>
      </c>
      <c r="S12" s="1" t="e">
        <f>'Other - Mixed'!L11</f>
        <v>#VALUE!</v>
      </c>
      <c r="T12" s="1">
        <f>'All Minorities'!L11</f>
        <v>20</v>
      </c>
    </row>
    <row r="13" spans="2:30" s="1" customFormat="1" ht="15" customHeight="1" x14ac:dyDescent="0.3">
      <c r="B13" s="125" t="s">
        <v>13</v>
      </c>
      <c r="C13" s="104">
        <f>'Data Entry'!C12</f>
        <v>4</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5</v>
      </c>
      <c r="D14" s="113">
        <f>'Data Entry'!D13</f>
        <v>0</v>
      </c>
      <c r="E14" s="114" t="str">
        <f>'Black or African-American'!$G13</f>
        <v>--</v>
      </c>
      <c r="F14" s="115">
        <f>'Data Entry'!E13</f>
        <v>2</v>
      </c>
      <c r="G14" s="114" t="str">
        <f>Hispanic!G13</f>
        <v>--</v>
      </c>
      <c r="H14" s="115">
        <f>'Data Entry'!F13</f>
        <v>0</v>
      </c>
      <c r="I14" s="114" t="str">
        <f>Asian!G13</f>
        <v>--</v>
      </c>
      <c r="J14" s="115">
        <f>'Data Entry'!J13</f>
        <v>5</v>
      </c>
      <c r="K14" s="116" t="str">
        <f>'All Minorities'!G13</f>
        <v>--</v>
      </c>
      <c r="L14"/>
      <c r="N14" s="1" t="e">
        <f>'Black or African-American'!L13</f>
        <v>#VALUE!</v>
      </c>
      <c r="O14" s="1" t="e">
        <f>Hispanic!L13</f>
        <v>#DIV/0!</v>
      </c>
      <c r="P14" s="1" t="e">
        <f>Asian!L13</f>
        <v>#VALUE!</v>
      </c>
      <c r="Q14" s="1" t="e">
        <f>Hawaiian!L13</f>
        <v>#VALUE!</v>
      </c>
      <c r="R14" s="1" t="e">
        <f>'Am Indian'!L13</f>
        <v>#DIV/0!</v>
      </c>
      <c r="S14" s="1" t="e">
        <f>'Other - Mixed'!L13</f>
        <v>#VALUE!</v>
      </c>
      <c r="T14" s="1" t="e">
        <f>'All Minorities'!L13</f>
        <v>#DIV/0!</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Entry'!D6</f>
        <v>26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26</v>
      </c>
      <c r="P7" s="42">
        <f t="shared" ref="P7:P15" si="2">C7</f>
        <v>1</v>
      </c>
      <c r="Q7" s="42">
        <f>C6-C7</f>
        <v>1114</v>
      </c>
      <c r="R7" s="42">
        <f t="shared" ref="R7:R15" si="3">SUM(N7:Q7)</f>
        <v>1141</v>
      </c>
      <c r="S7" s="30">
        <f t="shared" ref="S7:S15" si="4">R7*((((N7*Q7)-(O7*P7))^2))</f>
        <v>771316</v>
      </c>
      <c r="T7" s="30">
        <f t="shared" ref="T7:T15" si="5">(N7+O7)*(P7+Q7)*(N7+P7)*(O7+Q7)</f>
        <v>33048600</v>
      </c>
      <c r="U7" s="31">
        <f t="shared" ref="U7:U15" si="6">IF((S7&gt;0),S7/T7,"- -")</f>
        <v>2.3338840374478798E-2</v>
      </c>
    </row>
    <row r="8" spans="2:21" ht="18" customHeight="1" x14ac:dyDescent="0.25">
      <c r="B8" s="32" t="str">
        <f>'Data Entry'!A8</f>
        <v>3. Refer to Juvenile Court</v>
      </c>
      <c r="C8" s="33">
        <f>'Data Entry'!C8</f>
        <v>7</v>
      </c>
      <c r="D8" s="34">
        <f>IF((AND(C67&gt;0,C8&gt;0)),(C8/C67),0)</f>
        <v>700</v>
      </c>
      <c r="E8" s="33">
        <f>'Data Entry'!D8</f>
        <v>1</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-0.95</v>
      </c>
      <c r="P8" s="42">
        <f t="shared" si="2"/>
        <v>7</v>
      </c>
      <c r="Q8" s="42">
        <f>(C$67*L67)-C8</f>
        <v>-6</v>
      </c>
      <c r="R8" s="42">
        <f t="shared" si="3"/>
        <v>1.0499999999999998</v>
      </c>
      <c r="S8" s="30">
        <f t="shared" si="4"/>
        <v>0.44362499999999921</v>
      </c>
      <c r="T8" s="30">
        <f t="shared" si="5"/>
        <v>-2.7800000000000025</v>
      </c>
      <c r="U8" s="31">
        <f t="shared" si="6"/>
        <v>-0.15957733812949598</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7.0000000000000009</v>
      </c>
      <c r="R9" s="42">
        <f t="shared" si="3"/>
        <v>8</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7.0000000000000009</v>
      </c>
      <c r="R10" s="42">
        <f t="shared" si="3"/>
        <v>8</v>
      </c>
      <c r="S10" s="30">
        <f t="shared" si="4"/>
        <v>0</v>
      </c>
      <c r="T10" s="30">
        <f t="shared" si="5"/>
        <v>0</v>
      </c>
      <c r="U10" s="31" t="str">
        <f t="shared" si="6"/>
        <v>- -</v>
      </c>
    </row>
    <row r="11" spans="2:21" ht="18" customHeight="1" x14ac:dyDescent="0.25">
      <c r="B11" s="32" t="str">
        <f>'Data Entry'!A11</f>
        <v>6. Cases Petitioned (Charge Filed)</v>
      </c>
      <c r="C11" s="33">
        <f>'Data Entry'!C11</f>
        <v>4</v>
      </c>
      <c r="D11" s="34">
        <f>IF(((AND(C68&gt;0,C11&gt;0))),(C11/(C68)),0)</f>
        <v>57.142857142857139</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4</v>
      </c>
      <c r="Q11" s="42">
        <f>(C$68*L68)-C11</f>
        <v>3.0000000000000009</v>
      </c>
      <c r="R11" s="42">
        <f t="shared" si="3"/>
        <v>8</v>
      </c>
      <c r="S11" s="30">
        <f t="shared" si="4"/>
        <v>128</v>
      </c>
      <c r="T11" s="30">
        <f t="shared" si="5"/>
        <v>112.00000000000004</v>
      </c>
      <c r="U11" s="31">
        <f t="shared" si="6"/>
        <v>1.1428571428571423</v>
      </c>
    </row>
    <row r="12" spans="2:21" ht="18" customHeight="1" x14ac:dyDescent="0.25">
      <c r="B12" s="32" t="str">
        <f>'Data Entry'!A12</f>
        <v>7. Cases Resulting in Delinquent Findings</v>
      </c>
      <c r="C12" s="33">
        <f>'Data Entry'!C12</f>
        <v>4</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4</v>
      </c>
      <c r="Q12" s="42">
        <f>(C69*L69)-C12</f>
        <v>0</v>
      </c>
      <c r="R12" s="42">
        <f t="shared" si="3"/>
        <v>4</v>
      </c>
      <c r="S12" s="30">
        <f t="shared" si="4"/>
        <v>0</v>
      </c>
      <c r="T12" s="30">
        <f t="shared" si="5"/>
        <v>0</v>
      </c>
      <c r="U12" s="31" t="str">
        <f t="shared" si="6"/>
        <v>- -</v>
      </c>
    </row>
    <row r="13" spans="2:21" ht="18" customHeight="1" x14ac:dyDescent="0.25">
      <c r="B13" s="32" t="str">
        <f>'Data Entry'!A13</f>
        <v>8. Cases Resulting in Probation Placement</v>
      </c>
      <c r="C13" s="33">
        <f>'Data Entry'!C13</f>
        <v>5</v>
      </c>
      <c r="D13" s="34">
        <f>IF(((AND(C70&gt;0,C13&gt;0))),(C13/(C70)),0)</f>
        <v>125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v>
      </c>
      <c r="Q13" s="42">
        <f>(C70*L70)-C13</f>
        <v>-1</v>
      </c>
      <c r="R13" s="42">
        <f t="shared" si="3"/>
        <v>4</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4</v>
      </c>
      <c r="R14" s="42">
        <f t="shared" si="3"/>
        <v>4</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v>
      </c>
      <c r="R15" s="42">
        <f t="shared" si="3"/>
        <v>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2.5999999999999999E-2</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0.01</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2.5999999999999999E-2</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0.01</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2.5999999999999999E-2</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0.01</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2.5999999999999999E-2</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0.01</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2.5999999999999999E-2</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0.01</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Entry'!F6</f>
        <v>24</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24</v>
      </c>
      <c r="P7" s="42">
        <f t="shared" ref="P7:P15" si="4">C7</f>
        <v>1</v>
      </c>
      <c r="Q7" s="42">
        <f>C6-C7</f>
        <v>1114</v>
      </c>
      <c r="R7" s="42">
        <f t="shared" ref="R7:R15" si="5">SUM(N7:Q7)</f>
        <v>1139</v>
      </c>
      <c r="S7" s="30">
        <f t="shared" ref="S7:S15" si="6">R7*((((N7*Q7)-(O7*P7))^2))</f>
        <v>656064</v>
      </c>
      <c r="T7" s="30">
        <f t="shared" ref="T7:T15" si="7">(N7+O7)*(P7+Q7)*(N7+P7)*(O7+Q7)</f>
        <v>30452880</v>
      </c>
      <c r="U7" s="31">
        <f t="shared" ref="U7:U15" si="8">IF((S7&gt;0),S7/T7,"- -")</f>
        <v>2.1543578144333147E-2</v>
      </c>
    </row>
    <row r="8" spans="2:21" ht="18" customHeight="1" x14ac:dyDescent="0.25">
      <c r="B8" s="32" t="str">
        <f>'Data Entry'!A8</f>
        <v>3. Refer to Juvenile Court</v>
      </c>
      <c r="C8" s="33">
        <f>'Data Entry'!C8</f>
        <v>7</v>
      </c>
      <c r="D8" s="34">
        <f>IF((AND(C67&gt;0,C8&gt;0)),(C8/C67),0)</f>
        <v>700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v>
      </c>
      <c r="Q8" s="42">
        <f>(C$67*L67)-C8</f>
        <v>-6</v>
      </c>
      <c r="R8" s="42">
        <f t="shared" si="5"/>
        <v>1.0499999999999998</v>
      </c>
      <c r="S8" s="30">
        <f t="shared" si="6"/>
        <v>0.12862500000000002</v>
      </c>
      <c r="T8" s="30">
        <f t="shared" si="7"/>
        <v>-2.0825000000000005</v>
      </c>
      <c r="U8" s="31">
        <f t="shared" si="8"/>
        <v>-6.1764705882352937E-2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-1</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2.4E-2</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2.4E-2</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2.4E-2</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2.4E-2</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2.4E-2</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Entry'!E6</f>
        <v>133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133</v>
      </c>
      <c r="P7" s="42">
        <f t="shared" ref="P7:P15" si="4">C7</f>
        <v>1</v>
      </c>
      <c r="Q7" s="42">
        <f>C6-C7</f>
        <v>1114</v>
      </c>
      <c r="R7" s="42">
        <f t="shared" ref="R7:R15" si="5">SUM(N7:Q7)</f>
        <v>1248</v>
      </c>
      <c r="S7" s="30">
        <f t="shared" ref="S7:S15" si="6">R7*((((N7*Q7)-(O7*P7))^2))</f>
        <v>22075872</v>
      </c>
      <c r="T7" s="30">
        <f t="shared" ref="T7:T15" si="7">(N7+O7)*(P7+Q7)*(N7+P7)*(O7+Q7)</f>
        <v>184923865</v>
      </c>
      <c r="U7" s="31">
        <f t="shared" ref="U7:U15" si="8">IF((S7&gt;0),S7/T7,"- -")</f>
        <v>0.11937816679312863</v>
      </c>
    </row>
    <row r="8" spans="2:21" ht="18" customHeight="1" x14ac:dyDescent="0.25">
      <c r="B8" s="32" t="str">
        <f>'Data Entry'!A8</f>
        <v>3. Refer to Juvenile Court</v>
      </c>
      <c r="C8" s="33">
        <f>'Data Entry'!C8</f>
        <v>7</v>
      </c>
      <c r="D8" s="34">
        <f>IF((AND(C67&gt;0,C8&gt;0)),(C8/C67),0)</f>
        <v>700</v>
      </c>
      <c r="E8" s="33">
        <f>'Data Entry'!E8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7</v>
      </c>
      <c r="Q8" s="42">
        <f>(C$67*L67)-C8</f>
        <v>-6</v>
      </c>
      <c r="R8" s="42">
        <f t="shared" si="5"/>
        <v>1.0499999999999998</v>
      </c>
      <c r="S8" s="30">
        <f t="shared" si="6"/>
        <v>2.8586250000000004</v>
      </c>
      <c r="T8" s="30">
        <f t="shared" si="7"/>
        <v>-3.5775000000000032</v>
      </c>
      <c r="U8" s="31">
        <f t="shared" si="8"/>
        <v>-0.79905660377358434</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7.0000000000000009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7.0000000000000009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2</v>
      </c>
      <c r="P11" s="42">
        <f t="shared" si="4"/>
        <v>4</v>
      </c>
      <c r="Q11" s="42">
        <f>(C$68*L68)-C11</f>
        <v>3.0000000000000009</v>
      </c>
      <c r="R11" s="42">
        <f t="shared" si="5"/>
        <v>9</v>
      </c>
      <c r="S11" s="30">
        <f t="shared" si="6"/>
        <v>576</v>
      </c>
      <c r="T11" s="30">
        <f t="shared" si="7"/>
        <v>280.00000000000011</v>
      </c>
      <c r="U11" s="31">
        <f t="shared" si="8"/>
        <v>2.0571428571428565</v>
      </c>
    </row>
    <row r="12" spans="2:21" ht="18" customHeight="1" x14ac:dyDescent="0.25">
      <c r="B12" s="32" t="str">
        <f>'Data Entry'!A12</f>
        <v>7. Cases Resulting in Delinquent Findings</v>
      </c>
      <c r="C12" s="33">
        <f>'Data Entry'!C12</f>
        <v>4</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Entry'!E13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5</v>
      </c>
      <c r="Q13" s="42">
        <f>(C70*L70)-C13</f>
        <v>-1</v>
      </c>
      <c r="R13" s="42">
        <f t="shared" si="5"/>
        <v>4</v>
      </c>
      <c r="S13" s="30">
        <f t="shared" si="6"/>
        <v>256</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0.13300000000000001</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0.02</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0.13300000000000001</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0.02</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0.13300000000000001</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0.02</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0.13300000000000001</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0.02</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0.13300000000000001</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0.02</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1114</v>
      </c>
      <c r="R7" s="42">
        <f t="shared" ref="R7:R15" si="5">SUM(N7:Q7)</f>
        <v>1115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700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-6</v>
      </c>
      <c r="R8" s="42">
        <f t="shared" si="5"/>
        <v>1.0499999999999998</v>
      </c>
      <c r="S8" s="30">
        <f t="shared" si="6"/>
        <v>0.12862500000000002</v>
      </c>
      <c r="T8" s="30">
        <f t="shared" si="7"/>
        <v>-2.0825000000000005</v>
      </c>
      <c r="U8" s="31">
        <f t="shared" si="8"/>
        <v>-6.1764705882352937E-2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3.0000000000000009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-1</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0</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0</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0</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0</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0</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Leelanau</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1115</v>
      </c>
      <c r="D6" s="34"/>
      <c r="E6" s="33">
        <f>'Data Entry'!H6</f>
        <v>83</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0.89686098654708524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83</v>
      </c>
      <c r="P7" s="42">
        <f t="shared" ref="P7:P15" si="4">C7</f>
        <v>1</v>
      </c>
      <c r="Q7" s="42">
        <f>C6-C7</f>
        <v>1114</v>
      </c>
      <c r="R7" s="42">
        <f t="shared" ref="R7:R15" si="5">SUM(N7:Q7)</f>
        <v>1198</v>
      </c>
      <c r="S7" s="30">
        <f t="shared" ref="S7:S15" si="6">R7*((((N7*Q7)-(O7*P7))^2))</f>
        <v>8253022</v>
      </c>
      <c r="T7" s="30">
        <f t="shared" ref="T7:T15" si="7">(N7+O7)*(P7+Q7)*(N7+P7)*(O7+Q7)</f>
        <v>110776365</v>
      </c>
      <c r="U7" s="31">
        <f t="shared" ref="U7:U15" si="8">IF((S7&gt;0),S7/T7,"- -")</f>
        <v>7.4501650239200398E-2</v>
      </c>
    </row>
    <row r="8" spans="2:21" ht="18" customHeight="1" x14ac:dyDescent="0.25">
      <c r="B8" s="32" t="str">
        <f>'Data Entry'!A8</f>
        <v>3. Refer to Juvenile Court</v>
      </c>
      <c r="C8" s="33">
        <f>'Data Entry'!C8</f>
        <v>7</v>
      </c>
      <c r="D8" s="34">
        <f>IF((AND(C67&gt;0,C8&gt;0)),(C8/C67),0)</f>
        <v>700</v>
      </c>
      <c r="E8" s="33">
        <f>'Data Entry'!H8</f>
        <v>4</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-3.95</v>
      </c>
      <c r="P8" s="42">
        <f t="shared" si="4"/>
        <v>7</v>
      </c>
      <c r="Q8" s="42">
        <f>(C$67*L67)-C8</f>
        <v>-6</v>
      </c>
      <c r="R8" s="42">
        <f t="shared" si="5"/>
        <v>1.0499999999999998</v>
      </c>
      <c r="S8" s="30">
        <f t="shared" si="6"/>
        <v>13.988625000000015</v>
      </c>
      <c r="T8" s="30">
        <f t="shared" si="7"/>
        <v>-5.4724999999999806</v>
      </c>
      <c r="U8" s="31">
        <f t="shared" si="8"/>
        <v>-2.5561671996345483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7.0000000000000009</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7.0000000000000009</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57.142857142857139</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4</v>
      </c>
      <c r="P11" s="42">
        <f t="shared" si="4"/>
        <v>4</v>
      </c>
      <c r="Q11" s="42">
        <f>(C$68*L68)-C11</f>
        <v>3.0000000000000009</v>
      </c>
      <c r="R11" s="42">
        <f t="shared" si="5"/>
        <v>11</v>
      </c>
      <c r="S11" s="30">
        <f t="shared" si="6"/>
        <v>2816</v>
      </c>
      <c r="T11" s="30">
        <f t="shared" si="7"/>
        <v>784.00000000000023</v>
      </c>
      <c r="U11" s="31">
        <f t="shared" si="8"/>
        <v>3.5918367346938767</v>
      </c>
    </row>
    <row r="12" spans="2:21" ht="18" customHeight="1" x14ac:dyDescent="0.25">
      <c r="B12" s="32" t="str">
        <f>'Data Entry'!A12</f>
        <v>7. Cases Resulting in Delinquent Findings</v>
      </c>
      <c r="C12" s="33">
        <f>'Data Entry'!C12</f>
        <v>4</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0</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5</v>
      </c>
      <c r="D13" s="34">
        <f>IF(((AND(C70&gt;0,C13&gt;0))),(C13/(C70)),0)</f>
        <v>125</v>
      </c>
      <c r="E13" s="33">
        <f>'Data Entry'!H13</f>
        <v>3</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3</v>
      </c>
      <c r="O13" s="42">
        <f>(D70*L70)-E13</f>
        <v>-3</v>
      </c>
      <c r="P13" s="42">
        <f t="shared" si="4"/>
        <v>5</v>
      </c>
      <c r="Q13" s="42">
        <f>(C70*L70)-C13</f>
        <v>-1</v>
      </c>
      <c r="R13" s="42">
        <f t="shared" si="5"/>
        <v>4</v>
      </c>
      <c r="S13" s="30">
        <f t="shared" si="6"/>
        <v>576</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1.115</v>
      </c>
      <c r="D42" s="56">
        <f>E6/1000</f>
        <v>8.3000000000000004E-2</v>
      </c>
      <c r="E42" s="56">
        <f>MAX(C42:D42)</f>
        <v>1.115</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7.0000000000000007E-2</v>
      </c>
      <c r="D44" s="56">
        <f>E8/100</f>
        <v>0.04</v>
      </c>
      <c r="E44" s="56">
        <f>MAX(C44:D44,0)</f>
        <v>7.0000000000000007E-2</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1.115</v>
      </c>
      <c r="D48" s="56">
        <f>D42</f>
        <v>8.3000000000000004E-2</v>
      </c>
      <c r="E48" s="56">
        <f>MAX(C48:D48)</f>
        <v>1.115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0.04</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1.115</v>
      </c>
      <c r="D54" s="56">
        <f>D48</f>
        <v>8.3000000000000004E-2</v>
      </c>
      <c r="E54" s="56">
        <f>MAX(C54:D54)</f>
        <v>1.115</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0.04</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1.115</v>
      </c>
      <c r="D60" s="56">
        <f>D54</f>
        <v>8.3000000000000004E-2</v>
      </c>
      <c r="E60" s="56">
        <f>MAX(C60:D60)</f>
        <v>1.115</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0.04</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1.115</v>
      </c>
      <c r="D66" s="56">
        <f>D60</f>
        <v>8.3000000000000004E-2</v>
      </c>
      <c r="E66" s="56">
        <f>MAX(C66:D66)</f>
        <v>1.115</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0.04</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U47JMPN4QEAR-1806752177-30190</_dlc_DocId>
    <_dlc_DocIdUrl xmlns="ac3811b5-0f3e-49e2-ba69-f2ffa0c782af">
      <Url>https://michiganphi.sharepoint.com/sites/CMDMC/_layouts/15/DocIdRedir.aspx?ID=U47JMPN4QEAR-1806752177-30190</Url>
      <Description>U47JMPN4QEAR-1806752177-30190</Description>
    </_dlc_DocIdUrl>
  </documentManagement>
</p:properties>
</file>

<file path=customXml/itemProps1.xml><?xml version="1.0" encoding="utf-8"?>
<ds:datastoreItem xmlns:ds="http://schemas.openxmlformats.org/officeDocument/2006/customXml" ds:itemID="{727C97DD-0036-407F-B696-00249DD842A3}"/>
</file>

<file path=customXml/itemProps2.xml><?xml version="1.0" encoding="utf-8"?>
<ds:datastoreItem xmlns:ds="http://schemas.openxmlformats.org/officeDocument/2006/customXml" ds:itemID="{72FAAFBB-A5C3-4114-94FE-0A04853CA3E5}"/>
</file>

<file path=customXml/itemProps3.xml><?xml version="1.0" encoding="utf-8"?>
<ds:datastoreItem xmlns:ds="http://schemas.openxmlformats.org/officeDocument/2006/customXml" ds:itemID="{2D30C31A-AE2F-42CE-A482-9EFC84B712EB}"/>
</file>

<file path=customXml/itemProps4.xml><?xml version="1.0" encoding="utf-8"?>
<ds:datastoreItem xmlns:ds="http://schemas.openxmlformats.org/officeDocument/2006/customXml" ds:itemID="{71809E10-A64B-4887-94A7-8BFAC6E9B2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7f49c26f-7ef9-44a0-b2d3-4dc845e7c28e</vt:lpwstr>
  </property>
</Properties>
</file>