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4FA06F7B-F59B-40EF-B21E-A4D8F0D0E403}" xr6:coauthVersionLast="47" xr6:coauthVersionMax="47" xr10:uidLastSave="{6C7FB1DF-F177-4894-8E60-4AF8D817458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6"/>
  <c r="F27" i="6"/>
  <c r="F27" i="5"/>
  <c r="M66" i="5"/>
  <c r="F27" i="3"/>
  <c r="M66" i="3"/>
  <c r="F27" i="4"/>
  <c r="M66" i="4"/>
  <c r="M66" i="7"/>
  <c r="F27" i="7"/>
  <c r="F27" i="2"/>
  <c r="M66" i="2"/>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D49" i="7" s="1"/>
  <c r="E46" i="3"/>
  <c r="L52" i="3" s="1"/>
  <c r="E44" i="6"/>
  <c r="B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B52" i="3"/>
  <c r="C50" i="6"/>
  <c r="L49" i="7"/>
  <c r="B49" i="7"/>
  <c r="D50" i="6"/>
  <c r="E50" i="6" s="1"/>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6" i="5" l="1"/>
  <c r="L51" i="2"/>
  <c r="D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B56" i="8"/>
  <c r="E58" i="8"/>
  <c r="L64" i="8" s="1"/>
  <c r="C64" i="5"/>
  <c r="E64" i="5" s="1"/>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B64" i="8"/>
  <c r="C64" i="8"/>
  <c r="D64" i="8"/>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B70" i="8" s="1"/>
  <c r="M70" i="8" s="1"/>
  <c r="D63" i="8"/>
  <c r="E63" i="3"/>
  <c r="C69" i="3" s="1"/>
  <c r="D12" i="3" s="1"/>
  <c r="B70" i="3"/>
  <c r="M70" i="3" s="1"/>
  <c r="D70" i="6"/>
  <c r="F13" i="6" s="1"/>
  <c r="L69" i="7"/>
  <c r="C69" i="7"/>
  <c r="D12" i="7" s="1"/>
  <c r="C63" i="8"/>
  <c r="L63" i="8"/>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E63" i="8" l="1"/>
  <c r="D69" i="8" s="1"/>
  <c r="L69" i="3"/>
  <c r="Q12" i="3" s="1"/>
  <c r="D70" i="8"/>
  <c r="F13" i="8" s="1"/>
  <c r="L70" i="8"/>
  <c r="O14" i="8" s="1"/>
  <c r="F14" i="6"/>
  <c r="O14" i="6"/>
  <c r="B69" i="3"/>
  <c r="M69" i="3" s="1"/>
  <c r="B69" i="6"/>
  <c r="M69" i="6" s="1"/>
  <c r="D69" i="3"/>
  <c r="E69" i="3" s="1"/>
  <c r="F14" i="3"/>
  <c r="E70" i="6"/>
  <c r="C70" i="8"/>
  <c r="F33" i="3"/>
  <c r="F34" i="3"/>
  <c r="D13" i="3"/>
  <c r="E69" i="7"/>
  <c r="Q15" i="7"/>
  <c r="D15" i="7"/>
  <c r="E70" i="3"/>
  <c r="O13" i="6"/>
  <c r="O13" i="3"/>
  <c r="Q12" i="7"/>
  <c r="C69" i="6"/>
  <c r="D12" i="6" s="1"/>
  <c r="Q14" i="3"/>
  <c r="F12" i="7"/>
  <c r="O12" i="7"/>
  <c r="D14" i="6"/>
  <c r="O15" i="7"/>
  <c r="Q13" i="3"/>
  <c r="Q13" i="6"/>
  <c r="Q14" i="6"/>
  <c r="O14" i="3"/>
  <c r="R14" i="3" s="1"/>
  <c r="S14" i="3" s="1"/>
  <c r="U14" i="3" s="1"/>
  <c r="J14" i="3" s="1"/>
  <c r="M14" i="3" s="1"/>
  <c r="G14" i="3" s="1"/>
  <c r="I15" i="16" s="1"/>
  <c r="D69" i="6"/>
  <c r="F12" i="6" s="1"/>
  <c r="T10" i="3"/>
  <c r="K10" i="4"/>
  <c r="F8" i="7"/>
  <c r="T9" i="4"/>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K9" i="4"/>
  <c r="R9" i="4"/>
  <c r="S9" i="4" s="1"/>
  <c r="U9" i="4" s="1"/>
  <c r="J9" i="4" s="1"/>
  <c r="M9" i="4" s="1"/>
  <c r="G9" i="4" s="1"/>
  <c r="G10" i="16" s="1"/>
  <c r="F32" i="2"/>
  <c r="O13" i="8"/>
  <c r="R10" i="3"/>
  <c r="S10" i="3" s="1"/>
  <c r="U10" i="3" s="1"/>
  <c r="J10" i="3" s="1"/>
  <c r="M10" i="3" s="1"/>
  <c r="G10" i="3" s="1"/>
  <c r="I11" i="16" s="1"/>
  <c r="F8" i="2"/>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F34" i="8"/>
  <c r="R14" i="5"/>
  <c r="S14" i="5" s="1"/>
  <c r="U14" i="5" s="1"/>
  <c r="J14" i="5" s="1"/>
  <c r="M14" i="5" s="1"/>
  <c r="F33" i="8"/>
  <c r="C70" i="2"/>
  <c r="D14" i="2" s="1"/>
  <c r="T14" i="5"/>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6" l="1"/>
  <c r="S14" i="6" s="1"/>
  <c r="Q13" i="8"/>
  <c r="U13" i="4"/>
  <c r="J13" i="4" s="1"/>
  <c r="O15" i="3"/>
  <c r="K15" i="3" s="1"/>
  <c r="O12" i="3"/>
  <c r="R12" i="3" s="1"/>
  <c r="S12" i="3" s="1"/>
  <c r="F35" i="6"/>
  <c r="F32" i="3"/>
  <c r="F35" i="3"/>
  <c r="F32" i="6"/>
  <c r="K13" i="3"/>
  <c r="T12" i="7"/>
  <c r="F12" i="3"/>
  <c r="F15" i="3"/>
  <c r="U14" i="4"/>
  <c r="J14" i="4" s="1"/>
  <c r="N30" i="4" s="1"/>
  <c r="Q14" i="8"/>
  <c r="K14" i="8" s="1"/>
  <c r="D14" i="8"/>
  <c r="D13" i="8"/>
  <c r="E70" i="8"/>
  <c r="D15" i="6"/>
  <c r="K12" i="7"/>
  <c r="R13" i="8"/>
  <c r="S13" i="8" s="1"/>
  <c r="T13" i="6"/>
  <c r="R13" i="6"/>
  <c r="S13" i="6" s="1"/>
  <c r="U13" i="6" s="1"/>
  <c r="J13" i="6" s="1"/>
  <c r="M13" i="6" s="1"/>
  <c r="G13" i="6" s="1"/>
  <c r="G13" i="9" s="1"/>
  <c r="T14" i="6"/>
  <c r="K13" i="6"/>
  <c r="K14" i="6"/>
  <c r="O12" i="6"/>
  <c r="T15" i="7"/>
  <c r="U10" i="4"/>
  <c r="J10" i="4" s="1"/>
  <c r="M10" i="4" s="1"/>
  <c r="G10" i="4" s="1"/>
  <c r="G11" i="16" s="1"/>
  <c r="R15" i="7"/>
  <c r="S15" i="7" s="1"/>
  <c r="U15" i="7" s="1"/>
  <c r="J15" i="7" s="1"/>
  <c r="R12" i="7"/>
  <c r="S12" i="7" s="1"/>
  <c r="T13" i="8"/>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Q13" i="2"/>
  <c r="U9" i="3"/>
  <c r="J9" i="3" s="1"/>
  <c r="L9" i="3" s="1"/>
  <c r="N30" i="5"/>
  <c r="L14" i="5"/>
  <c r="Q15" i="16" s="1"/>
  <c r="L13" i="5"/>
  <c r="Q14" i="16" s="1"/>
  <c r="K13" i="7"/>
  <c r="T8" i="2"/>
  <c r="U8" i="2" s="1"/>
  <c r="J8" i="2" s="1"/>
  <c r="M11" i="4"/>
  <c r="G11" i="4" s="1"/>
  <c r="T14" i="7"/>
  <c r="U14" i="7" s="1"/>
  <c r="J14" i="7" s="1"/>
  <c r="K14" i="7"/>
  <c r="N30" i="3"/>
  <c r="E10" i="9"/>
  <c r="I11" i="13"/>
  <c r="D9" i="9"/>
  <c r="G10" i="13"/>
  <c r="E14" i="9"/>
  <c r="I15"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5" i="3" l="1"/>
  <c r="T12" i="3"/>
  <c r="K12" i="3"/>
  <c r="U12" i="7"/>
  <c r="J12" i="7" s="1"/>
  <c r="L12" i="7" s="1"/>
  <c r="L14" i="4"/>
  <c r="O15" i="16" s="1"/>
  <c r="T14" i="8"/>
  <c r="R14" i="8"/>
  <c r="S14" i="8" s="1"/>
  <c r="M14" i="4"/>
  <c r="G14" i="4" s="1"/>
  <c r="G15" i="16" s="1"/>
  <c r="U13" i="8"/>
  <c r="J13" i="8" s="1"/>
  <c r="M13" i="8" s="1"/>
  <c r="G13" i="8" s="1"/>
  <c r="R12" i="6"/>
  <c r="S12" i="6" s="1"/>
  <c r="U12" i="6" s="1"/>
  <c r="J12" i="6" s="1"/>
  <c r="M12" i="6" s="1"/>
  <c r="G12" i="6" s="1"/>
  <c r="M14" i="13"/>
  <c r="G11" i="13"/>
  <c r="K12" i="6"/>
  <c r="L10" i="4"/>
  <c r="O11" i="16" s="1"/>
  <c r="D10" i="9"/>
  <c r="K15" i="6"/>
  <c r="L15" i="7"/>
  <c r="S16" i="16" s="1"/>
  <c r="U13" i="7"/>
  <c r="J13" i="7" s="1"/>
  <c r="M13" i="7" s="1"/>
  <c r="T12" i="6"/>
  <c r="L13" i="6"/>
  <c r="R14" i="16" s="1"/>
  <c r="M15" i="7"/>
  <c r="L13" i="3"/>
  <c r="P14" i="16" s="1"/>
  <c r="R15" i="6"/>
  <c r="S15" i="6" s="1"/>
  <c r="U15" i="6" s="1"/>
  <c r="J15" i="6" s="1"/>
  <c r="M15" i="6" s="1"/>
  <c r="G15" i="6" s="1"/>
  <c r="T15" i="6"/>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U10" i="13"/>
  <c r="N11" i="9"/>
  <c r="T15" i="5"/>
  <c r="W14" i="13"/>
  <c r="L15" i="3"/>
  <c r="P16" i="16" s="1"/>
  <c r="N14" i="9"/>
  <c r="M9" i="3"/>
  <c r="G9" i="3" s="1"/>
  <c r="I10" i="13" s="1"/>
  <c r="I14" i="13"/>
  <c r="I14" i="16"/>
  <c r="G12" i="13"/>
  <c r="G12" i="16"/>
  <c r="N9" i="9"/>
  <c r="P10" i="16"/>
  <c r="M14" i="7"/>
  <c r="N30" i="7"/>
  <c r="L14" i="7"/>
  <c r="S15" i="16" s="1"/>
  <c r="L8" i="7"/>
  <c r="S9" i="16" s="1"/>
  <c r="O13" i="9"/>
  <c r="M9"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5" i="13" l="1"/>
  <c r="Q15" i="9"/>
  <c r="S13" i="16"/>
  <c r="Q12" i="9"/>
  <c r="M12" i="7"/>
  <c r="U13" i="2"/>
  <c r="J13" i="2" s="1"/>
  <c r="M13" i="2" s="1"/>
  <c r="G13" i="2" s="1"/>
  <c r="E14" i="16" s="1"/>
  <c r="M14" i="9"/>
  <c r="Y13" i="13"/>
  <c r="U14" i="8"/>
  <c r="J14" i="8" s="1"/>
  <c r="N30" i="8" s="1"/>
  <c r="G15" i="13"/>
  <c r="D14" i="9"/>
  <c r="U11" i="13"/>
  <c r="M10" i="9"/>
  <c r="Y16" i="13"/>
  <c r="U14" i="2"/>
  <c r="J14" i="2" s="1"/>
  <c r="M14" i="2" s="1"/>
  <c r="G14" i="2" s="1"/>
  <c r="E15" i="16" s="1"/>
  <c r="U11" i="7"/>
  <c r="J11" i="7" s="1"/>
  <c r="M11" i="7" s="1"/>
  <c r="L13" i="8"/>
  <c r="L12" i="6"/>
  <c r="R13" i="16" s="1"/>
  <c r="P13" i="9"/>
  <c r="L15" i="6"/>
  <c r="R16" i="16" s="1"/>
  <c r="N13" i="9"/>
  <c r="K14" i="16"/>
  <c r="I13" i="9"/>
  <c r="Q14" i="13"/>
  <c r="L13" i="7"/>
  <c r="S14" i="16" s="1"/>
  <c r="X14" i="13"/>
  <c r="U12" i="8"/>
  <c r="J12" i="8" s="1"/>
  <c r="M12" i="8" s="1"/>
  <c r="G12" i="8" s="1"/>
  <c r="K13" i="16" s="1"/>
  <c r="V14" i="13"/>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3" i="2" l="1"/>
  <c r="N14" i="16" s="1"/>
  <c r="P12" i="9"/>
  <c r="M14" i="8"/>
  <c r="G14" i="8" s="1"/>
  <c r="K15" i="16" s="1"/>
  <c r="L14" i="8"/>
  <c r="T15" i="16" s="1"/>
  <c r="L14" i="2"/>
  <c r="N15" i="16" s="1"/>
  <c r="L11" i="7"/>
  <c r="S12" i="16" s="1"/>
  <c r="C14" i="9"/>
  <c r="N30" i="2"/>
  <c r="E15" i="13"/>
  <c r="T14" i="16"/>
  <c r="Z14" i="13"/>
  <c r="R13" i="9"/>
  <c r="X13" i="13"/>
  <c r="X16" i="13"/>
  <c r="P15" i="9"/>
  <c r="M10" i="7"/>
  <c r="C13" i="9"/>
  <c r="Y14" i="13"/>
  <c r="E14" i="13"/>
  <c r="Q13" i="9"/>
  <c r="L12" i="8"/>
  <c r="T13" i="16" s="1"/>
  <c r="P8" i="9"/>
  <c r="X9" i="13"/>
  <c r="Q10" i="9"/>
  <c r="Y11" i="13"/>
  <c r="O15" i="9"/>
  <c r="W16" i="13"/>
  <c r="L10" i="9"/>
  <c r="X12" i="13"/>
  <c r="L13" i="9"/>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T14" i="13" l="1"/>
  <c r="Q11" i="9"/>
  <c r="R14" i="9"/>
  <c r="Z15" i="13"/>
  <c r="R12" i="9"/>
  <c r="Q15" i="13"/>
  <c r="Y12" i="13"/>
  <c r="I14" i="9"/>
  <c r="T15" i="13"/>
  <c r="L14" i="9"/>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<sst xmlns="http://schemas.openxmlformats.org/spreadsheetml/2006/main" count="654" uniqueCount="141">
  <si>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</si>
  <si>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</si>
  <si>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</si>
  <si>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</si>
  <si>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</si>
  <si>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</si>
  <si>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</si>
  <si>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</si>
  <si>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</si>
  <si>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</si>
  <si>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</si>
  <si>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</si>
  <si>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</si>
  <si>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</si>
  <si>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</si>
  <si>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</si>
  <si>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</si>
  <si>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</si>
  <si>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</si>
  <si>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</si>
  <si>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</si>
  <si>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</si>
  <si>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</si>
  <si>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</si>
  <si>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</si>
  <si>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</si>
  <si>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</si>
  <si>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</si>
  <si>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</si>
  <si>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</si>
  <si>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</si>
  <si>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</si>
  <si>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</si>
  <si>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</si>
  <si>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</si>
  <si>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</si>
  <si>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</si>
  <si>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</si>
  <si>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</si>
  <si>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</si>
  <si>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</si>
  <si>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</si>
  <si>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</si>
  <si>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</si>
  <si>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</si>
  <si>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</si>
  <si>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</si>
  <si>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</si>
  <si>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</si>
  <si>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</si>
  <si>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</si>
  <si>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</si>
  <si>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</si>
  <si>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</si>
  <si>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</si>
  <si>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</si>
  <si>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</si>
  <si>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</si>
  <si>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</si>
  <si>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</si>
  <si>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</si>
  <si>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</si>
  <si>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</si>
  <si>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</si>
  <si>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</si>
  <si>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</si>
  <si>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</si>
  <si>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</si>
  <si>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</si>
  <si>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</si>
  <si>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</si>
  <si>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</si>
  <si>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</si>
  <si>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</si>
  <si>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</si>
  <si>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</si>
  <si>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</si>
  <si>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</si>
  <si>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</si>
  <si>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</si>
  <si>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</si>
  <si>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</si>
  <si>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</si>
  <si>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</si>
  <si>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</si>
  <si>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</si>
  <si>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</si>
  <si>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</si>
  <si>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</si>
  <si>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</si>
  <si>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</si>
  <si>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</si>
  <si>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</si>
  <si>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</si>
  <si>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</si>
  <si>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</si>
  <si>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</si>
  <si>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</si>
  <si>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</si>
  <si>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</si>
  <si>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</si>
  <si>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</si>
  <si>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</si>
  <si>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</si>
  <si>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</si>
  <si>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</si>
  <si>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</si>
  <si>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</si>
  <si>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</si>
  <si>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</si>
  <si>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</si>
  <si>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</si>
  <si>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</si>
  <si>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</si>
  <si>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</si>
  <si>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</si>
  <si>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</si>
  <si>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</si>
  <si>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</si>
  <si>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</si>
  <si>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</si>
  <si>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</si>
  <si>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</si>
  <si>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</si>
  <si>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</si>
  <si>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</si>
  <si>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</si>
  <si>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</si>
  <si>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</si>
  <si>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</si>
  <si>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</si>
  <si>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</si>
  <si>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</si>
  <si>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</si>
  <si>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</si>
  <si>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</si>
  <si>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Lapeer</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</si>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</sst>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Lapeer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N=26</c:v>
                </c:pt>
                <c:pt idx="2">
                  <c:v>Delinquent Findings, total N=31</c:v>
                </c:pt>
                <c:pt idx="3">
                  <c:v>Petitions, total N=34</c:v>
                </c:pt>
                <c:pt idx="4">
                  <c:v>Detentions, total N=1</c:v>
                </c:pt>
                <c:pt idx="5">
                  <c:v>Referrals, total N=74</c:v>
                </c:pt>
                <c:pt idx="6">
                  <c:v>Arrests, total N=21</c:v>
                </c:pt>
                <c:pt idx="7">
                  <c:v>Population, total N=8588</c:v>
                </c:pt>
              </c:strCache>
            </c:strRef>
          </c:cat>
          <c:val>
            <c:numRef>
              <c:f>'Stacked 100%'!$B$7:$B$14</c:f>
              <c:numCache>
                <c:formatCode>0%</c:formatCode>
                <c:ptCount val="8"/>
                <c:pt idx="0">
                  <c:v>0</c:v>
                </c:pt>
                <c:pt idx="1">
                  <c:v>0</c:v>
                </c:pt>
                <c:pt idx="2">
                  <c:v>3.2258064516129031E-2</c:v>
                </c:pt>
                <c:pt idx="3">
                  <c:v>2.9411764705882353E-2</c:v>
                </c:pt>
                <c:pt idx="4">
                  <c:v>0</c:v>
                </c:pt>
                <c:pt idx="5">
                  <c:v>4.0540540540540543E-2</c:v>
                </c:pt>
                <c:pt idx="6">
                  <c:v>4.7619047619047616E-2</c:v>
                </c:pt>
                <c:pt idx="7">
                  <c:v>1.9212855146716348E-2</c:v>
                </c:pt>
              </c:numCache>
            </c:numRef>
          </c:val>
          <c:extLst>
            <c:ext xmlns:c16="http://schemas.microsoft.com/office/drawing/2014/chart" uri="{C3380CC4-5D6E-409C-BE32-E72D297353CC}">
              <c16:uniqueId val="{00000000-246B-46B6-A291-1B2AA24CF07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N=26</c:v>
                </c:pt>
                <c:pt idx="2">
                  <c:v>Delinquent Findings, total N=31</c:v>
                </c:pt>
                <c:pt idx="3">
                  <c:v>Petitions, total N=34</c:v>
                </c:pt>
                <c:pt idx="4">
                  <c:v>Detentions, total N=1</c:v>
                </c:pt>
                <c:pt idx="5">
                  <c:v>Referrals, total N=74</c:v>
                </c:pt>
                <c:pt idx="6">
                  <c:v>Arrests, total N=21</c:v>
                </c:pt>
                <c:pt idx="7">
                  <c:v>Population, total N=8588</c:v>
                </c:pt>
              </c:strCache>
            </c:strRef>
          </c:cat>
          <c:val>
            <c:numRef>
              <c:f>'Stacked 100%'!$C$7:$C$14</c:f>
              <c:numCache>
                <c:formatCode>0%</c:formatCode>
                <c:ptCount val="8"/>
                <c:pt idx="0">
                  <c:v>0</c:v>
                </c:pt>
                <c:pt idx="1">
                  <c:v>0</c:v>
                </c:pt>
                <c:pt idx="2">
                  <c:v>0</c:v>
                </c:pt>
                <c:pt idx="3">
                  <c:v>0</c:v>
                </c:pt>
                <c:pt idx="4">
                  <c:v>0</c:v>
                </c:pt>
                <c:pt idx="5">
                  <c:v>1.3513513513513514E-2</c:v>
                </c:pt>
                <c:pt idx="6">
                  <c:v>4.7619047619047616E-2</c:v>
                </c:pt>
                <c:pt idx="7">
                  <c:v>7.6502095947834192E-2</c:v>
                </c:pt>
              </c:numCache>
            </c:numRef>
          </c:val>
          <c:extLst>
            <c:ext xmlns:c16="http://schemas.microsoft.com/office/drawing/2014/chart" uri="{C3380CC4-5D6E-409C-BE32-E72D297353CC}">
              <c16:uniqueId val="{00000001-246B-46B6-A291-1B2AA24CF07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N=26</c:v>
                </c:pt>
                <c:pt idx="2">
                  <c:v>Delinquent Findings, total N=31</c:v>
                </c:pt>
                <c:pt idx="3">
                  <c:v>Petitions, total N=34</c:v>
                </c:pt>
                <c:pt idx="4">
                  <c:v>Detentions, total N=1</c:v>
                </c:pt>
                <c:pt idx="5">
                  <c:v>Referrals, total N=74</c:v>
                </c:pt>
                <c:pt idx="6">
                  <c:v>Arrests, total N=21</c:v>
                </c:pt>
                <c:pt idx="7">
                  <c:v>Population, total N=8588</c:v>
                </c:pt>
              </c:strCache>
            </c:strRef>
          </c:cat>
          <c:val>
            <c:numRef>
              <c:f>'Stacked 100%'!$H$7:$H$14</c:f>
              <c:numCache>
                <c:formatCode>0%</c:formatCode>
                <c:ptCount val="8"/>
                <c:pt idx="0">
                  <c:v>0</c:v>
                </c:pt>
                <c:pt idx="1">
                  <c:v>0</c:v>
                </c:pt>
                <c:pt idx="2">
                  <c:v>1.0405827263267429E-3</c:v>
                </c:pt>
                <c:pt idx="3">
                  <c:v>8.6505190311418688E-4</c:v>
                </c:pt>
                <c:pt idx="4">
                  <c:v>0</c:v>
                </c:pt>
                <c:pt idx="5">
                  <c:v>3.652300949598247E-4</c:v>
                </c:pt>
                <c:pt idx="6">
                  <c:v>0</c:v>
                </c:pt>
                <c:pt idx="7">
                  <c:v>2.210057295532007E-6</c:v>
                </c:pt>
              </c:numCache>
            </c:numRef>
          </c:val>
          <c:extLst>
            <c:ext xmlns:c16="http://schemas.microsoft.com/office/drawing/2014/chart" uri="{C3380CC4-5D6E-409C-BE32-E72D297353CC}">
              <c16:uniqueId val="{00000002-246B-46B6-A291-1B2AA24CF07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N=26</c:v>
                </c:pt>
                <c:pt idx="2">
                  <c:v>Delinquent Findings, total N=31</c:v>
                </c:pt>
                <c:pt idx="3">
                  <c:v>Petitions, total N=34</c:v>
                </c:pt>
                <c:pt idx="4">
                  <c:v>Detentions, total N=1</c:v>
                </c:pt>
                <c:pt idx="5">
                  <c:v>Referrals, total N=74</c:v>
                </c:pt>
                <c:pt idx="6">
                  <c:v>Arrests, total N=21</c:v>
                </c:pt>
                <c:pt idx="7">
                  <c:v>Population, total N=8588</c:v>
                </c:pt>
              </c:strCache>
            </c:strRef>
          </c:cat>
          <c:val>
            <c:numRef>
              <c:f>'Stacked 100%'!$I$7:$I$14</c:f>
              <c:numCache>
                <c:formatCode>0%</c:formatCode>
                <c:ptCount val="8"/>
                <c:pt idx="0">
                  <c:v>0</c:v>
                </c:pt>
                <c:pt idx="1">
                  <c:v>1</c:v>
                </c:pt>
                <c:pt idx="2">
                  <c:v>0.93548387096774188</c:v>
                </c:pt>
                <c:pt idx="3">
                  <c:v>0.94117647058823528</c:v>
                </c:pt>
                <c:pt idx="4">
                  <c:v>1</c:v>
                </c:pt>
                <c:pt idx="5">
                  <c:v>0.89189189189189189</c:v>
                </c:pt>
                <c:pt idx="6">
                  <c:v>0.90476190476190477</c:v>
                </c:pt>
                <c:pt idx="7">
                  <c:v>0.88530507685142057</c:v>
                </c:pt>
              </c:numCache>
            </c:numRef>
          </c:val>
          <c:extLst>
            <c:ext xmlns:c16="http://schemas.microsoft.com/office/drawing/2014/chart" uri="{C3380CC4-5D6E-409C-BE32-E72D297353CC}">
              <c16:uniqueId val="{00000003-246B-46B6-A291-1B2AA24CF07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N=26</c:v>
                </c:pt>
                <c:pt idx="2">
                  <c:v>Delinquent Findings, total N=31</c:v>
                </c:pt>
                <c:pt idx="3">
                  <c:v>Petitions, total N=34</c:v>
                </c:pt>
                <c:pt idx="4">
                  <c:v>Detentions, total N=1</c:v>
                </c:pt>
                <c:pt idx="5">
                  <c:v>Referrals, total N=74</c:v>
                </c:pt>
                <c:pt idx="6">
                  <c:v>Arrests, total N=21</c:v>
                </c:pt>
                <c:pt idx="7">
                  <c:v>Population, total N=8588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46B-46B6-A291-1B2AA24CF07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8588</v>
      </c>
      <c r="C6" s="11">
        <v>7603</v>
      </c>
      <c r="D6" s="11">
        <v>165</v>
      </c>
      <c r="E6" s="11">
        <v>657</v>
      </c>
      <c r="F6" s="11">
        <v>122</v>
      </c>
      <c r="G6" s="11"/>
      <c r="H6" s="11">
        <v>41</v>
      </c>
      <c r="I6" s="11"/>
      <c r="J6" s="91">
        <f>SUM(D6:I6)</f>
        <v>985</v>
      </c>
      <c r="K6" s="92"/>
    </row>
    <row r="7" spans="1:11" ht="15.75" customHeight="1" thickBot="1">
      <c r="A7" s="10" t="s">
        <v>8</v>
      </c>
      <c r="B7" s="11">
        <f t="shared" ref="B7:B15" si="0">SUM(C7:I7)+K7</f>
        <v>21</v>
      </c>
      <c r="C7" s="11">
        <v>19</v>
      </c>
      <c r="D7" s="11">
        <v>1</v>
      </c>
      <c r="E7" s="11">
        <v>1</v>
      </c>
      <c r="F7" s="11">
        <v>0</v>
      </c>
      <c r="G7" s="11">
        <v>0</v>
      </c>
      <c r="H7" s="11">
        <v>0</v>
      </c>
      <c r="I7" s="11"/>
      <c r="J7" s="91">
        <f t="shared" ref="J7:J15" si="1">SUM(D7:I7)</f>
        <v>2</v>
      </c>
      <c r="K7" s="92">
        <v>0</v>
      </c>
    </row>
    <row r="8" spans="1:11" ht="15.75" customHeight="1" thickBot="1">
      <c r="A8" s="10" t="s">
        <v>9</v>
      </c>
      <c r="B8" s="11">
        <f t="shared" si="0"/>
        <v>74</v>
      </c>
      <c r="C8" s="11">
        <v>66</v>
      </c>
      <c r="D8" s="11">
        <v>3</v>
      </c>
      <c r="E8" s="11">
        <v>1</v>
      </c>
      <c r="F8" s="11"/>
      <c r="G8" s="11"/>
      <c r="H8" s="11"/>
      <c r="I8" s="11">
        <v>2</v>
      </c>
      <c r="J8" s="91">
        <f t="shared" si="1"/>
        <v>6</v>
      </c>
      <c r="K8" s="92">
        <v>2</v>
      </c>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34</v>
      </c>
      <c r="C11" s="11">
        <v>32</v>
      </c>
      <c r="D11" s="11">
        <v>1</v>
      </c>
      <c r="E11" s="11"/>
      <c r="F11" s="11"/>
      <c r="G11" s="11"/>
      <c r="H11" s="11"/>
      <c r="I11" s="11">
        <v>1</v>
      </c>
      <c r="J11" s="91">
        <f t="shared" si="1"/>
        <v>2</v>
      </c>
      <c r="K11" s="92"/>
    </row>
    <row r="12" spans="1:11" ht="15.75" customHeight="1" thickBot="1">
      <c r="A12" s="10" t="s">
        <v>13</v>
      </c>
      <c r="B12" s="11">
        <f t="shared" si="0"/>
        <v>31</v>
      </c>
      <c r="C12" s="11">
        <v>29</v>
      </c>
      <c r="D12" s="11">
        <v>1</v>
      </c>
      <c r="E12" s="11"/>
      <c r="F12" s="11"/>
      <c r="G12" s="11"/>
      <c r="H12" s="11"/>
      <c r="I12" s="11">
        <v>1</v>
      </c>
      <c r="J12" s="91">
        <f t="shared" si="1"/>
        <v>2</v>
      </c>
      <c r="K12" s="92"/>
    </row>
    <row r="13" spans="1:11" ht="15.75" customHeight="1" thickBot="1">
      <c r="A13" s="10" t="s">
        <v>133</v>
      </c>
      <c r="B13" s="11">
        <f t="shared" si="0"/>
        <v>71</v>
      </c>
      <c r="C13" s="11">
        <v>64</v>
      </c>
      <c r="D13" s="11">
        <v>2</v>
      </c>
      <c r="E13" s="11">
        <v>1</v>
      </c>
      <c r="F13" s="11"/>
      <c r="G13" s="11"/>
      <c r="H13" s="11"/>
      <c r="I13" s="11">
        <v>2</v>
      </c>
      <c r="J13" s="91">
        <f t="shared" si="1"/>
        <v>5</v>
      </c>
      <c r="K13" s="92">
        <v>2</v>
      </c>
    </row>
    <row r="14" spans="1:11" ht="26.25" customHeight="1" thickBot="1">
      <c r="A14" s="10" t="s">
        <v>123</v>
      </c>
      <c r="B14" s="11">
        <f t="shared" si="0"/>
        <v>26</v>
      </c>
      <c r="C14" s="11">
        <v>26</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7603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2.4990135472839667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7584</v>
      </c>
      <c r="R7" s="42">
        <f t="shared" ref="R7:R15" si="5">SUM(N7:Q7)</f>
        <v>7603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66</v>
      </c>
      <c r="D8" s="34">
        <f>IF((AND(C67&gt;0,C8&gt;0)),(C8/C67),0)</f>
        <v>347.36842105263156</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66</v>
      </c>
      <c r="Q8" s="42">
        <f>(C$67*L67)-C8</f>
        <v>-47</v>
      </c>
      <c r="R8" s="42">
        <f t="shared" si="5"/>
        <v>19.049999999999997</v>
      </c>
      <c r="S8" s="30">
        <f t="shared" si="6"/>
        <v>22937.914499999981</v>
      </c>
      <c r="T8" s="30">
        <f t="shared" si="7"/>
        <v>-3162.1700000000028</v>
      </c>
      <c r="U8" s="31">
        <f t="shared" si="8"/>
        <v>-7.2538524178016868</v>
      </c>
    </row>
    <row r="9" spans="2:21" ht="18" customHeight="1">
      <c r="B9" s="32" t="str">
        <f>'Data Entry'!A9</f>
        <v xml:space="preserve">4. Cases Diverted </v>
      </c>
      <c r="C9" s="33">
        <f>'Data Entry'!C9</f>
        <v>1</v>
      </c>
      <c r="D9" s="34">
        <f>IF((AND(C68&gt;0,C9&gt;0)),((C9/C68)),0)</f>
        <v>1.5151515151515151</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1</v>
      </c>
      <c r="Q9" s="42">
        <f>(C$68*L68)-C9</f>
        <v>65</v>
      </c>
      <c r="R9" s="42">
        <f t="shared" si="5"/>
        <v>68</v>
      </c>
      <c r="S9" s="30">
        <f t="shared" si="6"/>
        <v>272</v>
      </c>
      <c r="T9" s="30">
        <f t="shared" si="7"/>
        <v>8844</v>
      </c>
      <c r="U9" s="31">
        <f t="shared" si="8"/>
        <v>3.0755314337403888E-2</v>
      </c>
    </row>
    <row r="10" spans="2:21" ht="18" customHeight="1">
      <c r="B10" s="32" t="str">
        <f>'Data Entry'!A10</f>
        <v>5. Cases Involving Secure Detention</v>
      </c>
      <c r="C10" s="33">
        <f>'Data Entry'!C10</f>
        <v>1</v>
      </c>
      <c r="D10" s="34">
        <f>IF(((AND(C68&gt;0,C10&gt;0))),(C10/(C68)),0)</f>
        <v>1.5151515151515151</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1</v>
      </c>
      <c r="Q10" s="42">
        <f>(C$68*L68)-C10</f>
        <v>65</v>
      </c>
      <c r="R10" s="42">
        <f t="shared" si="5"/>
        <v>68</v>
      </c>
      <c r="S10" s="30">
        <f t="shared" si="6"/>
        <v>272</v>
      </c>
      <c r="T10" s="30">
        <f t="shared" si="7"/>
        <v>8844</v>
      </c>
      <c r="U10" s="31">
        <f t="shared" si="8"/>
        <v>3.0755314337403888E-2</v>
      </c>
    </row>
    <row r="11" spans="2:21" ht="18" customHeight="1">
      <c r="B11" s="32" t="str">
        <f>'Data Entry'!A11</f>
        <v>6. Cases Petitioned (Charge Filed)</v>
      </c>
      <c r="C11" s="33">
        <f>'Data Entry'!C11</f>
        <v>32</v>
      </c>
      <c r="D11" s="34">
        <f>IF(((AND(C68&gt;0,C11&gt;0))),(C11/(C68)),0)</f>
        <v>48.484848484848484</v>
      </c>
      <c r="E11" s="33">
        <f>'Data Entry'!I11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32</v>
      </c>
      <c r="Q11" s="42">
        <f>(C$68*L68)-C11</f>
        <v>34</v>
      </c>
      <c r="R11" s="42">
        <f t="shared" si="5"/>
        <v>68</v>
      </c>
      <c r="S11" s="30">
        <f t="shared" si="6"/>
        <v>272</v>
      </c>
      <c r="T11" s="30">
        <f t="shared" si="7"/>
        <v>152460</v>
      </c>
      <c r="U11" s="31">
        <f t="shared" si="8"/>
        <v>1.7840745113472387E-3</v>
      </c>
    </row>
    <row r="12" spans="2:21" ht="18" customHeight="1">
      <c r="B12" s="32" t="str">
        <f>'Data Entry'!A12</f>
        <v>7. Cases Resulting in Delinquent Findings</v>
      </c>
      <c r="C12" s="33">
        <f>'Data Entry'!C12</f>
        <v>29</v>
      </c>
      <c r="D12" s="34">
        <f>IF(((AND(C69&gt;0,C12&gt;0))),(C12/(C69)),0)</f>
        <v>90.625</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29</v>
      </c>
      <c r="Q12" s="42">
        <f>(C69*L69)-C12</f>
        <v>3</v>
      </c>
      <c r="R12" s="42">
        <f t="shared" si="5"/>
        <v>33</v>
      </c>
      <c r="S12" s="30">
        <f t="shared" si="6"/>
        <v>297</v>
      </c>
      <c r="T12" s="30">
        <f t="shared" si="7"/>
        <v>2880</v>
      </c>
      <c r="U12" s="31">
        <f t="shared" si="8"/>
        <v>0.10312499999999999</v>
      </c>
    </row>
    <row r="13" spans="2:21" ht="18" customHeight="1">
      <c r="B13" s="32" t="str">
        <f>'Data Entry'!A13</f>
        <v>8. Cases Resulting in Probation Placement</v>
      </c>
      <c r="C13" s="33">
        <f>'Data Entry'!C13</f>
        <v>64</v>
      </c>
      <c r="D13" s="34">
        <f>IF(((AND(C70&gt;0,C13&gt;0))),(C13/(C70)),0)</f>
        <v>220.68965517241381</v>
      </c>
      <c r="E13" s="33">
        <f>'Data Entry'!I13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-1</v>
      </c>
      <c r="P13" s="42">
        <f t="shared" si="4"/>
        <v>64</v>
      </c>
      <c r="Q13" s="42">
        <f>(C70*L70)-C13</f>
        <v>-35</v>
      </c>
      <c r="R13" s="42">
        <f t="shared" si="5"/>
        <v>30</v>
      </c>
      <c r="S13" s="30">
        <f t="shared" si="6"/>
        <v>1080</v>
      </c>
      <c r="T13" s="30">
        <f t="shared" si="7"/>
        <v>-68904</v>
      </c>
      <c r="U13" s="31">
        <f t="shared" si="8"/>
        <v>-1.5673981191222569E-2</v>
      </c>
    </row>
    <row r="14" spans="2:21" ht="30.75" customHeight="1">
      <c r="B14" s="32" t="str">
        <f>'Data Entry'!A14</f>
        <v xml:space="preserve">9. Cases Resulting in Confinement in Secure Juvenile Correctional Facilities </v>
      </c>
      <c r="C14" s="33">
        <f>'Data Entry'!C14</f>
        <v>26</v>
      </c>
      <c r="D14" s="34">
        <f>IF(((AND(C70&gt;0,C14&gt;0))), ((C14/(C70))),0)</f>
        <v>89.65517241379311</v>
      </c>
      <c r="E14" s="33">
        <f>'Data Entry'!I14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0</v>
      </c>
      <c r="O14" s="42">
        <f>(D70*L70)-E14</f>
        <v>1</v>
      </c>
      <c r="P14" s="42">
        <f t="shared" si="4"/>
        <v>26</v>
      </c>
      <c r="Q14" s="42">
        <f>(C70*L70)-C14</f>
        <v>2.9999999999999964</v>
      </c>
      <c r="R14" s="42">
        <f t="shared" si="5"/>
        <v>29.999999999999996</v>
      </c>
      <c r="S14" s="30">
        <f t="shared" si="6"/>
        <v>20279.999999999996</v>
      </c>
      <c r="T14" s="30">
        <f t="shared" si="7"/>
        <v>3015.9999999999968</v>
      </c>
      <c r="U14" s="31">
        <f t="shared" si="8"/>
        <v>6.7241379310344884</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32</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7.6029999999999998</v>
      </c>
      <c r="D42" s="56">
        <f>E6/1000</f>
        <v>0</v>
      </c>
      <c r="E42" s="56">
        <f>MAX(C42:D42)</f>
        <v>7.6029999999999998</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0.66</v>
      </c>
      <c r="D44" s="56">
        <f>E8/100</f>
        <v>0.02</v>
      </c>
      <c r="E44" s="56">
        <f>MAX(C44:D44,0)</f>
        <v>0.66</v>
      </c>
      <c r="G44" s="1" t="str">
        <f>B44</f>
        <v>per 100 referrals</v>
      </c>
      <c r="L44" s="57">
        <v>100</v>
      </c>
      <c r="M44" s="57"/>
      <c r="R44" s="49"/>
    </row>
    <row r="45" spans="2:18" ht="15" hidden="1" customHeight="1">
      <c r="B45" s="49" t="s">
        <v>89</v>
      </c>
      <c r="C45" s="49">
        <f>C11/100</f>
        <v>0.32</v>
      </c>
      <c r="D45" s="49">
        <f>E11/100</f>
        <v>0.01</v>
      </c>
      <c r="E45" s="56">
        <f>MAX(C45:D45,0)</f>
        <v>0.32</v>
      </c>
      <c r="G45" s="1" t="str">
        <f>B45</f>
        <v>per 100 youth petitioned</v>
      </c>
      <c r="L45" s="57">
        <v>100</v>
      </c>
      <c r="M45" s="57"/>
      <c r="R45" s="49"/>
    </row>
    <row r="46" spans="2:18" ht="15" hidden="1" customHeight="1">
      <c r="B46" s="49" t="s">
        <v>90</v>
      </c>
      <c r="C46" s="49">
        <f>C12/100</f>
        <v>0.28999999999999998</v>
      </c>
      <c r="D46" s="49">
        <f>E12/100</f>
        <v>0.01</v>
      </c>
      <c r="E46" s="56">
        <f>MAX(C46:D46)</f>
        <v>0.28999999999999998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7.6029999999999998</v>
      </c>
      <c r="D48" s="56">
        <f>D42</f>
        <v>0</v>
      </c>
      <c r="E48" s="56">
        <f>MAX(C48:D48)</f>
        <v>7.6029999999999998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0.66</v>
      </c>
      <c r="D50" s="49">
        <f t="shared" si="9"/>
        <v>0.02</v>
      </c>
      <c r="E50" s="49">
        <f>MAX(C50:D50)</f>
        <v>0.66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0.01</v>
      </c>
      <c r="E51" s="49">
        <f>MAX(C51:D51)</f>
        <v>0.32</v>
      </c>
      <c r="G51" s="1" t="str">
        <f>G45</f>
        <v>per 100 youth petitioned</v>
      </c>
      <c r="L51" s="58">
        <f>IF(($E45&gt;0),L45,L44)</f>
        <v>100</v>
      </c>
      <c r="M51" s="58"/>
    </row>
    <row r="52" spans="2:18" ht="15" hidden="1" customHeight="1">
      <c r="B52" s="49" t="str">
        <f>IF(($E46&gt;0),B46,B45)</f>
        <v>per 100 youth found delinquent</v>
      </c>
      <c r="C52" s="49">
        <f>IF(($E46&gt;0),C46,C45)</f>
        <v>0.28999999999999998</v>
      </c>
      <c r="D52" s="49">
        <f>IF(($E46&gt;0),D46,D45)</f>
        <v>0.01</v>
      </c>
      <c r="E52" s="56">
        <f>MAX(C52:D52)</f>
        <v>0.28999999999999998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7.6029999999999998</v>
      </c>
      <c r="D54" s="56">
        <f>D48</f>
        <v>0</v>
      </c>
      <c r="E54" s="56">
        <f>MAX(C54:D54)</f>
        <v>7.6029999999999998</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0.66</v>
      </c>
      <c r="D56" s="49">
        <f t="shared" si="10"/>
        <v>0.02</v>
      </c>
      <c r="E56" s="49">
        <f>MAX(C56:D56)</f>
        <v>0.66</v>
      </c>
      <c r="G56" s="1" t="str">
        <f>G50</f>
        <v>per 100 referrals</v>
      </c>
      <c r="L56" s="58">
        <f>IF(($E50&gt;0),L50,L49)</f>
        <v>100</v>
      </c>
      <c r="M56" s="58"/>
    </row>
    <row r="57" spans="2:18" ht="15" hidden="1" customHeight="1">
      <c r="B57" s="49" t="str">
        <f>IF(($E51&gt;0),B51,B49)</f>
        <v>per 100 youth petitioned</v>
      </c>
      <c r="C57" s="49">
        <f>IF(($E51&gt;0),C51,C50)</f>
        <v>0.32</v>
      </c>
      <c r="D57" s="49">
        <f>IF(($E51&gt;0),D51,D50)</f>
        <v>0.01</v>
      </c>
      <c r="E57" s="49">
        <f>MAX(C57:D57)</f>
        <v>0.32</v>
      </c>
      <c r="G57" s="1" t="str">
        <f>G51</f>
        <v>per 100 youth petitioned</v>
      </c>
      <c r="L57" s="58">
        <f>IF(($E51&gt;0),L51,L50)</f>
        <v>100</v>
      </c>
      <c r="M57" s="58"/>
    </row>
    <row r="58" spans="2:18" ht="15" hidden="1" customHeight="1">
      <c r="B58" s="49" t="str">
        <f>IF(($E52&gt;0),B52,B51)</f>
        <v>per 100 youth found delinquent</v>
      </c>
      <c r="C58" s="49">
        <f>IF(($E52&gt;0),C52,C51)</f>
        <v>0.28999999999999998</v>
      </c>
      <c r="D58" s="49">
        <f>IF(($E52&gt;0),D52,D51)</f>
        <v>0.01</v>
      </c>
      <c r="E58" s="56">
        <f>MAX(C58:D58)</f>
        <v>0.28999999999999998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7.6029999999999998</v>
      </c>
      <c r="D60" s="56">
        <f>D54</f>
        <v>0</v>
      </c>
      <c r="E60" s="56">
        <f>MAX(C60:D60)</f>
        <v>7.6029999999999998</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0.66</v>
      </c>
      <c r="D62" s="49">
        <f t="shared" si="11"/>
        <v>0.02</v>
      </c>
      <c r="E62" s="49">
        <f>MAX(C62:D62)</f>
        <v>0.66</v>
      </c>
      <c r="G62" s="1" t="str">
        <f>G56</f>
        <v>per 100 referrals</v>
      </c>
      <c r="L62" s="58">
        <f>IF(($E56&gt;0),L56,L55)</f>
        <v>100</v>
      </c>
      <c r="M62" s="58"/>
    </row>
    <row r="63" spans="2:18" ht="15" hidden="1" customHeight="1">
      <c r="B63" s="49" t="str">
        <f>IF(($E57&gt;0),B57,B55)</f>
        <v>per 100 youth petitioned</v>
      </c>
      <c r="C63" s="49">
        <f>IF(($E57&gt;0),C57,C56)</f>
        <v>0.32</v>
      </c>
      <c r="D63" s="49">
        <f>IF(($E57&gt;0),D57,D56)</f>
        <v>0.01</v>
      </c>
      <c r="E63" s="49">
        <f>MAX(C63:D63)</f>
        <v>0.32</v>
      </c>
      <c r="G63" s="1" t="str">
        <f>G57</f>
        <v>per 100 youth petitioned</v>
      </c>
      <c r="L63" s="58">
        <f>IF(($E57&gt;0),L57,L56)</f>
        <v>100</v>
      </c>
      <c r="M63" s="58"/>
    </row>
    <row r="64" spans="2:18" ht="15" hidden="1" customHeight="1">
      <c r="B64" s="49" t="str">
        <f>IF(($E58&gt;0),B58,B57)</f>
        <v>per 100 youth found delinquent</v>
      </c>
      <c r="C64" s="49">
        <f>IF(($E58&gt;0),C58,C57)</f>
        <v>0.28999999999999998</v>
      </c>
      <c r="D64" s="49">
        <f>IF(($E58&gt;0),D58,D57)</f>
        <v>0.01</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7.6029999999999998</v>
      </c>
      <c r="D66" s="56">
        <f>D60</f>
        <v>0</v>
      </c>
      <c r="E66" s="56">
        <f>MAX(C66:D66)</f>
        <v>7.6029999999999998</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0.66</v>
      </c>
      <c r="D68" s="49">
        <f t="shared" si="12"/>
        <v>0.02</v>
      </c>
      <c r="E68" s="49">
        <f>MAX(C68:D68)</f>
        <v>0.66</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0.01</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0.28999999999999998</v>
      </c>
      <c r="D70" s="49">
        <f>IF(($E64&gt;0),D64,D63)</f>
        <v>0.01</v>
      </c>
      <c r="E70" s="56">
        <f>MAX(C70:D70)</f>
        <v>0.28999999999999998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7603</v>
      </c>
      <c r="D6" s="34"/>
      <c r="E6" s="33">
        <f>'Data Entry'!J6</f>
        <v>985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2.4990135472839667</v>
      </c>
      <c r="E7" s="33">
        <f>'Data Entry'!J7</f>
        <v>2</v>
      </c>
      <c r="F7" s="34">
        <f>IF((AND($E$7&gt;0,$D$66&gt;0)),($E$7/$D$66),0)</f>
        <v>2.030456852791878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983</v>
      </c>
      <c r="P7" s="42">
        <f t="shared" ref="P7:P15" si="4">C7</f>
        <v>19</v>
      </c>
      <c r="Q7" s="42">
        <f>C6-C7</f>
        <v>7584</v>
      </c>
      <c r="R7" s="42">
        <f t="shared" ref="R7:R15" si="5">SUM(N7:Q7)</f>
        <v>8588</v>
      </c>
      <c r="S7" s="30">
        <f t="shared" ref="S7:S15" si="6">R7*((((N7*Q7)-(O7*P7))^2))</f>
        <v>105744739628</v>
      </c>
      <c r="T7" s="30">
        <f t="shared" ref="T7:T15" si="7">(N7+O7)*(P7+Q7)*(N7+P7)*(O7+Q7)</f>
        <v>1347315427185</v>
      </c>
      <c r="U7" s="31">
        <f t="shared" ref="U7:U15" si="8">IF((S7&gt;0),S7/T7,"- -")</f>
        <v>7.8485510886590767E-2</v>
      </c>
    </row>
    <row r="8" spans="2:21" ht="18" customHeight="1">
      <c r="B8" s="32" t="str">
        <f>'Data Entry'!A8</f>
        <v>3. Refer to Juvenile Court</v>
      </c>
      <c r="C8" s="33">
        <f>'Data Entry'!C8</f>
        <v>66</v>
      </c>
      <c r="D8" s="34">
        <f>IF((AND(C67&gt;0,C8&gt;0)),(C8/C67),0)</f>
        <v>347.36842105263156</v>
      </c>
      <c r="E8" s="33">
        <f>'Data Entry'!J8</f>
        <v>6</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-3.95</v>
      </c>
      <c r="P8" s="42">
        <f t="shared" si="4"/>
        <v>66</v>
      </c>
      <c r="Q8" s="42">
        <f>(C$67*L67)-C8</f>
        <v>-47</v>
      </c>
      <c r="R8" s="42">
        <f t="shared" si="5"/>
        <v>21.049999999999997</v>
      </c>
      <c r="S8" s="30">
        <f t="shared" si="6"/>
        <v>9550.1745000000101</v>
      </c>
      <c r="T8" s="30">
        <f t="shared" si="7"/>
        <v>-142884.18</v>
      </c>
      <c r="U8" s="31">
        <f t="shared" si="8"/>
        <v>-6.6838571631933019E-2</v>
      </c>
    </row>
    <row r="9" spans="2:21" ht="18" customHeight="1">
      <c r="B9" s="32" t="str">
        <f>'Data Entry'!A9</f>
        <v xml:space="preserve">4. Cases Diverted </v>
      </c>
      <c r="C9" s="33">
        <f>'Data Entry'!C9</f>
        <v>1</v>
      </c>
      <c r="D9" s="34">
        <f>IF((AND(C68&gt;0,C9&gt;0)),((C9/C68)),0)</f>
        <v>1.5151515151515151</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6</v>
      </c>
      <c r="P9" s="42">
        <f t="shared" si="4"/>
        <v>1</v>
      </c>
      <c r="Q9" s="42">
        <f>(C$68*L68)-C9</f>
        <v>65</v>
      </c>
      <c r="R9" s="42">
        <f t="shared" si="5"/>
        <v>72</v>
      </c>
      <c r="S9" s="30">
        <f t="shared" si="6"/>
        <v>2592</v>
      </c>
      <c r="T9" s="30">
        <f t="shared" si="7"/>
        <v>28116</v>
      </c>
      <c r="U9" s="31">
        <f t="shared" si="8"/>
        <v>9.2189500640204869E-2</v>
      </c>
    </row>
    <row r="10" spans="2:21" ht="18" customHeight="1">
      <c r="B10" s="32" t="str">
        <f>'Data Entry'!A10</f>
        <v>5. Cases Involving Secure Detention</v>
      </c>
      <c r="C10" s="33">
        <f>'Data Entry'!C10</f>
        <v>1</v>
      </c>
      <c r="D10" s="34">
        <f>IF(((AND(C68&gt;0,C10&gt;0))),(C10/(C68)),0)</f>
        <v>1.5151515151515151</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6</v>
      </c>
      <c r="P10" s="42">
        <f t="shared" si="4"/>
        <v>1</v>
      </c>
      <c r="Q10" s="42">
        <f>(C$68*L68)-C10</f>
        <v>65</v>
      </c>
      <c r="R10" s="42">
        <f t="shared" si="5"/>
        <v>72</v>
      </c>
      <c r="S10" s="30">
        <f t="shared" si="6"/>
        <v>2592</v>
      </c>
      <c r="T10" s="30">
        <f t="shared" si="7"/>
        <v>28116</v>
      </c>
      <c r="U10" s="31">
        <f t="shared" si="8"/>
        <v>9.2189500640204869E-2</v>
      </c>
    </row>
    <row r="11" spans="2:21" ht="18" customHeight="1">
      <c r="B11" s="32" t="str">
        <f>'Data Entry'!A11</f>
        <v>6. Cases Petitioned (Charge Filed)</v>
      </c>
      <c r="C11" s="33">
        <f>'Data Entry'!C11</f>
        <v>32</v>
      </c>
      <c r="D11" s="34">
        <f>IF(((AND(C68&gt;0,C11&gt;0))),(C11/(C68)),0)</f>
        <v>48.484848484848484</v>
      </c>
      <c r="E11" s="33">
        <f>'Data Entry'!J11</f>
        <v>2</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4</v>
      </c>
      <c r="P11" s="42">
        <f t="shared" si="4"/>
        <v>32</v>
      </c>
      <c r="Q11" s="42">
        <f>(C$68*L68)-C11</f>
        <v>34</v>
      </c>
      <c r="R11" s="42">
        <f t="shared" si="5"/>
        <v>72</v>
      </c>
      <c r="S11" s="30">
        <f t="shared" si="6"/>
        <v>259200</v>
      </c>
      <c r="T11" s="30">
        <f t="shared" si="7"/>
        <v>511632</v>
      </c>
      <c r="U11" s="31">
        <f t="shared" si="8"/>
        <v>0.50661412890515056</v>
      </c>
    </row>
    <row r="12" spans="2:21" ht="18" customHeight="1">
      <c r="B12" s="32" t="str">
        <f>'Data Entry'!A12</f>
        <v>7. Cases Resulting in Delinquent Findings</v>
      </c>
      <c r="C12" s="33">
        <f>'Data Entry'!C12</f>
        <v>29</v>
      </c>
      <c r="D12" s="34">
        <f>IF(((AND(C69&gt;0,C12&gt;0))),(C12/(C69)),0)</f>
        <v>90.625</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29</v>
      </c>
      <c r="Q12" s="42">
        <f>(C69*L69)-C12</f>
        <v>3</v>
      </c>
      <c r="R12" s="42">
        <f t="shared" si="5"/>
        <v>34</v>
      </c>
      <c r="S12" s="30">
        <f t="shared" si="6"/>
        <v>1224</v>
      </c>
      <c r="T12" s="30">
        <f t="shared" si="7"/>
        <v>5952</v>
      </c>
      <c r="U12" s="31">
        <f t="shared" si="8"/>
        <v>0.20564516129032259</v>
      </c>
    </row>
    <row r="13" spans="2:21" ht="18" customHeight="1">
      <c r="B13" s="32" t="str">
        <f>'Data Entry'!A13</f>
        <v>8. Cases Resulting in Probation Placement</v>
      </c>
      <c r="C13" s="33">
        <f>'Data Entry'!C13</f>
        <v>64</v>
      </c>
      <c r="D13" s="34">
        <f>IF(((AND(C70&gt;0,C13&gt;0))),(C13/(C70)),0)</f>
        <v>220.68965517241381</v>
      </c>
      <c r="E13" s="33">
        <f>'Data Entry'!J13</f>
        <v>5</v>
      </c>
      <c r="F13" s="34">
        <f>IF(((AND($D$70&gt;0,$E$13&gt;0))),($E$13/($D$70)),0)</f>
        <v>250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5</v>
      </c>
      <c r="O13" s="42">
        <f>(D70*L70)-E13</f>
        <v>-3</v>
      </c>
      <c r="P13" s="42">
        <f t="shared" si="4"/>
        <v>64</v>
      </c>
      <c r="Q13" s="42">
        <f>(C70*L70)-C13</f>
        <v>-35</v>
      </c>
      <c r="R13" s="42">
        <f t="shared" si="5"/>
        <v>31</v>
      </c>
      <c r="S13" s="30">
        <f t="shared" si="6"/>
        <v>8959</v>
      </c>
      <c r="T13" s="30">
        <f t="shared" si="7"/>
        <v>-152076</v>
      </c>
      <c r="U13" s="31">
        <f t="shared" si="8"/>
        <v>-5.8911333806780819E-2</v>
      </c>
    </row>
    <row r="14" spans="2:21" ht="30.75" customHeight="1">
      <c r="B14" s="32" t="str">
        <f>'Data Entry'!A14</f>
        <v xml:space="preserve">9. Cases Resulting in Confinement in Secure Juvenile Correctional Facilities </v>
      </c>
      <c r="C14" s="33">
        <f>'Data Entry'!C14</f>
        <v>26</v>
      </c>
      <c r="D14" s="34">
        <f>IF(((AND(C70&gt;0,C14&gt;0))), ((C14/(C70))),0)</f>
        <v>89.65517241379311</v>
      </c>
      <c r="E14" s="33">
        <f>'Data Entry'!J14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2</v>
      </c>
      <c r="P14" s="42">
        <f t="shared" si="4"/>
        <v>26</v>
      </c>
      <c r="Q14" s="42">
        <f>(C70*L70)-C14</f>
        <v>2.9999999999999964</v>
      </c>
      <c r="R14" s="42">
        <f t="shared" si="5"/>
        <v>30.999999999999996</v>
      </c>
      <c r="S14" s="30">
        <f t="shared" si="6"/>
        <v>83823.999999999985</v>
      </c>
      <c r="T14" s="30">
        <f t="shared" si="7"/>
        <v>7539.9999999999936</v>
      </c>
      <c r="U14" s="31">
        <f t="shared" si="8"/>
        <v>11.117241379310352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32</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7.6029999999999998</v>
      </c>
      <c r="D42" s="56">
        <f>E6/1000</f>
        <v>0.98499999999999999</v>
      </c>
      <c r="E42" s="56">
        <f>MAX(C42:D42)</f>
        <v>7.6029999999999998</v>
      </c>
      <c r="G42" s="1" t="str">
        <f>B42</f>
        <v>per 1000 youth</v>
      </c>
      <c r="L42" s="57">
        <v>1000</v>
      </c>
      <c r="M42" s="57"/>
      <c r="R42" s="49"/>
    </row>
    <row r="43" spans="2:18" ht="15" hidden="1" customHeight="1">
      <c r="B43" s="49" t="s">
        <v>87</v>
      </c>
      <c r="C43" s="56">
        <f>C7/100</f>
        <v>0.19</v>
      </c>
      <c r="D43" s="56">
        <f>E7/100</f>
        <v>0.02</v>
      </c>
      <c r="E43" s="56">
        <f>MAX(C43:D43,0)</f>
        <v>0.19</v>
      </c>
      <c r="G43" s="1" t="str">
        <f>B43</f>
        <v>per 100 arrests</v>
      </c>
      <c r="L43" s="57">
        <v>100</v>
      </c>
      <c r="M43" s="57"/>
      <c r="R43" s="49"/>
    </row>
    <row r="44" spans="2:18" ht="15" hidden="1" customHeight="1">
      <c r="B44" s="49" t="s">
        <v>88</v>
      </c>
      <c r="C44" s="56">
        <f>C8/100</f>
        <v>0.66</v>
      </c>
      <c r="D44" s="56">
        <f>E8/100</f>
        <v>0.06</v>
      </c>
      <c r="E44" s="56">
        <f>MAX(C44:D44,0)</f>
        <v>0.66</v>
      </c>
      <c r="G44" s="1" t="str">
        <f>B44</f>
        <v>per 100 referrals</v>
      </c>
      <c r="L44" s="57">
        <v>100</v>
      </c>
      <c r="M44" s="57"/>
      <c r="R44" s="49"/>
    </row>
    <row r="45" spans="2:18" ht="15" hidden="1" customHeight="1">
      <c r="B45" s="49" t="s">
        <v>89</v>
      </c>
      <c r="C45" s="49">
        <f>C11/100</f>
        <v>0.32</v>
      </c>
      <c r="D45" s="49">
        <f>E11/100</f>
        <v>0.02</v>
      </c>
      <c r="E45" s="56">
        <f>MAX(C45:D45,0)</f>
        <v>0.32</v>
      </c>
      <c r="G45" s="1" t="str">
        <f>B45</f>
        <v>per 100 youth petitioned</v>
      </c>
      <c r="L45" s="57">
        <v>100</v>
      </c>
      <c r="M45" s="57"/>
      <c r="R45" s="49"/>
    </row>
    <row r="46" spans="2:18" ht="15" hidden="1" customHeight="1">
      <c r="B46" s="49" t="s">
        <v>90</v>
      </c>
      <c r="C46" s="49">
        <f>C12/100</f>
        <v>0.28999999999999998</v>
      </c>
      <c r="D46" s="49">
        <f>E12/100</f>
        <v>0.02</v>
      </c>
      <c r="E46" s="56">
        <f>MAX(C46:D46)</f>
        <v>0.28999999999999998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7.6029999999999998</v>
      </c>
      <c r="D48" s="56">
        <f>D42</f>
        <v>0.98499999999999999</v>
      </c>
      <c r="E48" s="56">
        <f>MAX(C48:D48)</f>
        <v>7.6029999999999998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0.02</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0.66</v>
      </c>
      <c r="D50" s="49">
        <f t="shared" si="9"/>
        <v>0.06</v>
      </c>
      <c r="E50" s="49">
        <f>MAX(C50:D50)</f>
        <v>0.66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0.02</v>
      </c>
      <c r="E51" s="49">
        <f>MAX(C51:D51)</f>
        <v>0.32</v>
      </c>
      <c r="G51" s="1" t="str">
        <f>G45</f>
        <v>per 100 youth petitioned</v>
      </c>
      <c r="L51" s="58">
        <f>IF(($E45&gt;0),L45,L44)</f>
        <v>100</v>
      </c>
      <c r="M51" s="58"/>
    </row>
    <row r="52" spans="2:18" ht="15" hidden="1" customHeight="1">
      <c r="B52" s="49" t="str">
        <f>IF(($E46&gt;0),B46,B45)</f>
        <v>per 100 youth found delinquent</v>
      </c>
      <c r="C52" s="49">
        <f>IF(($E46&gt;0),C46,C45)</f>
        <v>0.28999999999999998</v>
      </c>
      <c r="D52" s="49">
        <f>IF(($E46&gt;0),D46,D45)</f>
        <v>0.02</v>
      </c>
      <c r="E52" s="56">
        <f>MAX(C52:D52)</f>
        <v>0.28999999999999998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7.6029999999999998</v>
      </c>
      <c r="D54" s="56">
        <f>D48</f>
        <v>0.98499999999999999</v>
      </c>
      <c r="E54" s="56">
        <f>MAX(C54:D54)</f>
        <v>7.6029999999999998</v>
      </c>
      <c r="G54" s="1" t="str">
        <f>G48</f>
        <v>per 1000 youth</v>
      </c>
      <c r="L54" s="58">
        <f>L48</f>
        <v>1000</v>
      </c>
      <c r="M54" s="58"/>
    </row>
    <row r="55" spans="2:18" ht="15" hidden="1" customHeight="1">
      <c r="B55" s="49" t="str">
        <f t="shared" ref="B55:D56" si="10">IF(($E49&gt;0),B49,B48)</f>
        <v>per 100 arrests</v>
      </c>
      <c r="C55" s="49">
        <f t="shared" si="10"/>
        <v>0.19</v>
      </c>
      <c r="D55" s="49">
        <f t="shared" si="10"/>
        <v>0.02</v>
      </c>
      <c r="E55" s="49">
        <f>MAX(C55:D55)</f>
        <v>0.19</v>
      </c>
      <c r="G55" s="1" t="str">
        <f>G49</f>
        <v>per 100 arrests</v>
      </c>
      <c r="L55" s="58">
        <f>IF(($E49&gt;0),L49,L48)</f>
        <v>100</v>
      </c>
      <c r="M55" s="58"/>
    </row>
    <row r="56" spans="2:18" ht="15" hidden="1" customHeight="1">
      <c r="B56" s="49" t="str">
        <f t="shared" si="10"/>
        <v>per 100 referrals</v>
      </c>
      <c r="C56" s="49">
        <f t="shared" si="10"/>
        <v>0.66</v>
      </c>
      <c r="D56" s="49">
        <f t="shared" si="10"/>
        <v>0.06</v>
      </c>
      <c r="E56" s="49">
        <f>MAX(C56:D56)</f>
        <v>0.66</v>
      </c>
      <c r="G56" s="1" t="str">
        <f>G50</f>
        <v>per 100 referrals</v>
      </c>
      <c r="L56" s="58">
        <f>IF(($E50&gt;0),L50,L49)</f>
        <v>100</v>
      </c>
      <c r="M56" s="58"/>
    </row>
    <row r="57" spans="2:18" ht="15" hidden="1" customHeight="1">
      <c r="B57" s="49" t="str">
        <f>IF(($E51&gt;0),B51,B49)</f>
        <v>per 100 youth petitioned</v>
      </c>
      <c r="C57" s="49">
        <f>IF(($E51&gt;0),C51,C50)</f>
        <v>0.32</v>
      </c>
      <c r="D57" s="49">
        <f>IF(($E51&gt;0),D51,D50)</f>
        <v>0.02</v>
      </c>
      <c r="E57" s="49">
        <f>MAX(C57:D57)</f>
        <v>0.32</v>
      </c>
      <c r="G57" s="1" t="str">
        <f>G51</f>
        <v>per 100 youth petitioned</v>
      </c>
      <c r="L57" s="58">
        <f>IF(($E51&gt;0),L51,L50)</f>
        <v>100</v>
      </c>
      <c r="M57" s="58"/>
    </row>
    <row r="58" spans="2:18" ht="15" hidden="1" customHeight="1">
      <c r="B58" s="49" t="str">
        <f>IF(($E52&gt;0),B52,B51)</f>
        <v>per 100 youth found delinquent</v>
      </c>
      <c r="C58" s="49">
        <f>IF(($E52&gt;0),C52,C51)</f>
        <v>0.28999999999999998</v>
      </c>
      <c r="D58" s="49">
        <f>IF(($E52&gt;0),D52,D51)</f>
        <v>0.02</v>
      </c>
      <c r="E58" s="56">
        <f>MAX(C58:D58)</f>
        <v>0.28999999999999998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7.6029999999999998</v>
      </c>
      <c r="D60" s="56">
        <f>D54</f>
        <v>0.98499999999999999</v>
      </c>
      <c r="E60" s="56">
        <f>MAX(C60:D60)</f>
        <v>7.6029999999999998</v>
      </c>
      <c r="G60" s="1" t="str">
        <f>G54</f>
        <v>per 1000 youth</v>
      </c>
      <c r="L60" s="58">
        <f>L54</f>
        <v>1000</v>
      </c>
      <c r="M60" s="58"/>
    </row>
    <row r="61" spans="2:18" ht="15" hidden="1" customHeight="1">
      <c r="B61" s="49" t="str">
        <f t="shared" ref="B61:D62" si="11">IF(($E55&gt;0),B55,B54)</f>
        <v>per 100 arrests</v>
      </c>
      <c r="C61" s="49">
        <f t="shared" si="11"/>
        <v>0.19</v>
      </c>
      <c r="D61" s="49">
        <f t="shared" si="11"/>
        <v>0.02</v>
      </c>
      <c r="E61" s="49">
        <f>MAX(C61:D61)</f>
        <v>0.19</v>
      </c>
      <c r="G61" s="1" t="str">
        <f>G55</f>
        <v>per 100 arrests</v>
      </c>
      <c r="L61" s="58">
        <f>IF(($E55&gt;0),L55,L54)</f>
        <v>100</v>
      </c>
      <c r="M61" s="58"/>
    </row>
    <row r="62" spans="2:18" ht="15" hidden="1" customHeight="1">
      <c r="B62" s="49" t="str">
        <f t="shared" si="11"/>
        <v>per 100 referrals</v>
      </c>
      <c r="C62" s="49">
        <f t="shared" si="11"/>
        <v>0.66</v>
      </c>
      <c r="D62" s="49">
        <f t="shared" si="11"/>
        <v>0.06</v>
      </c>
      <c r="E62" s="49">
        <f>MAX(C62:D62)</f>
        <v>0.66</v>
      </c>
      <c r="G62" s="1" t="str">
        <f>G56</f>
        <v>per 100 referrals</v>
      </c>
      <c r="L62" s="58">
        <f>IF(($E56&gt;0),L56,L55)</f>
        <v>100</v>
      </c>
      <c r="M62" s="58"/>
    </row>
    <row r="63" spans="2:18" ht="15" hidden="1" customHeight="1">
      <c r="B63" s="49" t="str">
        <f>IF(($E57&gt;0),B57,B55)</f>
        <v>per 100 youth petitioned</v>
      </c>
      <c r="C63" s="49">
        <f>IF(($E57&gt;0),C57,C56)</f>
        <v>0.32</v>
      </c>
      <c r="D63" s="49">
        <f>IF(($E57&gt;0),D57,D56)</f>
        <v>0.02</v>
      </c>
      <c r="E63" s="49">
        <f>MAX(C63:D63)</f>
        <v>0.32</v>
      </c>
      <c r="G63" s="1" t="str">
        <f>G57</f>
        <v>per 100 youth petitioned</v>
      </c>
      <c r="L63" s="58">
        <f>IF(($E57&gt;0),L57,L56)</f>
        <v>100</v>
      </c>
      <c r="M63" s="58"/>
    </row>
    <row r="64" spans="2:18" ht="15" hidden="1" customHeight="1">
      <c r="B64" s="49" t="str">
        <f>IF(($E58&gt;0),B58,B57)</f>
        <v>per 100 youth found delinquent</v>
      </c>
      <c r="C64" s="49">
        <f>IF(($E58&gt;0),C58,C57)</f>
        <v>0.28999999999999998</v>
      </c>
      <c r="D64" s="49">
        <f>IF(($E58&gt;0),D58,D57)</f>
        <v>0.02</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7.6029999999999998</v>
      </c>
      <c r="D66" s="56">
        <f>D60</f>
        <v>0.98499999999999999</v>
      </c>
      <c r="E66" s="56">
        <f>MAX(C66:D66)</f>
        <v>7.6029999999999998</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0.02</v>
      </c>
      <c r="E67" s="49">
        <f>MAX(C67:D67)</f>
        <v>0.19</v>
      </c>
      <c r="G67" s="1" t="str">
        <f>G61</f>
        <v>per 100 arrests</v>
      </c>
      <c r="L67" s="58">
        <f>IF(($E61&gt;0),L61,L60)</f>
        <v>100</v>
      </c>
      <c r="M67" s="58">
        <f>IF((B67=G67),1,2)</f>
        <v>1</v>
      </c>
    </row>
    <row r="68" spans="2:13" ht="15" hidden="1" customHeight="1">
      <c r="B68" s="49" t="str">
        <f t="shared" si="12"/>
        <v>per 100 referrals</v>
      </c>
      <c r="C68" s="49">
        <f t="shared" si="12"/>
        <v>0.66</v>
      </c>
      <c r="D68" s="49">
        <f t="shared" si="12"/>
        <v>0.06</v>
      </c>
      <c r="E68" s="49">
        <f>MAX(C68:D68)</f>
        <v>0.66</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0.02</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0.28999999999999998</v>
      </c>
      <c r="D70" s="49">
        <f>IF(($E64&gt;0),D64,D63)</f>
        <v>0.02</v>
      </c>
      <c r="E70" s="56">
        <f>MAX(C70:D70)</f>
        <v>0.28999999999999998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Lapeer</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#DIV/0!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f>'Other - Mixed'!L14</f>
        <v>119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8588</v>
      </c>
      <c r="D3" s="57">
        <f>'Data Entry'!C6</f>
        <v>7603</v>
      </c>
      <c r="E3" s="57">
        <f>'Data Entry'!D6</f>
        <v>165</v>
      </c>
      <c r="F3" s="57">
        <f>'Data Entry'!E6</f>
        <v>657</v>
      </c>
      <c r="G3" s="57">
        <f>'Data Entry'!F6</f>
        <v>122</v>
      </c>
      <c r="H3" s="57">
        <f>'Data Entry'!G6</f>
        <v>0</v>
      </c>
      <c r="I3" s="57">
        <f>'Data Entry'!H6</f>
        <v>41</v>
      </c>
      <c r="J3" s="57">
        <f>'Data Entry'!I6</f>
        <v>0</v>
      </c>
      <c r="K3" s="57">
        <f>'Data Entry'!J6</f>
        <v>985</v>
      </c>
    </row>
    <row r="4" spans="2:11" ht="15" customHeight="1">
      <c r="B4" s="16" t="s">
        <v>8</v>
      </c>
      <c r="C4" s="1">
        <f>IF((C$3&gt;0),(1000*('Data Entry'!B7/'Data Entry'!B$6)), 0)</f>
        <v>2.4452724732184445</v>
      </c>
      <c r="D4" s="1">
        <f>IF((D$3&gt;0),(1000*('Data Entry'!C7/'Data Entry'!C$6)), 0)</f>
        <v>2.4990135472839667</v>
      </c>
      <c r="E4" s="1">
        <f>IF((E$3&gt;0),(1000*('Data Entry'!D7/'Data Entry'!D$6)), 0)</f>
        <v>6.0606060606060606</v>
      </c>
      <c r="F4" s="1">
        <f>IF((F$3&gt;0),(1000*('Data Entry'!E7/'Data Entry'!E$6)), 0)</f>
        <v>1.5220700152207001</v>
      </c>
      <c r="G4" s="1">
        <f>IF((G$3&gt;0),(1000*('Data Entry'!F7/'Data Entry'!F$6)), 0)</f>
        <v>0</v>
      </c>
      <c r="H4" s="1">
        <f>IF((H$3&gt;0),(1000*('Data Entry'!G7/'Data Entry'!G$6)), 0)</f>
        <v>0</v>
      </c>
      <c r="I4" s="1">
        <f>IF((I$3&gt;0),(1000*('Data Entry'!H7/'Data Entry'!H$6)), 0)</f>
        <v>0</v>
      </c>
      <c r="J4" s="1">
        <f>IF((J$3&gt;0),(1000*('Data Entry'!I7/'Data Entry'!I$6)), 0)</f>
        <v>0</v>
      </c>
      <c r="K4" s="1">
        <f>IF((K$3&gt;0),(1000*('Data Entry'!J7/'Data Entry'!J$6)), 0)</f>
        <v>2.0304568527918785</v>
      </c>
    </row>
    <row r="5" spans="2:11" ht="15" customHeight="1">
      <c r="B5" s="16" t="s">
        <v>9</v>
      </c>
      <c r="C5" s="1">
        <f>IF((C$3&gt;0),(1000*('Data Entry'!B8/'Data Entry'!B$6)), 0)</f>
        <v>8.6166744294364239</v>
      </c>
      <c r="D5" s="1">
        <f>IF((D$3&gt;0),(1000*('Data Entry'!C8/'Data Entry'!C$6)), 0)</f>
        <v>8.6807839010916741</v>
      </c>
      <c r="E5" s="1">
        <f>IF((E$3&gt;0),(1000*('Data Entry'!D8/'Data Entry'!D$6)), 0)</f>
        <v>18.18181818181818</v>
      </c>
      <c r="F5" s="1">
        <f>IF((F$3&gt;0),(1000*('Data Entry'!E8/'Data Entry'!E$6)), 0)</f>
        <v>1.5220700152207001</v>
      </c>
      <c r="G5" s="1">
        <f>IF((G$3&gt;0),(1000*('Data Entry'!F8/'Data Entry'!F$6)), 0)</f>
        <v>0</v>
      </c>
      <c r="H5" s="1">
        <f>IF((H$3&gt;0),(1000*('Data Entry'!G8/'Data Entry'!G$6)), 0)</f>
        <v>0</v>
      </c>
      <c r="I5" s="1">
        <f>IF((I$3&gt;0),(1000*('Data Entry'!H8/'Data Entry'!H$6)), 0)</f>
        <v>0</v>
      </c>
      <c r="J5" s="1">
        <f>IF((J$3&gt;0),(1000*('Data Entry'!I8/'Data Entry'!I$6)), 0)</f>
        <v>0</v>
      </c>
      <c r="K5" s="1">
        <f>IF((K$3&gt;0),(1000*('Data Entry'!J8/'Data Entry'!J$6)), 0)</f>
        <v>6.0913705583756341</v>
      </c>
    </row>
    <row r="6" spans="2:11" ht="15" customHeight="1">
      <c r="B6" s="16" t="s">
        <v>10</v>
      </c>
      <c r="C6" s="1">
        <f>IF((C$3&gt;0),(1000*('Data Entry'!B9/'Data Entry'!B$6)), 0)</f>
        <v>0.11644154634373545</v>
      </c>
      <c r="D6" s="1">
        <f>IF((D$3&gt;0),(1000*('Data Entry'!C9/'Data Entry'!C$6)), 0)</f>
        <v>0.13152702880441933</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0.11644154634373545</v>
      </c>
      <c r="D7" s="1">
        <f>IF((D$3&gt;0),(1000*('Data Entry'!C10/'Data Entry'!C$6)), 0)</f>
        <v>0.13152702880441933</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3.9590125756870056</v>
      </c>
      <c r="D8" s="1">
        <f>IF((D$3&gt;0),(1000*('Data Entry'!C11/'Data Entry'!C$6)), 0)</f>
        <v>4.2088649217414185</v>
      </c>
      <c r="E8" s="1">
        <f>IF((E$3&gt;0),(1000*('Data Entry'!D11/'Data Entry'!D$6)), 0)</f>
        <v>6.0606060606060606</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2.0304568527918785</v>
      </c>
    </row>
    <row r="9" spans="2:11" ht="15" customHeight="1">
      <c r="B9" s="16" t="s">
        <v>13</v>
      </c>
      <c r="C9" s="1">
        <f>IF((C$3&gt;0),(1000*('Data Entry'!B12/'Data Entry'!B$6)), 0)</f>
        <v>3.6096879366557988</v>
      </c>
      <c r="D9" s="1">
        <f>IF((D$3&gt;0),(1000*('Data Entry'!C12/'Data Entry'!C$6)), 0)</f>
        <v>3.8142838353281601</v>
      </c>
      <c r="E9" s="1">
        <f>IF((E$3&gt;0),(1000*('Data Entry'!D12/'Data Entry'!D$6)), 0)</f>
        <v>6.0606060606060606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2.0304568527918785</v>
      </c>
    </row>
    <row r="10" spans="2:11" ht="15" customHeight="1">
      <c r="B10" s="16" t="s">
        <v>14</v>
      </c>
      <c r="C10" s="1">
        <f>IF((C$3&gt;0),(1000*('Data Entry'!B13/'Data Entry'!B$6)), 0)</f>
        <v>8.267349790405218</v>
      </c>
      <c r="D10" s="1">
        <f>IF((D$3&gt;0),(1000*('Data Entry'!C13/'Data Entry'!C$6)), 0)</f>
        <v>8.4177298434828369</v>
      </c>
      <c r="E10" s="1">
        <f>IF((E$3&gt;0),(1000*('Data Entry'!D13/'Data Entry'!D$6)), 0)</f>
        <v>12.121212121212121</v>
      </c>
      <c r="F10" s="1">
        <f>IF((F$3&gt;0),(1000*('Data Entry'!E13/'Data Entry'!E$6)), 0)</f>
        <v>1.5220700152207001</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5.0761421319796947</v>
      </c>
    </row>
    <row r="11" spans="2:11" ht="25.5" customHeight="1">
      <c r="B11" s="16" t="s">
        <v>15</v>
      </c>
      <c r="C11" s="1">
        <f>IF((C$3&gt;0),(1000*('Data Entry'!B14/'Data Entry'!B$6)), 0)</f>
        <v>3.0274802049371217</v>
      </c>
      <c r="D11" s="1">
        <f>IF((D$3&gt;0),(1000*('Data Entry'!C14/'Data Entry'!C$6)), 0)</f>
        <v>3.4197027489149021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Lapeer</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2.4251993620414676</v>
      </c>
      <c r="E19" s="72">
        <f t="shared" si="1"/>
        <v>0.60906833293278861</v>
      </c>
      <c r="F19" s="72" t="str">
        <f t="shared" si="1"/>
        <v>--</v>
      </c>
      <c r="G19" s="72" t="str">
        <f t="shared" si="1"/>
        <v>--</v>
      </c>
      <c r="H19" s="72" t="str">
        <f t="shared" si="1"/>
        <v>--</v>
      </c>
      <c r="I19" s="72" t="str">
        <f t="shared" si="1"/>
        <v>--</v>
      </c>
      <c r="J19" s="73">
        <f t="shared" si="1"/>
        <v>0.81250333956719223</v>
      </c>
    </row>
    <row r="20" spans="2:10" ht="15" customHeight="1">
      <c r="B20" s="71" t="s">
        <v>9</v>
      </c>
      <c r="C20" s="72">
        <f t="shared" ref="C20:J27" si="2">IF(AND(($D5&gt;0),(D5&gt;0)), (D5/$D5),"--")</f>
        <v>1</v>
      </c>
      <c r="D20" s="72">
        <f t="shared" si="2"/>
        <v>2.0944903581267216</v>
      </c>
      <c r="E20" s="72">
        <f t="shared" si="2"/>
        <v>0.17533785342004521</v>
      </c>
      <c r="F20" s="72" t="str">
        <f t="shared" si="2"/>
        <v>--</v>
      </c>
      <c r="G20" s="72" t="str">
        <f t="shared" si="2"/>
        <v>--</v>
      </c>
      <c r="H20" s="72" t="str">
        <f t="shared" si="2"/>
        <v>--</v>
      </c>
      <c r="I20" s="72" t="str">
        <f t="shared" si="2"/>
        <v>--</v>
      </c>
      <c r="J20" s="73">
        <f t="shared" si="2"/>
        <v>0.70170742962621135</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1.439962121212121</v>
      </c>
      <c r="E23" s="72" t="str">
        <f t="shared" si="2"/>
        <v>--</v>
      </c>
      <c r="F23" s="72" t="str">
        <f t="shared" si="2"/>
        <v>--</v>
      </c>
      <c r="G23" s="72" t="str">
        <f t="shared" si="2"/>
        <v>--</v>
      </c>
      <c r="H23" s="72" t="str">
        <f t="shared" si="2"/>
        <v>--</v>
      </c>
      <c r="I23" s="72" t="str">
        <f t="shared" si="2"/>
        <v>--</v>
      </c>
      <c r="J23" s="73">
        <f t="shared" si="2"/>
        <v>0.48242385786802033</v>
      </c>
    </row>
    <row r="24" spans="2:10" ht="15" customHeight="1">
      <c r="B24" s="71" t="s">
        <v>13</v>
      </c>
      <c r="C24" s="72">
        <f t="shared" si="2"/>
        <v>1</v>
      </c>
      <c r="D24" s="72">
        <f t="shared" si="2"/>
        <v>1.5889237199582027</v>
      </c>
      <c r="E24" s="72" t="str">
        <f t="shared" si="2"/>
        <v>--</v>
      </c>
      <c r="F24" s="72" t="str">
        <f t="shared" si="2"/>
        <v>--</v>
      </c>
      <c r="G24" s="72" t="str">
        <f t="shared" si="2"/>
        <v>--</v>
      </c>
      <c r="H24" s="72" t="str">
        <f t="shared" si="2"/>
        <v>--</v>
      </c>
      <c r="I24" s="72" t="str">
        <f t="shared" si="2"/>
        <v>--</v>
      </c>
      <c r="J24" s="73">
        <f t="shared" si="2"/>
        <v>0.53232977419919492</v>
      </c>
    </row>
    <row r="25" spans="2:10" ht="15" customHeight="1">
      <c r="B25" s="71" t="s">
        <v>14</v>
      </c>
      <c r="C25" s="72">
        <f t="shared" si="2"/>
        <v>1</v>
      </c>
      <c r="D25" s="72">
        <f t="shared" si="2"/>
        <v>1.439962121212121</v>
      </c>
      <c r="E25" s="72">
        <f t="shared" si="2"/>
        <v>0.18081716133942158</v>
      </c>
      <c r="F25" s="72" t="str">
        <f t="shared" si="2"/>
        <v>--</v>
      </c>
      <c r="G25" s="72" t="str">
        <f t="shared" si="2"/>
        <v>--</v>
      </c>
      <c r="H25" s="72" t="str">
        <f t="shared" si="2"/>
        <v>--</v>
      </c>
      <c r="I25" s="72" t="str">
        <f t="shared" si="2"/>
        <v>--</v>
      </c>
      <c r="J25" s="73">
        <f t="shared" si="2"/>
        <v>0.60302982233502522</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Lapeer</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7603</v>
      </c>
      <c r="D7" s="104">
        <f>'Data Entry'!D6</f>
        <v>165</v>
      </c>
      <c r="E7" s="105"/>
      <c r="F7" s="106">
        <f>'Data Entry'!E6</f>
        <v>657</v>
      </c>
      <c r="G7" s="105"/>
      <c r="H7" s="106">
        <f>'Data Entry'!F6</f>
        <v>122</v>
      </c>
      <c r="I7" s="105"/>
      <c r="J7" s="106">
        <f>'Data Entry'!G6</f>
        <v>0</v>
      </c>
      <c r="K7" s="105"/>
      <c r="L7" s="106">
        <f>'Data Entry'!H6</f>
        <v>41</v>
      </c>
      <c r="M7" s="105"/>
      <c r="N7" s="106">
        <f>'Data Entry'!I6</f>
        <v>0</v>
      </c>
      <c r="O7" s="105"/>
      <c r="P7" s="106">
        <f>'Data Entry'!J6</f>
        <v>985</v>
      </c>
      <c r="Q7" s="107"/>
    </row>
    <row r="8" spans="2:26" s="1" customFormat="1" ht="15" customHeight="1">
      <c r="B8" s="142" t="s">
        <v>8</v>
      </c>
      <c r="C8" s="103">
        <f>'Data Entry'!C7</f>
        <v>19</v>
      </c>
      <c r="D8" s="104">
        <f>'Data Entry'!D7</f>
        <v>1</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66</v>
      </c>
      <c r="D9" s="108">
        <f>'Data Entry'!D8</f>
        <v>3</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2</v>
      </c>
      <c r="O9" s="109" t="str">
        <f>'Other - Mixed'!G8</f>
        <v>*</v>
      </c>
      <c r="P9" s="110">
        <f>'Data Entry'!J8</f>
        <v>6</v>
      </c>
      <c r="Q9" s="111" t="str">
        <f>'All Minorities'!G8</f>
        <v>**</v>
      </c>
      <c r="R9"/>
      <c r="T9" s="1">
        <f>'Black or African-American'!L8</f>
        <v>40</v>
      </c>
      <c r="U9" s="1">
        <f>Hispanic!L8</f>
        <v>40</v>
      </c>
      <c r="V9" s="1">
        <f>Asian!L8</f>
        <v>40</v>
      </c>
      <c r="W9" s="1">
        <f>Hawaiian!L8</f>
        <v>139</v>
      </c>
      <c r="X9" s="1">
        <f>'Am Indian'!L8</f>
        <v>139</v>
      </c>
      <c r="Y9" s="1">
        <f>'Other - Mixed'!L8</f>
        <v>119</v>
      </c>
      <c r="Z9" s="1">
        <f>'All Minorities'!L8</f>
        <v>40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32</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29</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2</v>
      </c>
      <c r="Q13" s="111"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64</v>
      </c>
      <c r="D14" s="112">
        <f>'Data Entry'!D13</f>
        <v>2</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2</v>
      </c>
      <c r="O14" s="113" t="str">
        <f>'Other - Mixed'!G13</f>
        <v>*</v>
      </c>
      <c r="P14" s="114">
        <f>'Data Entry'!J13</f>
        <v>5</v>
      </c>
      <c r="Q14" s="115" t="str">
        <f>'All Minorities'!G13</f>
        <v>**</v>
      </c>
      <c r="R14"/>
      <c r="T14" s="1">
        <f>'Black or African-American'!L13</f>
        <v>40</v>
      </c>
      <c r="U14" s="1" t="e">
        <f>Hispanic!L13</f>
        <v>#DIV/0!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26</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20</v>
      </c>
      <c r="U15" s="1" t="e">
        <f>Hispanic!L14</f>
        <v>#VALUE!</v>
      </c>
      <c r="V15" s="1" t="e">
        <f>Asian!L14</f>
        <v>#VALUE!</v>
      </c>
      <c r="W15" s="1" t="e">
        <f>Hawaiian!L14</f>
        <v>#VALUE!</v>
      </c>
      <c r="X15" s="1" t="e">
        <f>'Am Indian'!L14</f>
        <v>#VALUE!</v>
      </c>
      <c r="Y15" s="1">
        <f>'Other - Mixed'!L14</f>
        <v>119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Lapeer</v>
      </c>
    </row>
    <row r="6" spans="1:12">
      <c r="A6" s="135" t="str">
        <f>CONCATENATE("Percentage of Minorities at Stages of the Juvenile Justice System, ", A5, " 2024")</f>
        <v>Percentage of Minorities at Stages of the Juvenile Justice System, County: Lapeer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7.7187817258883245</v>
      </c>
    </row>
    <row r="8" spans="1:12" ht="25.5" customHeight="1">
      <c r="A8" s="151" t="str">
        <f>CONCATENATE("Confinement, total N=", 'Data Entry'!B14)</f>
        <v>Confinement, total N=26</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N=26</v>
      </c>
      <c r="L8">
        <f>I14/(SUM(B14:G14))</f>
        <v>7.7187817258883245</v>
      </c>
    </row>
    <row r="9" spans="1:12">
      <c r="A9" s="128" t="str">
        <f>CONCATENATE("Delinquent Findings, total N=", 'Data Entry'!B12)</f>
        <v>Delinquent Findings, total N=31</v>
      </c>
      <c r="B9" s="150">
        <f>'Data Entry'!D12/'Data Entry'!B12</f>
        <v>3.2258064516129031E-2</v>
      </c>
      <c r="C9" s="150">
        <f>'Data Entry'!E12/'Data Entry'!B12</f>
        <v>0</v>
      </c>
      <c r="D9" s="150">
        <f>'Data Entry'!F12/'Data Entry'!B12</f>
        <v>0</v>
      </c>
      <c r="E9" s="150">
        <f>'Data Entry'!G12/'Data Entry'!B12</f>
        <v>0</v>
      </c>
      <c r="F9" s="150">
        <f>'Data Entry'!H12/'Data Entry'!B12</f>
        <v>0</v>
      </c>
      <c r="G9" s="150">
        <f>'Data Entry'!I12/'Data Entry'!B12</f>
        <v>3.2258064516129031E-2</v>
      </c>
      <c r="H9" s="150">
        <f>SUM(D9:G9)/'Data Entry'!B12</f>
        <v>1.0405827263267429E-3</v>
      </c>
      <c r="I9" s="150">
        <f>'Data Entry'!C12/'Data Entry'!B12</f>
        <v>0.93548387096774188</v>
      </c>
      <c r="K9" s="96" t="str">
        <f t="shared" si="0"/>
        <v>Delinquent Findings, total N=31</v>
      </c>
      <c r="L9">
        <f>I14/(SUM(B14:G14))</f>
        <v>7.7187817258883245</v>
      </c>
    </row>
    <row r="10" spans="1:12">
      <c r="A10" s="128" t="str">
        <f>CONCATENATE("Petitions, total N=", 'Data Entry'!B11)</f>
        <v>Petitions, total N=34</v>
      </c>
      <c r="B10" s="150">
        <f>'Data Entry'!D11/'Data Entry'!B11</f>
        <v>2.9411764705882353E-2</v>
      </c>
      <c r="C10" s="150">
        <f>'Data Entry'!E11/'Data Entry'!B11</f>
        <v>0</v>
      </c>
      <c r="D10" s="150">
        <f>'Data Entry'!F11/'Data Entry'!B11</f>
        <v>0</v>
      </c>
      <c r="E10" s="150">
        <f>'Data Entry'!G11/'Data Entry'!B11</f>
        <v>0</v>
      </c>
      <c r="F10" s="150">
        <f>'Data Entry'!H11/'Data Entry'!B11</f>
        <v>0</v>
      </c>
      <c r="G10" s="150">
        <f>'Data Entry'!I11/'Data Entry'!B11</f>
        <v>2.9411764705882353E-2</v>
      </c>
      <c r="H10" s="150">
        <f>SUM(D10:G10)/'Data Entry'!B11</f>
        <v>8.6505190311418688E-4</v>
      </c>
      <c r="I10" s="150">
        <f>'Data Entry'!C11/'Data Entry'!B11</f>
        <v>0.94117647058823528</v>
      </c>
      <c r="K10" s="96" t="str">
        <f t="shared" si="0"/>
        <v>Petitions, total N=34</v>
      </c>
      <c r="L10">
        <f>I14/(SUM(B14:G14))</f>
        <v>7.7187817258883245</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7.7187817258883245</v>
      </c>
    </row>
    <row r="12" spans="1:12">
      <c r="A12" s="128" t="str">
        <f>CONCATENATE("Referrals, total N=", 'Data Entry'!B8)</f>
        <v>Referrals, total N=74</v>
      </c>
      <c r="B12" s="150">
        <f>'Data Entry'!D8/'Data Entry'!B8</f>
        <v>4.0540540540540543E-2</v>
      </c>
      <c r="C12" s="150">
        <f>'Data Entry'!E8/'Data Entry'!B8</f>
        <v>1.3513513513513514E-2</v>
      </c>
      <c r="D12" s="150">
        <f>'Data Entry'!F8/'Data Entry'!B8</f>
        <v>0</v>
      </c>
      <c r="E12" s="150">
        <f>'Data Entry'!G8/'Data Entry'!B8</f>
        <v>0</v>
      </c>
      <c r="F12" s="150">
        <f>'Data Entry'!H8/'Data Entry'!B8</f>
        <v>0</v>
      </c>
      <c r="G12" s="150">
        <f>'Data Entry'!I8/'Data Entry'!B8</f>
        <v>2.7027027027027029E-2</v>
      </c>
      <c r="H12" s="150">
        <f>SUM(D12:G12)/'Data Entry'!B8</f>
        <v>3.652300949598247E-4</v>
      </c>
      <c r="I12" s="150">
        <f>'Data Entry'!C8/'Data Entry'!B8</f>
        <v>0.89189189189189189</v>
      </c>
      <c r="K12" s="96" t="str">
        <f t="shared" si="0"/>
        <v>Referrals, total N=74</v>
      </c>
      <c r="L12">
        <f>I14/(SUM(B14:G14))</f>
        <v>7.7187817258883245</v>
      </c>
    </row>
    <row r="13" spans="1:12">
      <c r="A13" s="128" t="str">
        <f>CONCATENATE("Arrests, total N=", 'Data Entry'!B7)</f>
        <v>Arrests, total N=21</v>
      </c>
      <c r="B13" s="150">
        <f>'Data Entry'!D7/'Data Entry'!B7</f>
        <v>4.7619047619047616E-2</v>
      </c>
      <c r="C13" s="150">
        <f>'Data Entry'!E7/'Data Entry'!B7</f>
        <v>4.7619047619047616E-2</v>
      </c>
      <c r="D13" s="150">
        <f>'Data Entry'!F7/'Data Entry'!B7</f>
        <v>0</v>
      </c>
      <c r="E13" s="150">
        <f>'Data Entry'!G7/'Data Entry'!B7</f>
        <v>0</v>
      </c>
      <c r="F13" s="150">
        <f>'Data Entry'!H7/'Data Entry'!B7</f>
        <v>0</v>
      </c>
      <c r="G13" s="150">
        <f>'Data Entry'!I7/'Data Entry'!B7</f>
        <v>0</v>
      </c>
      <c r="H13" s="150">
        <f>SUM(D13:G13)/'Data Entry'!B7</f>
        <v>0</v>
      </c>
      <c r="I13" s="150">
        <f>'Data Entry'!C7/'Data Entry'!B7</f>
        <v>0.90476190476190477</v>
      </c>
      <c r="K13" s="96" t="str">
        <f t="shared" si="0"/>
        <v>Arrests, total N=21</v>
      </c>
      <c r="L13">
        <f>I14/(SUM(B14:G14))</f>
        <v>7.7187817258883245</v>
      </c>
    </row>
    <row r="14" spans="1:12">
      <c r="A14" s="128" t="str">
        <f>CONCATENATE("Population, total N=", 'Data Entry'!B6)</f>
        <v>Population, total N=8588</v>
      </c>
      <c r="B14" s="150">
        <f>'Data Entry'!D6/'Data Entry'!B6</f>
        <v>1.9212855146716348E-2</v>
      </c>
      <c r="C14" s="150">
        <f>'Data Entry'!E6/'Data Entry'!B6</f>
        <v>7.6502095947834192E-2</v>
      </c>
      <c r="D14" s="150">
        <f>'Data Entry'!F6/'Data Entry'!B6</f>
        <v>1.4205868653935725E-2</v>
      </c>
      <c r="E14" s="150">
        <f>'Data Entry'!G6/'Data Entry'!B6</f>
        <v>0</v>
      </c>
      <c r="F14" s="150">
        <f>'Data Entry'!H6/'Data Entry'!B6</f>
        <v>4.7741034000931531E-3</v>
      </c>
      <c r="G14" s="150">
        <f>'Data Entry'!I6/'Data Entry'!B6</f>
        <v>0</v>
      </c>
      <c r="H14" s="150">
        <f>SUM(D14:G14)/'Data Entry'!B6</f>
        <v>2.210057295532007E-6</v>
      </c>
      <c r="I14" s="150">
        <f>'Data Entry'!C6/'Data Entry'!B6</f>
        <v>0.88530507685142057</v>
      </c>
      <c r="K14" s="96" t="str">
        <f t="shared" si="0"/>
        <v>Population, total N=8588</v>
      </c>
      <c r="L14">
        <f>I14/(SUM(B14:G14))</f>
        <v>7.7187817258883245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Lapeer</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7603</v>
      </c>
      <c r="D7" s="104">
        <f>'Data Entry'!D6</f>
        <v>165</v>
      </c>
      <c r="E7" s="105"/>
      <c r="F7" s="106">
        <f>'Data Entry'!E6</f>
        <v>657</v>
      </c>
      <c r="G7" s="105"/>
      <c r="H7" s="106">
        <f>'Data Entry'!F6</f>
        <v>122</v>
      </c>
      <c r="I7" s="105"/>
      <c r="J7" s="106">
        <f>'Data Entry'!J6</f>
        <v>985</v>
      </c>
      <c r="K7" s="107"/>
    </row>
    <row r="8" spans="2:30" s="1" customFormat="1" ht="15" customHeight="1">
      <c r="B8" s="121" t="s">
        <v>8</v>
      </c>
      <c r="C8" s="103">
        <f>'Data Entry'!C7</f>
        <v>19</v>
      </c>
      <c r="D8" s="104">
        <f>'Data Entry'!D7</f>
        <v>1</v>
      </c>
      <c r="E8" s="105" t="str">
        <f>'Black or African-American'!$G7</f>
        <v>**</v>
      </c>
      <c r="F8" s="106">
        <f>'Data Entry'!E7</f>
        <v>1</v>
      </c>
      <c r="G8" s="105" t="str">
        <f>Hispanic!G7</f>
        <v>**</v>
      </c>
      <c r="H8" s="106">
        <f>'Data Entry'!F7</f>
        <v>0</v>
      </c>
      <c r="I8" s="105" t="str">
        <f>Asian!G7</f>
        <v>**</v>
      </c>
      <c r="J8" s="106">
        <f>'Data Entry'!J7</f>
        <v>2</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66</v>
      </c>
      <c r="D9" s="108">
        <f>'Data Entry'!D8</f>
        <v>3</v>
      </c>
      <c r="E9" s="109" t="str">
        <f>'Black or African-American'!$G8</f>
        <v>**</v>
      </c>
      <c r="F9" s="110">
        <f>'Data Entry'!E8</f>
        <v>1</v>
      </c>
      <c r="G9" s="109" t="str">
        <f>Hispanic!G8</f>
        <v>**</v>
      </c>
      <c r="H9" s="110">
        <f>'Data Entry'!F8</f>
        <v>0</v>
      </c>
      <c r="I9" s="109" t="str">
        <f>Asian!G8</f>
        <v>**</v>
      </c>
      <c r="J9" s="110">
        <f>'Data Entry'!J8</f>
        <v>6</v>
      </c>
      <c r="K9" s="111" t="str">
        <f>'All Minorities'!G8</f>
        <v>**</v>
      </c>
      <c r="L9"/>
      <c r="N9" s="1">
        <f>'Black or African-American'!L8</f>
        <v>40</v>
      </c>
      <c r="O9" s="1">
        <f>Hispanic!L8</f>
        <v>40</v>
      </c>
      <c r="P9" s="1">
        <f>Asian!L8</f>
        <v>40</v>
      </c>
      <c r="Q9" s="1">
        <f>Hawaiian!L8</f>
        <v>139</v>
      </c>
      <c r="R9" s="1">
        <f>'Am Indian'!L8</f>
        <v>139</v>
      </c>
      <c r="S9" s="1">
        <f>'Other - Mixed'!L8</f>
        <v>119</v>
      </c>
      <c r="T9" s="1">
        <f>'All Minorities'!L8</f>
        <v>40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32</v>
      </c>
      <c r="D12" s="112">
        <f>'Data Entry'!D11</f>
        <v>1</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29</v>
      </c>
      <c r="D13" s="108">
        <f>'Data Entry'!D12</f>
        <v>1</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64</v>
      </c>
      <c r="D14" s="112">
        <f>'Data Entry'!D13</f>
        <v>2</v>
      </c>
      <c r="E14" s="113" t="str">
        <f>'Black or African-American'!$G13</f>
        <v>**</v>
      </c>
      <c r="F14" s="114">
        <f>'Data Entry'!E13</f>
        <v>1</v>
      </c>
      <c r="G14" s="113" t="str">
        <f>Hispanic!G13</f>
        <v>--</v>
      </c>
      <c r="H14" s="114">
        <f>'Data Entry'!F13</f>
        <v>0</v>
      </c>
      <c r="I14" s="113" t="str">
        <f>Asian!G13</f>
        <v>--</v>
      </c>
      <c r="J14" s="114">
        <f>'Data Entry'!J13</f>
        <v>5</v>
      </c>
      <c r="K14" s="115" t="str">
        <f>'All Minorities'!G13</f>
        <v>**</v>
      </c>
      <c r="L14"/>
      <c r="N14" s="1">
        <f>'Black or African-American'!L13</f>
        <v>40</v>
      </c>
      <c r="O14" s="1" t="e">
        <f>Hispanic!L13</f>
        <v>#DIV/0!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26</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20</v>
      </c>
      <c r="O15" s="1" t="e">
        <f>Hispanic!L14</f>
        <v>#VALUE!</v>
      </c>
      <c r="P15" s="1" t="e">
        <f>Asian!L14</f>
        <v>#VALUE!</v>
      </c>
      <c r="Q15" s="1" t="e">
        <f>Hawaiian!L14</f>
        <v>#VALUE!</v>
      </c>
      <c r="R15" s="1" t="e">
        <f>'Am Indian'!L14</f>
        <v>#VALUE!</v>
      </c>
      <c r="S15" s="1">
        <f>'Other - Mixed'!L14</f>
        <v>119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7603</v>
      </c>
      <c r="D6" s="34"/>
      <c r="E6" s="33">
        <f>'Data Entry'!D6</f>
        <v>165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2.4990135472839667</v>
      </c>
      <c r="E7" s="33">
        <f>'Data Entry'!D7</f>
        <v>1</v>
      </c>
      <c r="F7" s="34">
        <f>IF((AND($E$7&gt;0,$D$66&gt;0)),($E$7/$D$66),0)</f>
        <v>6.0606060606060606</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164</v>
      </c>
      <c r="P7" s="42">
        <f t="shared" ref="P7:P15" si="2">C7</f>
        <v>19</v>
      </c>
      <c r="Q7" s="42">
        <f>C6-C7</f>
        <v>7584</v>
      </c>
      <c r="R7" s="42">
        <f t="shared" ref="R7:R15" si="3">SUM(N7:Q7)</f>
        <v>7768</v>
      </c>
      <c r="S7" s="30">
        <f t="shared" ref="S7:S15" si="4">R7*((((N7*Q7)-(O7*P7))^2))</f>
        <v>155072770432</v>
      </c>
      <c r="T7" s="30">
        <f t="shared" ref="T7:T15" si="5">(N7+O7)*(P7+Q7)*(N7+P7)*(O7+Q7)</f>
        <v>194396545200</v>
      </c>
      <c r="U7" s="31">
        <f t="shared" ref="U7:U15" si="6">IF((S7&gt;0),S7/T7,"- -")</f>
        <v>0.7977136130297855</v>
      </c>
    </row>
    <row r="8" spans="2:21" ht="18" customHeight="1">
      <c r="B8" s="32" t="str">
        <f>'Data Entry'!A8</f>
        <v>3. Refer to Juvenile Court</v>
      </c>
      <c r="C8" s="33">
        <f>'Data Entry'!C8</f>
        <v>66</v>
      </c>
      <c r="D8" s="34">
        <f>IF((AND(C67&gt;0,C8&gt;0)),(C8/C67),0)</f>
        <v>347.36842105263156</v>
      </c>
      <c r="E8" s="33">
        <f>'Data Entry'!D8</f>
        <v>3</v>
      </c>
      <c r="F8" s="34">
        <f>IF((AND($E$8&gt;0,$D$67&gt;0)),($E8/$D67),0)</f>
        <v>300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v>
      </c>
      <c r="O8" s="42">
        <f>((D67*L67)-E8)+0.05</f>
        <v>-1.95</v>
      </c>
      <c r="P8" s="42">
        <f t="shared" si="2"/>
        <v>66</v>
      </c>
      <c r="Q8" s="42">
        <f>(C$67*L67)-C8</f>
        <v>-47</v>
      </c>
      <c r="R8" s="42">
        <f t="shared" si="3"/>
        <v>20.049999999999997</v>
      </c>
      <c r="S8" s="30">
        <f t="shared" si="4"/>
        <v>3033.3645000000051</v>
      </c>
      <c r="T8" s="30">
        <f t="shared" si="5"/>
        <v>-67382.122499999998</v>
      </c>
      <c r="U8" s="31">
        <f t="shared" si="6"/>
        <v>-4.5017348629823963E-2</v>
      </c>
    </row>
    <row r="9" spans="2:21" ht="18" customHeight="1">
      <c r="B9" s="32" t="str">
        <f>'Data Entry'!A9</f>
        <v xml:space="preserve">4. Cases Diverted </v>
      </c>
      <c r="C9" s="33">
        <f>'Data Entry'!C9</f>
        <v>1</v>
      </c>
      <c r="D9" s="34">
        <f>IF((AND(C68&gt;0,C9&gt;0)),((C9/C68)),0)</f>
        <v>1.5151515151515151</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3</v>
      </c>
      <c r="P9" s="42">
        <f t="shared" si="2"/>
        <v>1</v>
      </c>
      <c r="Q9" s="42">
        <f>(C$68*L68)-C9</f>
        <v>65</v>
      </c>
      <c r="R9" s="42">
        <f t="shared" si="3"/>
        <v>69</v>
      </c>
      <c r="S9" s="30">
        <f t="shared" si="4"/>
        <v>621</v>
      </c>
      <c r="T9" s="30">
        <f t="shared" si="5"/>
        <v>13464</v>
      </c>
      <c r="U9" s="31">
        <f t="shared" si="6"/>
        <v>4.6122994652406414E-2</v>
      </c>
    </row>
    <row r="10" spans="2:21" ht="18" customHeight="1">
      <c r="B10" s="32" t="str">
        <f>'Data Entry'!A10</f>
        <v>5. Cases Involving Secure Detention</v>
      </c>
      <c r="C10" s="33">
        <f>'Data Entry'!C10</f>
        <v>1</v>
      </c>
      <c r="D10" s="34">
        <f>IF(((AND(C68&gt;0,C10&gt;0))),(C10/(C68)),0)</f>
        <v>1.5151515151515151</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1</v>
      </c>
      <c r="Q10" s="42">
        <f>(C$68*L68)-C10</f>
        <v>65</v>
      </c>
      <c r="R10" s="42">
        <f t="shared" si="3"/>
        <v>69</v>
      </c>
      <c r="S10" s="30">
        <f t="shared" si="4"/>
        <v>621</v>
      </c>
      <c r="T10" s="30">
        <f t="shared" si="5"/>
        <v>13464</v>
      </c>
      <c r="U10" s="31">
        <f t="shared" si="6"/>
        <v>4.6122994652406414E-2</v>
      </c>
    </row>
    <row r="11" spans="2:21" ht="18" customHeight="1">
      <c r="B11" s="32" t="str">
        <f>'Data Entry'!A11</f>
        <v>6. Cases Petitioned (Charge Filed)</v>
      </c>
      <c r="C11" s="33">
        <f>'Data Entry'!C11</f>
        <v>32</v>
      </c>
      <c r="D11" s="34">
        <f>IF(((AND(C68&gt;0,C11&gt;0))),(C11/(C68)),0)</f>
        <v>48.484848484848484</v>
      </c>
      <c r="E11" s="33">
        <f>'Data Entry'!D11</f>
        <v>1</v>
      </c>
      <c r="F11" s="34">
        <f>IF(((AND($E$11&gt;0,$D$68&gt;0))),($E$11/($D$68)),0)</f>
        <v>33.333333333333336</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2</v>
      </c>
      <c r="P11" s="42">
        <f t="shared" si="2"/>
        <v>32</v>
      </c>
      <c r="Q11" s="42">
        <f>(C$68*L68)-C11</f>
        <v>34</v>
      </c>
      <c r="R11" s="42">
        <f t="shared" si="3"/>
        <v>69</v>
      </c>
      <c r="S11" s="30">
        <f t="shared" si="4"/>
        <v>62100</v>
      </c>
      <c r="T11" s="30">
        <f t="shared" si="5"/>
        <v>235224</v>
      </c>
      <c r="U11" s="31">
        <f t="shared" si="6"/>
        <v>0.26400367309458217</v>
      </c>
    </row>
    <row r="12" spans="2:21" ht="18" customHeight="1">
      <c r="B12" s="32" t="str">
        <f>'Data Entry'!A12</f>
        <v>7. Cases Resulting in Delinquent Findings</v>
      </c>
      <c r="C12" s="33">
        <f>'Data Entry'!C12</f>
        <v>29</v>
      </c>
      <c r="D12" s="34">
        <f>IF(((AND(C69&gt;0,C12&gt;0))),(C12/(C69)),0)</f>
        <v>90.625</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29</v>
      </c>
      <c r="Q12" s="42">
        <f>(C69*L69)-C12</f>
        <v>3</v>
      </c>
      <c r="R12" s="42">
        <f t="shared" si="3"/>
        <v>33</v>
      </c>
      <c r="S12" s="30">
        <f t="shared" si="4"/>
        <v>297</v>
      </c>
      <c r="T12" s="30">
        <f t="shared" si="5"/>
        <v>2880</v>
      </c>
      <c r="U12" s="31">
        <f t="shared" si="6"/>
        <v>0.10312499999999999</v>
      </c>
    </row>
    <row r="13" spans="2:21" ht="18" customHeight="1">
      <c r="B13" s="32" t="str">
        <f>'Data Entry'!A13</f>
        <v>8. Cases Resulting in Probation Placement</v>
      </c>
      <c r="C13" s="33">
        <f>'Data Entry'!C13</f>
        <v>64</v>
      </c>
      <c r="D13" s="34">
        <f>IF(((AND(C70&gt;0,C13&gt;0))),(C13/(C70)),0)</f>
        <v>220.68965517241381</v>
      </c>
      <c r="E13" s="33">
        <f>'Data Entry'!D13</f>
        <v>2</v>
      </c>
      <c r="F13" s="34">
        <f>IF(((AND($D$70&gt;0,$E$13&gt;0))),($E$13/($D$70)),0)</f>
        <v>200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-1</v>
      </c>
      <c r="P13" s="42">
        <f t="shared" si="2"/>
        <v>64</v>
      </c>
      <c r="Q13" s="42">
        <f>(C70*L70)-C13</f>
        <v>-35</v>
      </c>
      <c r="R13" s="42">
        <f t="shared" si="3"/>
        <v>30</v>
      </c>
      <c r="S13" s="30">
        <f t="shared" si="4"/>
        <v>1080</v>
      </c>
      <c r="T13" s="30">
        <f t="shared" si="5"/>
        <v>-68904</v>
      </c>
      <c r="U13" s="31">
        <f t="shared" si="6"/>
        <v>-1.5673981191222569E-2</v>
      </c>
    </row>
    <row r="14" spans="2:21" ht="30.75" customHeight="1">
      <c r="B14" s="32" t="str">
        <f>'Data Entry'!A14</f>
        <v xml:space="preserve">9. Cases Resulting in Confinement in Secure Juvenile Correctional Facilities </v>
      </c>
      <c r="C14" s="33">
        <f>'Data Entry'!C14</f>
        <v>26</v>
      </c>
      <c r="D14" s="34">
        <f>IF(((AND(C70&gt;0,C14&gt;0))), ((C14/(C70))),0)</f>
        <v>89.65517241379311</v>
      </c>
      <c r="E14" s="33">
        <f>'Data Entry'!D14</f>
        <v>0</v>
      </c>
      <c r="F14" s="34">
        <f>IF(((AND($D$70&gt;0,$E$14&gt;0))), (($E$14/($D$70))),0)</f>
        <v>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0</v>
      </c>
      <c r="O14" s="42">
        <f>(D70*L70)-E14</f>
        <v>1</v>
      </c>
      <c r="P14" s="42">
        <f t="shared" si="2"/>
        <v>26</v>
      </c>
      <c r="Q14" s="42">
        <f>(C70*L70)-C14</f>
        <v>2.9999999999999964</v>
      </c>
      <c r="R14" s="42">
        <f t="shared" si="3"/>
        <v>29.999999999999996</v>
      </c>
      <c r="S14" s="30">
        <f t="shared" si="4"/>
        <v>20279.999999999996</v>
      </c>
      <c r="T14" s="30">
        <f t="shared" si="5"/>
        <v>3015.9999999999968</v>
      </c>
      <c r="U14" s="31">
        <f t="shared" si="6"/>
        <v>6.7241379310344884</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32</v>
      </c>
      <c r="R15" s="42">
        <f t="shared" si="3"/>
        <v>33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7.6029999999999998</v>
      </c>
      <c r="D42" s="56">
        <f>E6/1000</f>
        <v>0.16500000000000001</v>
      </c>
      <c r="E42" s="56">
        <f>MAX(C42:D42)</f>
        <v>7.6029999999999998</v>
      </c>
      <c r="G42" s="1" t="str">
        <f>B42</f>
        <v>per 1000 youth</v>
      </c>
      <c r="L42" s="57">
        <v>1000</v>
      </c>
      <c r="M42" s="57"/>
      <c r="R42" s="49"/>
    </row>
    <row r="43" spans="2:18" ht="15" hidden="1" customHeight="1">
      <c r="B43" s="49" t="s">
        <v>87</v>
      </c>
      <c r="C43" s="56">
        <f>C7/100</f>
        <v>0.19</v>
      </c>
      <c r="D43" s="56">
        <f>E7/100</f>
        <v>0.01</v>
      </c>
      <c r="E43" s="56">
        <f>MAX(C43:D43,0)</f>
        <v>0.19</v>
      </c>
      <c r="G43" s="1" t="str">
        <f>B43</f>
        <v>per 100 arrests</v>
      </c>
      <c r="L43" s="57">
        <v>100</v>
      </c>
      <c r="M43" s="57"/>
      <c r="R43" s="49"/>
    </row>
    <row r="44" spans="2:18" ht="15" hidden="1" customHeight="1">
      <c r="B44" s="49" t="s">
        <v>88</v>
      </c>
      <c r="C44" s="56">
        <f>C8/100</f>
        <v>0.66</v>
      </c>
      <c r="D44" s="56">
        <f>E8/100</f>
        <v>0.03</v>
      </c>
      <c r="E44" s="56">
        <f>MAX(C44:D44,0)</f>
        <v>0.66</v>
      </c>
      <c r="G44" s="1" t="str">
        <f>B44</f>
        <v>per 100 referrals</v>
      </c>
      <c r="L44" s="57">
        <v>100</v>
      </c>
      <c r="M44" s="57"/>
      <c r="R44" s="49"/>
    </row>
    <row r="45" spans="2:18" ht="15" hidden="1" customHeight="1">
      <c r="B45" s="49" t="s">
        <v>89</v>
      </c>
      <c r="C45" s="49">
        <f>C11/100</f>
        <v>0.32</v>
      </c>
      <c r="D45" s="49">
        <f>E11/100</f>
        <v>0.01</v>
      </c>
      <c r="E45" s="56">
        <f>MAX(C45:D45,0)</f>
        <v>0.32</v>
      </c>
      <c r="G45" s="1" t="str">
        <f>B45</f>
        <v>per 100 youth petitioned</v>
      </c>
      <c r="L45" s="57">
        <v>100</v>
      </c>
      <c r="M45" s="57"/>
      <c r="R45" s="49"/>
    </row>
    <row r="46" spans="2:18" ht="15" hidden="1" customHeight="1">
      <c r="B46" s="49" t="s">
        <v>90</v>
      </c>
      <c r="C46" s="49">
        <f>C12/100</f>
        <v>0.28999999999999998</v>
      </c>
      <c r="D46" s="49">
        <f>E12/100</f>
        <v>0.01</v>
      </c>
      <c r="E46" s="56">
        <f>MAX(C46:D46)</f>
        <v>0.28999999999999998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7.6029999999999998</v>
      </c>
      <c r="D48" s="56">
        <f>D42</f>
        <v>0.16500000000000001</v>
      </c>
      <c r="E48" s="56">
        <f>MAX(C48:D48)</f>
        <v>7.6029999999999998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0.19</v>
      </c>
      <c r="D49" s="49">
        <f t="shared" si="9"/>
        <v>0.01</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0.66</v>
      </c>
      <c r="D50" s="49">
        <f t="shared" si="9"/>
        <v>0.03</v>
      </c>
      <c r="E50" s="49">
        <f>MAX(C50:D50)</f>
        <v>0.66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0.01</v>
      </c>
      <c r="E51" s="49">
        <f>MAX(C51:D51)</f>
        <v>0.32</v>
      </c>
      <c r="G51" s="1" t="str">
        <f>G45</f>
        <v>per 100 youth petitioned</v>
      </c>
      <c r="L51" s="58">
        <f>IF(($E45&gt;0),L45,L44)</f>
        <v>100</v>
      </c>
      <c r="M51" s="58"/>
    </row>
    <row r="52" spans="2:18" ht="15" hidden="1" customHeight="1">
      <c r="B52" s="49" t="str">
        <f>IF(($E46&gt;0),B46,B45)</f>
        <v>per 100 youth found delinquent</v>
      </c>
      <c r="C52" s="49">
        <f>IF(($E46&gt;0),C46,C45)</f>
        <v>0.28999999999999998</v>
      </c>
      <c r="D52" s="49">
        <f>IF(($E46&gt;0),D46,D45)</f>
        <v>0.01</v>
      </c>
      <c r="E52" s="56">
        <f>MAX(C52:D52)</f>
        <v>0.28999999999999998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7.6029999999999998</v>
      </c>
      <c r="D54" s="56">
        <f>D48</f>
        <v>0.16500000000000001</v>
      </c>
      <c r="E54" s="56">
        <f>MAX(C54:D54)</f>
        <v>7.6029999999999998</v>
      </c>
      <c r="G54" s="1" t="str">
        <f>G48</f>
        <v>per 1000 youth</v>
      </c>
      <c r="L54" s="58">
        <f>L48</f>
        <v>1000</v>
      </c>
      <c r="M54" s="58"/>
    </row>
    <row r="55" spans="2:18" ht="15" hidden="1" customHeight="1">
      <c r="B55" s="49" t="str">
        <f t="shared" ref="B55:D56" si="10">IF(($E49&gt;0),B49,B48)</f>
        <v>per 100 arrests</v>
      </c>
      <c r="C55" s="49">
        <f t="shared" si="10"/>
        <v>0.19</v>
      </c>
      <c r="D55" s="49">
        <f t="shared" si="10"/>
        <v>0.01</v>
      </c>
      <c r="E55" s="49">
        <f>MAX(C55:D55)</f>
        <v>0.19</v>
      </c>
      <c r="G55" s="1" t="str">
        <f>G49</f>
        <v>per 100 arrests</v>
      </c>
      <c r="L55" s="58">
        <f>IF(($E49&gt;0),L49,L48)</f>
        <v>100</v>
      </c>
      <c r="M55" s="58"/>
    </row>
    <row r="56" spans="2:18" ht="15" hidden="1" customHeight="1">
      <c r="B56" s="49" t="str">
        <f t="shared" si="10"/>
        <v>per 100 referrals</v>
      </c>
      <c r="C56" s="49">
        <f t="shared" si="10"/>
        <v>0.66</v>
      </c>
      <c r="D56" s="49">
        <f t="shared" si="10"/>
        <v>0.03</v>
      </c>
      <c r="E56" s="49">
        <f>MAX(C56:D56)</f>
        <v>0.66</v>
      </c>
      <c r="G56" s="1" t="str">
        <f>G50</f>
        <v>per 100 referrals</v>
      </c>
      <c r="L56" s="58">
        <f>IF(($E50&gt;0),L50,L49)</f>
        <v>100</v>
      </c>
      <c r="M56" s="58"/>
    </row>
    <row r="57" spans="2:18" ht="15" hidden="1" customHeight="1">
      <c r="B57" s="49" t="str">
        <f>IF(($E51&gt;0),B51,B49)</f>
        <v>per 100 youth petitioned</v>
      </c>
      <c r="C57" s="49">
        <f>IF(($E51&gt;0),C51,C50)</f>
        <v>0.32</v>
      </c>
      <c r="D57" s="49">
        <f>IF(($E51&gt;0),D51,D50)</f>
        <v>0.01</v>
      </c>
      <c r="E57" s="49">
        <f>MAX(C57:D57)</f>
        <v>0.32</v>
      </c>
      <c r="G57" s="1" t="str">
        <f>G51</f>
        <v>per 100 youth petitioned</v>
      </c>
      <c r="L57" s="58">
        <f>IF(($E51&gt;0),L51,L50)</f>
        <v>100</v>
      </c>
      <c r="M57" s="58"/>
    </row>
    <row r="58" spans="2:18" ht="15" hidden="1" customHeight="1">
      <c r="B58" s="49" t="str">
        <f>IF(($E52&gt;0),B52,B51)</f>
        <v>per 100 youth found delinquent</v>
      </c>
      <c r="C58" s="49">
        <f>IF(($E52&gt;0),C52,C51)</f>
        <v>0.28999999999999998</v>
      </c>
      <c r="D58" s="49">
        <f>IF(($E52&gt;0),D52,D51)</f>
        <v>0.01</v>
      </c>
      <c r="E58" s="56">
        <f>MAX(C58:D58)</f>
        <v>0.28999999999999998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7.6029999999999998</v>
      </c>
      <c r="D60" s="56">
        <f>D54</f>
        <v>0.16500000000000001</v>
      </c>
      <c r="E60" s="56">
        <f>MAX(C60:D60)</f>
        <v>7.6029999999999998</v>
      </c>
      <c r="G60" s="1" t="str">
        <f>G54</f>
        <v>per 1000 youth</v>
      </c>
      <c r="L60" s="58">
        <f>L54</f>
        <v>1000</v>
      </c>
      <c r="M60" s="58"/>
    </row>
    <row r="61" spans="2:18" ht="15" hidden="1" customHeight="1">
      <c r="B61" s="49" t="str">
        <f t="shared" ref="B61:D62" si="11">IF(($E55&gt;0),B55,B54)</f>
        <v>per 100 arrests</v>
      </c>
      <c r="C61" s="49">
        <f t="shared" si="11"/>
        <v>0.19</v>
      </c>
      <c r="D61" s="49">
        <f t="shared" si="11"/>
        <v>0.01</v>
      </c>
      <c r="E61" s="49">
        <f>MAX(C61:D61)</f>
        <v>0.19</v>
      </c>
      <c r="G61" s="1" t="str">
        <f>G55</f>
        <v>per 100 arrests</v>
      </c>
      <c r="L61" s="58">
        <f>IF(($E55&gt;0),L55,L54)</f>
        <v>100</v>
      </c>
      <c r="M61" s="58"/>
    </row>
    <row r="62" spans="2:18" ht="15" hidden="1" customHeight="1">
      <c r="B62" s="49" t="str">
        <f t="shared" si="11"/>
        <v>per 100 referrals</v>
      </c>
      <c r="C62" s="49">
        <f t="shared" si="11"/>
        <v>0.66</v>
      </c>
      <c r="D62" s="49">
        <f t="shared" si="11"/>
        <v>0.03</v>
      </c>
      <c r="E62" s="49">
        <f>MAX(C62:D62)</f>
        <v>0.66</v>
      </c>
      <c r="G62" s="1" t="str">
        <f>G56</f>
        <v>per 100 referrals</v>
      </c>
      <c r="L62" s="58">
        <f>IF(($E56&gt;0),L56,L55)</f>
        <v>100</v>
      </c>
      <c r="M62" s="58"/>
    </row>
    <row r="63" spans="2:18" ht="15" hidden="1" customHeight="1">
      <c r="B63" s="49" t="str">
        <f>IF(($E57&gt;0),B57,B55)</f>
        <v>per 100 youth petitioned</v>
      </c>
      <c r="C63" s="49">
        <f>IF(($E57&gt;0),C57,C56)</f>
        <v>0.32</v>
      </c>
      <c r="D63" s="49">
        <f>IF(($E57&gt;0),D57,D56)</f>
        <v>0.01</v>
      </c>
      <c r="E63" s="49">
        <f>MAX(C63:D63)</f>
        <v>0.32</v>
      </c>
      <c r="G63" s="1" t="str">
        <f>G57</f>
        <v>per 100 youth petitioned</v>
      </c>
      <c r="L63" s="58">
        <f>IF(($E57&gt;0),L57,L56)</f>
        <v>100</v>
      </c>
      <c r="M63" s="58"/>
    </row>
    <row r="64" spans="2:18" ht="15" hidden="1" customHeight="1">
      <c r="B64" s="49" t="str">
        <f>IF(($E58&gt;0),B58,B57)</f>
        <v>per 100 youth found delinquent</v>
      </c>
      <c r="C64" s="49">
        <f>IF(($E58&gt;0),C58,C57)</f>
        <v>0.28999999999999998</v>
      </c>
      <c r="D64" s="49">
        <f>IF(($E58&gt;0),D58,D57)</f>
        <v>0.01</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7.6029999999999998</v>
      </c>
      <c r="D66" s="56">
        <f>D60</f>
        <v>0.16500000000000001</v>
      </c>
      <c r="E66" s="56">
        <f>MAX(C66:D66)</f>
        <v>7.6029999999999998</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0.01</v>
      </c>
      <c r="E67" s="49">
        <f>MAX(C67:D67)</f>
        <v>0.19</v>
      </c>
      <c r="G67" s="1" t="str">
        <f>G61</f>
        <v>per 100 arrests</v>
      </c>
      <c r="L67" s="58">
        <f>IF(($E61&gt;0),L61,L60)</f>
        <v>100</v>
      </c>
      <c r="M67" s="58">
        <f>IF((B67=G67),1,2)</f>
        <v>1</v>
      </c>
    </row>
    <row r="68" spans="2:13" ht="15" hidden="1" customHeight="1">
      <c r="B68" s="49" t="str">
        <f t="shared" si="12"/>
        <v>per 100 referrals</v>
      </c>
      <c r="C68" s="49">
        <f t="shared" si="12"/>
        <v>0.66</v>
      </c>
      <c r="D68" s="49">
        <f t="shared" si="12"/>
        <v>0.03</v>
      </c>
      <c r="E68" s="49">
        <f>MAX(C68:D68)</f>
        <v>0.66</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0.01</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0.28999999999999998</v>
      </c>
      <c r="D70" s="49">
        <f>IF(($E64&gt;0),D64,D63)</f>
        <v>0.01</v>
      </c>
      <c r="E70" s="56">
        <f>MAX(C70:D70)</f>
        <v>0.28999999999999998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7603</v>
      </c>
      <c r="D6" s="34"/>
      <c r="E6" s="33">
        <f>'Data Entry'!F6</f>
        <v>122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2.4990135472839667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122</v>
      </c>
      <c r="P7" s="42">
        <f t="shared" ref="P7:P15" si="4">C7</f>
        <v>19</v>
      </c>
      <c r="Q7" s="42">
        <f>C6-C7</f>
        <v>7584</v>
      </c>
      <c r="R7" s="42">
        <f t="shared" ref="R7:R15" si="5">SUM(N7:Q7)</f>
        <v>7725</v>
      </c>
      <c r="S7" s="30">
        <f t="shared" ref="S7:S15" si="6">R7*((((N7*Q7)-(O7*P7))^2))</f>
        <v>41507382900</v>
      </c>
      <c r="T7" s="30">
        <f t="shared" ref="T7:T15" si="7">(N7+O7)*(P7+Q7)*(N7+P7)*(O7+Q7)</f>
        <v>135808648324</v>
      </c>
      <c r="U7" s="31">
        <f t="shared" ref="U7:U15" si="8">IF((S7&gt;0),S7/T7,"- -")</f>
        <v>0.30563136745883396</v>
      </c>
    </row>
    <row r="8" spans="2:21" ht="18" customHeight="1">
      <c r="B8" s="32" t="str">
        <f>'Data Entry'!A8</f>
        <v>3. Refer to Juvenile Court</v>
      </c>
      <c r="C8" s="33">
        <f>'Data Entry'!C8</f>
        <v>66</v>
      </c>
      <c r="D8" s="34">
        <f>IF((AND(C67&gt;0,C8&gt;0)),(C8/C67),0)</f>
        <v>347.36842105263156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66</v>
      </c>
      <c r="Q8" s="42">
        <f>(C$67*L67)-C8</f>
        <v>-47</v>
      </c>
      <c r="R8" s="42">
        <f t="shared" si="5"/>
        <v>19.049999999999997</v>
      </c>
      <c r="S8" s="30">
        <f t="shared" si="6"/>
        <v>207.45450000000002</v>
      </c>
      <c r="T8" s="30">
        <f t="shared" si="7"/>
        <v>-2943.7650000000003</v>
      </c>
      <c r="U8" s="31">
        <f t="shared" si="8"/>
        <v>-7.0472507146460403E-2</v>
      </c>
    </row>
    <row r="9" spans="2:21" ht="18" customHeight="1">
      <c r="B9" s="32" t="str">
        <f>'Data Entry'!A9</f>
        <v xml:space="preserve">4. Cases Diverted </v>
      </c>
      <c r="C9" s="33">
        <f>'Data Entry'!C9</f>
        <v>1</v>
      </c>
      <c r="D9" s="34">
        <f>IF((AND(C68&gt;0,C9&gt;0)),((C9/C68)),0)</f>
        <v>1.5151515151515151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65</v>
      </c>
      <c r="R9" s="42">
        <f t="shared" si="5"/>
        <v>66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1.5151515151515151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65</v>
      </c>
      <c r="R10" s="42">
        <f t="shared" si="5"/>
        <v>66</v>
      </c>
      <c r="S10" s="30">
        <f t="shared" si="6"/>
        <v>0</v>
      </c>
      <c r="T10" s="30">
        <f t="shared" si="7"/>
        <v>0</v>
      </c>
      <c r="U10" s="31" t="str">
        <f t="shared" si="8"/>
        <v>- -</v>
      </c>
    </row>
    <row r="11" spans="2:21" ht="18" customHeight="1">
      <c r="B11" s="32" t="str">
        <f>'Data Entry'!A11</f>
        <v>6. Cases Petitioned (Charge Filed)</v>
      </c>
      <c r="C11" s="33">
        <f>'Data Entry'!C11</f>
        <v>32</v>
      </c>
      <c r="D11" s="34">
        <f>IF(((AND(C68&gt;0,C11&gt;0))),(C11/(C68)),0)</f>
        <v>48.484848484848484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32</v>
      </c>
      <c r="Q11" s="42">
        <f>(C$68*L68)-C11</f>
        <v>34</v>
      </c>
      <c r="R11" s="42">
        <f t="shared" si="5"/>
        <v>66</v>
      </c>
      <c r="S11" s="30">
        <f t="shared" si="6"/>
        <v>0</v>
      </c>
      <c r="T11" s="30">
        <f t="shared" si="7"/>
        <v>0</v>
      </c>
      <c r="U11" s="31" t="str">
        <f t="shared" si="8"/>
        <v>- -</v>
      </c>
    </row>
    <row r="12" spans="2:21" ht="18" customHeight="1">
      <c r="B12" s="32" t="str">
        <f>'Data Entry'!A12</f>
        <v>7. Cases Resulting in Delinquent Findings</v>
      </c>
      <c r="C12" s="33">
        <f>'Data Entry'!C12</f>
        <v>29</v>
      </c>
      <c r="D12" s="34">
        <f>IF(((AND(C69&gt;0,C12&gt;0))),(C12/(C69)),0)</f>
        <v>90.625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29</v>
      </c>
      <c r="Q12" s="42">
        <f>(C69*L69)-C12</f>
        <v>3</v>
      </c>
      <c r="R12" s="42">
        <f t="shared" si="5"/>
        <v>32</v>
      </c>
      <c r="S12" s="30">
        <f t="shared" si="6"/>
        <v>0</v>
      </c>
      <c r="T12" s="30">
        <f t="shared" si="7"/>
        <v>0</v>
      </c>
      <c r="U12" s="31" t="str">
        <f t="shared" si="8"/>
        <v>- -</v>
      </c>
    </row>
    <row r="13" spans="2:21" ht="18" customHeight="1">
      <c r="B13" s="32" t="str">
        <f>'Data Entry'!A13</f>
        <v>8. Cases Resulting in Probation Placement</v>
      </c>
      <c r="C13" s="33">
        <f>'Data Entry'!C13</f>
        <v>64</v>
      </c>
      <c r="D13" s="34">
        <f>IF(((AND(C70&gt;0,C13&gt;0))),(C13/(C70)),0)</f>
        <v>220.68965517241381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64</v>
      </c>
      <c r="Q13" s="42">
        <f>(C70*L70)-C13</f>
        <v>-35</v>
      </c>
      <c r="R13" s="42">
        <f t="shared" si="5"/>
        <v>29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26</v>
      </c>
      <c r="D14" s="34">
        <f>IF(((AND(C70&gt;0,C14&gt;0))), ((C14/(C70))),0)</f>
        <v>89.65517241379311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26</v>
      </c>
      <c r="Q14" s="42">
        <f>(C70*L70)-C14</f>
        <v>2.9999999999999964</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32</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7.6029999999999998</v>
      </c>
      <c r="D42" s="56">
        <f>E6/1000</f>
        <v>0.122</v>
      </c>
      <c r="E42" s="56">
        <f>MAX(C42:D42)</f>
        <v>7.6029999999999998</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0.66</v>
      </c>
      <c r="D44" s="56">
        <f>E8/100</f>
        <v>0</v>
      </c>
      <c r="E44" s="56">
        <f>MAX(C44:D44,0)</f>
        <v>0.66</v>
      </c>
      <c r="G44" s="1" t="str">
        <f>B44</f>
        <v>per 100 referrals</v>
      </c>
      <c r="L44" s="57">
        <v>100</v>
      </c>
      <c r="M44" s="57"/>
      <c r="R44" s="49"/>
    </row>
    <row r="45" spans="2:18" ht="15" hidden="1" customHeight="1">
      <c r="B45" s="49" t="s">
        <v>89</v>
      </c>
      <c r="C45" s="49">
        <f>C11/100</f>
        <v>0.32</v>
      </c>
      <c r="D45" s="49">
        <f>E11/100</f>
        <v>0</v>
      </c>
      <c r="E45" s="56">
        <f>MAX(C45:D45,0)</f>
        <v>0.32</v>
      </c>
      <c r="G45" s="1" t="str">
        <f>B45</f>
        <v>per 100 youth petitioned</v>
      </c>
      <c r="L45" s="57">
        <v>100</v>
      </c>
      <c r="M45" s="57"/>
      <c r="R45" s="49"/>
    </row>
    <row r="46" spans="2:18" ht="15" hidden="1" customHeight="1">
      <c r="B46" s="49" t="s">
        <v>90</v>
      </c>
      <c r="C46" s="49">
        <f>C12/100</f>
        <v>0.28999999999999998</v>
      </c>
      <c r="D46" s="49">
        <f>E12/100</f>
        <v>0</v>
      </c>
      <c r="E46" s="56">
        <f>MAX(C46:D46)</f>
        <v>0.28999999999999998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7.6029999999999998</v>
      </c>
      <c r="D48" s="56">
        <f>D42</f>
        <v>0.122</v>
      </c>
      <c r="E48" s="56">
        <f>MAX(C48:D48)</f>
        <v>7.6029999999999998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0.66</v>
      </c>
      <c r="D50" s="49">
        <f t="shared" si="9"/>
        <v>0</v>
      </c>
      <c r="E50" s="49">
        <f>MAX(C50:D50)</f>
        <v>0.66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v>
      </c>
      <c r="E51" s="49">
        <f>MAX(C51:D51)</f>
        <v>0.32</v>
      </c>
      <c r="G51" s="1" t="str">
        <f>G45</f>
        <v>per 100 youth petitioned</v>
      </c>
      <c r="L51" s="58">
        <f>IF(($E45&gt;0),L45,L44)</f>
        <v>100</v>
      </c>
      <c r="M51" s="58"/>
    </row>
    <row r="52" spans="2:18" ht="15" hidden="1" customHeight="1">
      <c r="B52" s="49" t="str">
        <f>IF(($E46&gt;0),B46,B45)</f>
        <v>per 100 youth found delinquent</v>
      </c>
      <c r="C52" s="49">
        <f>IF(($E46&gt;0),C46,C45)</f>
        <v>0.28999999999999998</v>
      </c>
      <c r="D52" s="49">
        <f>IF(($E46&gt;0),D46,D45)</f>
        <v>0</v>
      </c>
      <c r="E52" s="56">
        <f>MAX(C52:D52)</f>
        <v>0.28999999999999998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7.6029999999999998</v>
      </c>
      <c r="D54" s="56">
        <f>D48</f>
        <v>0.122</v>
      </c>
      <c r="E54" s="56">
        <f>MAX(C54:D54)</f>
        <v>7.6029999999999998</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0.66</v>
      </c>
      <c r="D56" s="49">
        <f t="shared" si="10"/>
        <v>0</v>
      </c>
      <c r="E56" s="49">
        <f>MAX(C56:D56)</f>
        <v>0.66</v>
      </c>
      <c r="G56" s="1" t="str">
        <f>G50</f>
        <v>per 100 referrals</v>
      </c>
      <c r="L56" s="58">
        <f>IF(($E50&gt;0),L50,L49)</f>
        <v>100</v>
      </c>
      <c r="M56" s="58"/>
    </row>
    <row r="57" spans="2:18" ht="15" hidden="1" customHeight="1">
      <c r="B57" s="49" t="str">
        <f>IF(($E51&gt;0),B51,B49)</f>
        <v>per 100 youth petitioned</v>
      </c>
      <c r="C57" s="49">
        <f>IF(($E51&gt;0),C51,C50)</f>
        <v>0.32</v>
      </c>
      <c r="D57" s="49">
        <f>IF(($E51&gt;0),D51,D50)</f>
        <v>0</v>
      </c>
      <c r="E57" s="49">
        <f>MAX(C57:D57)</f>
        <v>0.32</v>
      </c>
      <c r="G57" s="1" t="str">
        <f>G51</f>
        <v>per 100 youth petitioned</v>
      </c>
      <c r="L57" s="58">
        <f>IF(($E51&gt;0),L51,L50)</f>
        <v>100</v>
      </c>
      <c r="M57" s="58"/>
    </row>
    <row r="58" spans="2:18" ht="15" hidden="1" customHeight="1">
      <c r="B58" s="49" t="str">
        <f>IF(($E52&gt;0),B52,B51)</f>
        <v>per 100 youth found delinquent</v>
      </c>
      <c r="C58" s="49">
        <f>IF(($E52&gt;0),C52,C51)</f>
        <v>0.28999999999999998</v>
      </c>
      <c r="D58" s="49">
        <f>IF(($E52&gt;0),D52,D51)</f>
        <v>0</v>
      </c>
      <c r="E58" s="56">
        <f>MAX(C58:D58)</f>
        <v>0.28999999999999998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7.6029999999999998</v>
      </c>
      <c r="D60" s="56">
        <f>D54</f>
        <v>0.122</v>
      </c>
      <c r="E60" s="56">
        <f>MAX(C60:D60)</f>
        <v>7.6029999999999998</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0.66</v>
      </c>
      <c r="D62" s="49">
        <f t="shared" si="11"/>
        <v>0</v>
      </c>
      <c r="E62" s="49">
        <f>MAX(C62:D62)</f>
        <v>0.66</v>
      </c>
      <c r="G62" s="1" t="str">
        <f>G56</f>
        <v>per 100 referrals</v>
      </c>
      <c r="L62" s="58">
        <f>IF(($E56&gt;0),L56,L55)</f>
        <v>100</v>
      </c>
      <c r="M62" s="58"/>
    </row>
    <row r="63" spans="2:18" ht="15" hidden="1" customHeight="1">
      <c r="B63" s="49" t="str">
        <f>IF(($E57&gt;0),B57,B55)</f>
        <v>per 100 youth petitioned</v>
      </c>
      <c r="C63" s="49">
        <f>IF(($E57&gt;0),C57,C56)</f>
        <v>0.32</v>
      </c>
      <c r="D63" s="49">
        <f>IF(($E57&gt;0),D57,D56)</f>
        <v>0</v>
      </c>
      <c r="E63" s="49">
        <f>MAX(C63:D63)</f>
        <v>0.32</v>
      </c>
      <c r="G63" s="1" t="str">
        <f>G57</f>
        <v>per 100 youth petitioned</v>
      </c>
      <c r="L63" s="58">
        <f>IF(($E57&gt;0),L57,L56)</f>
        <v>100</v>
      </c>
      <c r="M63" s="58"/>
    </row>
    <row r="64" spans="2:18" ht="15" hidden="1" customHeight="1">
      <c r="B64" s="49" t="str">
        <f>IF(($E58&gt;0),B58,B57)</f>
        <v>per 100 youth found delinquent</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7.6029999999999998</v>
      </c>
      <c r="D66" s="56">
        <f>D60</f>
        <v>0.122</v>
      </c>
      <c r="E66" s="56">
        <f>MAX(C66:D66)</f>
        <v>7.6029999999999998</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0.66</v>
      </c>
      <c r="D68" s="49">
        <f t="shared" si="12"/>
        <v>0</v>
      </c>
      <c r="E68" s="49">
        <f>MAX(C68:D68)</f>
        <v>0.66</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0.28999999999999998</v>
      </c>
      <c r="D70" s="49">
        <f>IF(($E64&gt;0),D64,D63)</f>
        <v>0</v>
      </c>
      <c r="E70" s="56">
        <f>MAX(C70:D70)</f>
        <v>0.28999999999999998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7603</v>
      </c>
      <c r="D6" s="34"/>
      <c r="E6" s="33">
        <f>'Data Entry'!E6</f>
        <v>657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2.4990135472839667</v>
      </c>
      <c r="E7" s="33">
        <f>'Data Entry'!E7</f>
        <v>1</v>
      </c>
      <c r="F7" s="34">
        <f>IF((AND($E$7&gt;0,$D$66&gt;0)),($E$7/$D$66),0)</f>
        <v>1.5220700152207001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656</v>
      </c>
      <c r="P7" s="42">
        <f t="shared" ref="P7:P15" si="4">C7</f>
        <v>19</v>
      </c>
      <c r="Q7" s="42">
        <f>C6-C7</f>
        <v>7584</v>
      </c>
      <c r="R7" s="42">
        <f t="shared" ref="R7:R15" si="5">SUM(N7:Q7)</f>
        <v>8260</v>
      </c>
      <c r="S7" s="30">
        <f t="shared" ref="S7:S15" si="6">R7*((((N7*Q7)-(O7*P7))^2))</f>
        <v>196706944000</v>
      </c>
      <c r="T7" s="30">
        <f t="shared" ref="T7:T15" si="7">(N7+O7)*(P7+Q7)*(N7+P7)*(O7+Q7)</f>
        <v>823204180800</v>
      </c>
      <c r="U7" s="31">
        <f t="shared" ref="U7:U15" si="8">IF((S7&gt;0),S7/T7,"- -")</f>
        <v>0.23895280003174638</v>
      </c>
    </row>
    <row r="8" spans="2:21" ht="18" customHeight="1">
      <c r="B8" s="32" t="str">
        <f>'Data Entry'!A8</f>
        <v>3. Refer to Juvenile Court</v>
      </c>
      <c r="C8" s="33">
        <f>'Data Entry'!C8</f>
        <v>66</v>
      </c>
      <c r="D8" s="34">
        <f>IF((AND(C67&gt;0,C8&gt;0)),(C8/C67),0)</f>
        <v>347.36842105263156</v>
      </c>
      <c r="E8" s="33">
        <f>'Data Entry'!E8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66</v>
      </c>
      <c r="Q8" s="42">
        <f>(C$67*L67)-C8</f>
        <v>-47</v>
      </c>
      <c r="R8" s="42">
        <f t="shared" si="5"/>
        <v>20.049999999999997</v>
      </c>
      <c r="S8" s="30">
        <f t="shared" si="6"/>
        <v>50728.304499999984</v>
      </c>
      <c r="T8" s="30">
        <f t="shared" si="7"/>
        <v>-62755.717499999999</v>
      </c>
      <c r="U8" s="31">
        <f t="shared" si="8"/>
        <v>-0.80834554238026179</v>
      </c>
    </row>
    <row r="9" spans="2:21" ht="18" customHeight="1">
      <c r="B9" s="32" t="str">
        <f>'Data Entry'!A9</f>
        <v xml:space="preserve">4. Cases Diverted </v>
      </c>
      <c r="C9" s="33">
        <f>'Data Entry'!C9</f>
        <v>1</v>
      </c>
      <c r="D9" s="34">
        <f>IF((AND(C68&gt;0,C9&gt;0)),((C9/C68)),0)</f>
        <v>1.5151515151515151</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1</v>
      </c>
      <c r="Q9" s="42">
        <f>(C$68*L68)-C9</f>
        <v>65</v>
      </c>
      <c r="R9" s="42">
        <f t="shared" si="5"/>
        <v>67</v>
      </c>
      <c r="S9" s="30">
        <f t="shared" si="6"/>
        <v>67</v>
      </c>
      <c r="T9" s="30">
        <f t="shared" si="7"/>
        <v>4356</v>
      </c>
      <c r="U9" s="31">
        <f t="shared" si="8"/>
        <v>1.5381083562901745E-2</v>
      </c>
    </row>
    <row r="10" spans="2:21" ht="18" customHeight="1">
      <c r="B10" s="32" t="str">
        <f>'Data Entry'!A10</f>
        <v>5. Cases Involving Secure Detention</v>
      </c>
      <c r="C10" s="33">
        <f>'Data Entry'!C10</f>
        <v>1</v>
      </c>
      <c r="D10" s="34">
        <f>IF(((AND(C68&gt;0,C10&gt;0))),(C10/(C68)),0)</f>
        <v>1.5151515151515151</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v>
      </c>
      <c r="Q10" s="42">
        <f>(C$68*L68)-C10</f>
        <v>65</v>
      </c>
      <c r="R10" s="42">
        <f t="shared" si="5"/>
        <v>67</v>
      </c>
      <c r="S10" s="30">
        <f t="shared" si="6"/>
        <v>67</v>
      </c>
      <c r="T10" s="30">
        <f t="shared" si="7"/>
        <v>4356</v>
      </c>
      <c r="U10" s="31">
        <f t="shared" si="8"/>
        <v>1.5381083562901745E-2</v>
      </c>
    </row>
    <row r="11" spans="2:21" ht="18" customHeight="1">
      <c r="B11" s="32" t="str">
        <f>'Data Entry'!A11</f>
        <v>6. Cases Petitioned (Charge Filed)</v>
      </c>
      <c r="C11" s="33">
        <f>'Data Entry'!C11</f>
        <v>32</v>
      </c>
      <c r="D11" s="34">
        <f>IF(((AND(C68&gt;0,C11&gt;0))),(C11/(C68)),0)</f>
        <v>48.484848484848484</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32</v>
      </c>
      <c r="Q11" s="42">
        <f>(C$68*L68)-C11</f>
        <v>34</v>
      </c>
      <c r="R11" s="42">
        <f t="shared" si="5"/>
        <v>67</v>
      </c>
      <c r="S11" s="30">
        <f t="shared" si="6"/>
        <v>68608</v>
      </c>
      <c r="T11" s="30">
        <f t="shared" si="7"/>
        <v>73920</v>
      </c>
      <c r="U11" s="31">
        <f t="shared" si="8"/>
        <v>0.92813852813852815</v>
      </c>
    </row>
    <row r="12" spans="2:21" ht="18" customHeight="1">
      <c r="B12" s="32" t="str">
        <f>'Data Entry'!A12</f>
        <v>7. Cases Resulting in Delinquent Findings</v>
      </c>
      <c r="C12" s="33">
        <f>'Data Entry'!C12</f>
        <v>29</v>
      </c>
      <c r="D12" s="34">
        <f>IF(((AND(C69&gt;0,C12&gt;0))),(C12/(C69)),0)</f>
        <v>90.625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29</v>
      </c>
      <c r="Q12" s="42">
        <f>(C69*L69)-C12</f>
        <v>3</v>
      </c>
      <c r="R12" s="42">
        <f t="shared" si="5"/>
        <v>32</v>
      </c>
      <c r="S12" s="30">
        <f t="shared" si="6"/>
        <v>0</v>
      </c>
      <c r="T12" s="30">
        <f t="shared" si="7"/>
        <v>0</v>
      </c>
      <c r="U12" s="31" t="str">
        <f t="shared" si="8"/>
        <v>- -</v>
      </c>
    </row>
    <row r="13" spans="2:21" ht="18" customHeight="1">
      <c r="B13" s="32" t="str">
        <f>'Data Entry'!A13</f>
        <v>8. Cases Resulting in Probation Placement</v>
      </c>
      <c r="C13" s="33">
        <f>'Data Entry'!C13</f>
        <v>64</v>
      </c>
      <c r="D13" s="34">
        <f>IF(((AND(C70&gt;0,C13&gt;0))),(C13/(C70)),0)</f>
        <v>220.68965517241381</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64</v>
      </c>
      <c r="Q13" s="42">
        <f>(C70*L70)-C13</f>
        <v>-35</v>
      </c>
      <c r="R13" s="42">
        <f t="shared" si="5"/>
        <v>29</v>
      </c>
      <c r="S13" s="30">
        <f t="shared" si="6"/>
        <v>24389</v>
      </c>
      <c r="T13" s="30">
        <f t="shared" si="7"/>
        <v>0</v>
      </c>
      <c r="U13" s="31" t="e">
        <f t="shared" si="8"/>
        <v>#DIV/0!</v>
      </c>
    </row>
    <row r="14" spans="2:21" ht="30.75" customHeight="1">
      <c r="B14" s="32" t="str">
        <f>'Data Entry'!A14</f>
        <v xml:space="preserve">9. Cases Resulting in Confinement in Secure Juvenile Correctional Facilities </v>
      </c>
      <c r="C14" s="33">
        <f>'Data Entry'!C14</f>
        <v>26</v>
      </c>
      <c r="D14" s="34">
        <f>IF(((AND(C70&gt;0,C14&gt;0))), ((C14/(C70))),0)</f>
        <v>89.65517241379311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26</v>
      </c>
      <c r="Q14" s="42">
        <f>(C70*L70)-C14</f>
        <v>2.9999999999999964</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32</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7.6029999999999998</v>
      </c>
      <c r="D42" s="56">
        <f>E6/1000</f>
        <v>0.65700000000000003</v>
      </c>
      <c r="E42" s="56">
        <f>MAX(C42:D42)</f>
        <v>7.6029999999999998</v>
      </c>
      <c r="G42" s="1" t="str">
        <f>B42</f>
        <v>per 1000 youth</v>
      </c>
      <c r="L42" s="57">
        <v>1000</v>
      </c>
      <c r="M42" s="57"/>
      <c r="R42" s="49"/>
    </row>
    <row r="43" spans="2:18" ht="15" hidden="1" customHeight="1">
      <c r="B43" s="49" t="s">
        <v>87</v>
      </c>
      <c r="C43" s="56">
        <f>C7/100</f>
        <v>0.19</v>
      </c>
      <c r="D43" s="56">
        <f>E7/100</f>
        <v>0.01</v>
      </c>
      <c r="E43" s="56">
        <f>MAX(C43:D43,0)</f>
        <v>0.19</v>
      </c>
      <c r="G43" s="1" t="str">
        <f>B43</f>
        <v>per 100 arrests</v>
      </c>
      <c r="L43" s="57">
        <v>100</v>
      </c>
      <c r="M43" s="57"/>
      <c r="R43" s="49"/>
    </row>
    <row r="44" spans="2:18" ht="15" hidden="1" customHeight="1">
      <c r="B44" s="49" t="s">
        <v>88</v>
      </c>
      <c r="C44" s="56">
        <f>C8/100</f>
        <v>0.66</v>
      </c>
      <c r="D44" s="56">
        <f>E8/100</f>
        <v>0.01</v>
      </c>
      <c r="E44" s="56">
        <f>MAX(C44:D44,0)</f>
        <v>0.66</v>
      </c>
      <c r="G44" s="1" t="str">
        <f>B44</f>
        <v>per 100 referrals</v>
      </c>
      <c r="L44" s="57">
        <v>100</v>
      </c>
      <c r="M44" s="57"/>
      <c r="R44" s="49"/>
    </row>
    <row r="45" spans="2:18" ht="15" hidden="1" customHeight="1">
      <c r="B45" s="49" t="s">
        <v>89</v>
      </c>
      <c r="C45" s="49">
        <f>C11/100</f>
        <v>0.32</v>
      </c>
      <c r="D45" s="49">
        <f>E11/100</f>
        <v>0</v>
      </c>
      <c r="E45" s="56">
        <f>MAX(C45:D45,0)</f>
        <v>0.32</v>
      </c>
      <c r="G45" s="1" t="str">
        <f>B45</f>
        <v>per 100 youth petitioned</v>
      </c>
      <c r="L45" s="57">
        <v>100</v>
      </c>
      <c r="M45" s="57"/>
      <c r="R45" s="49"/>
    </row>
    <row r="46" spans="2:18" ht="15" hidden="1" customHeight="1">
      <c r="B46" s="49" t="s">
        <v>90</v>
      </c>
      <c r="C46" s="49">
        <f>C12/100</f>
        <v>0.28999999999999998</v>
      </c>
      <c r="D46" s="49">
        <f>E12/100</f>
        <v>0</v>
      </c>
      <c r="E46" s="56">
        <f>MAX(C46:D46)</f>
        <v>0.28999999999999998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7.6029999999999998</v>
      </c>
      <c r="D48" s="56">
        <f>D42</f>
        <v>0.65700000000000003</v>
      </c>
      <c r="E48" s="56">
        <f>MAX(C48:D48)</f>
        <v>7.6029999999999998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0.01</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0.66</v>
      </c>
      <c r="D50" s="49">
        <f t="shared" si="9"/>
        <v>0.01</v>
      </c>
      <c r="E50" s="49">
        <f>MAX(C50:D50)</f>
        <v>0.66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v>
      </c>
      <c r="E51" s="49">
        <f>MAX(C51:D51)</f>
        <v>0.32</v>
      </c>
      <c r="G51" s="1" t="str">
        <f>G45</f>
        <v>per 100 youth petitioned</v>
      </c>
      <c r="L51" s="58">
        <f>IF(($E45&gt;0),L45,L44)</f>
        <v>100</v>
      </c>
      <c r="M51" s="58"/>
    </row>
    <row r="52" spans="2:18" ht="15" hidden="1" customHeight="1">
      <c r="B52" s="49" t="str">
        <f>IF(($E46&gt;0),B46,B45)</f>
        <v>per 100 youth found delinquent</v>
      </c>
      <c r="C52" s="49">
        <f>IF(($E46&gt;0),C46,C45)</f>
        <v>0.28999999999999998</v>
      </c>
      <c r="D52" s="49">
        <f>IF(($E46&gt;0),D46,D45)</f>
        <v>0</v>
      </c>
      <c r="E52" s="56">
        <f>MAX(C52:D52)</f>
        <v>0.28999999999999998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7.6029999999999998</v>
      </c>
      <c r="D54" s="56">
        <f>D48</f>
        <v>0.65700000000000003</v>
      </c>
      <c r="E54" s="56">
        <f>MAX(C54:D54)</f>
        <v>7.6029999999999998</v>
      </c>
      <c r="G54" s="1" t="str">
        <f>G48</f>
        <v>per 1000 youth</v>
      </c>
      <c r="L54" s="58">
        <f>L48</f>
        <v>1000</v>
      </c>
      <c r="M54" s="58"/>
    </row>
    <row r="55" spans="2:18" ht="15" hidden="1" customHeight="1">
      <c r="B55" s="49" t="str">
        <f t="shared" ref="B55:D56" si="10">IF(($E49&gt;0),B49,B48)</f>
        <v>per 100 arrests</v>
      </c>
      <c r="C55" s="49">
        <f t="shared" si="10"/>
        <v>0.19</v>
      </c>
      <c r="D55" s="49">
        <f t="shared" si="10"/>
        <v>0.01</v>
      </c>
      <c r="E55" s="49">
        <f>MAX(C55:D55)</f>
        <v>0.19</v>
      </c>
      <c r="G55" s="1" t="str">
        <f>G49</f>
        <v>per 100 arrests</v>
      </c>
      <c r="L55" s="58">
        <f>IF(($E49&gt;0),L49,L48)</f>
        <v>100</v>
      </c>
      <c r="M55" s="58"/>
    </row>
    <row r="56" spans="2:18" ht="15" hidden="1" customHeight="1">
      <c r="B56" s="49" t="str">
        <f t="shared" si="10"/>
        <v>per 100 referrals</v>
      </c>
      <c r="C56" s="49">
        <f t="shared" si="10"/>
        <v>0.66</v>
      </c>
      <c r="D56" s="49">
        <f t="shared" si="10"/>
        <v>0.01</v>
      </c>
      <c r="E56" s="49">
        <f>MAX(C56:D56)</f>
        <v>0.66</v>
      </c>
      <c r="G56" s="1" t="str">
        <f>G50</f>
        <v>per 100 referrals</v>
      </c>
      <c r="L56" s="58">
        <f>IF(($E50&gt;0),L50,L49)</f>
        <v>100</v>
      </c>
      <c r="M56" s="58"/>
    </row>
    <row r="57" spans="2:18" ht="15" hidden="1" customHeight="1">
      <c r="B57" s="49" t="str">
        <f>IF(($E51&gt;0),B51,B49)</f>
        <v>per 100 youth petitioned</v>
      </c>
      <c r="C57" s="49">
        <f>IF(($E51&gt;0),C51,C50)</f>
        <v>0.32</v>
      </c>
      <c r="D57" s="49">
        <f>IF(($E51&gt;0),D51,D50)</f>
        <v>0</v>
      </c>
      <c r="E57" s="49">
        <f>MAX(C57:D57)</f>
        <v>0.32</v>
      </c>
      <c r="G57" s="1" t="str">
        <f>G51</f>
        <v>per 100 youth petitioned</v>
      </c>
      <c r="L57" s="58">
        <f>IF(($E51&gt;0),L51,L50)</f>
        <v>100</v>
      </c>
      <c r="M57" s="58"/>
    </row>
    <row r="58" spans="2:18" ht="15" hidden="1" customHeight="1">
      <c r="B58" s="49" t="str">
        <f>IF(($E52&gt;0),B52,B51)</f>
        <v>per 100 youth found delinquent</v>
      </c>
      <c r="C58" s="49">
        <f>IF(($E52&gt;0),C52,C51)</f>
        <v>0.28999999999999998</v>
      </c>
      <c r="D58" s="49">
        <f>IF(($E52&gt;0),D52,D51)</f>
        <v>0</v>
      </c>
      <c r="E58" s="56">
        <f>MAX(C58:D58)</f>
        <v>0.28999999999999998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7.6029999999999998</v>
      </c>
      <c r="D60" s="56">
        <f>D54</f>
        <v>0.65700000000000003</v>
      </c>
      <c r="E60" s="56">
        <f>MAX(C60:D60)</f>
        <v>7.6029999999999998</v>
      </c>
      <c r="G60" s="1" t="str">
        <f>G54</f>
        <v>per 1000 youth</v>
      </c>
      <c r="L60" s="58">
        <f>L54</f>
        <v>1000</v>
      </c>
      <c r="M60" s="58"/>
    </row>
    <row r="61" spans="2:18" ht="15" hidden="1" customHeight="1">
      <c r="B61" s="49" t="str">
        <f t="shared" ref="B61:D62" si="11">IF(($E55&gt;0),B55,B54)</f>
        <v>per 100 arrests</v>
      </c>
      <c r="C61" s="49">
        <f t="shared" si="11"/>
        <v>0.19</v>
      </c>
      <c r="D61" s="49">
        <f t="shared" si="11"/>
        <v>0.01</v>
      </c>
      <c r="E61" s="49">
        <f>MAX(C61:D61)</f>
        <v>0.19</v>
      </c>
      <c r="G61" s="1" t="str">
        <f>G55</f>
        <v>per 100 arrests</v>
      </c>
      <c r="L61" s="58">
        <f>IF(($E55&gt;0),L55,L54)</f>
        <v>100</v>
      </c>
      <c r="M61" s="58"/>
    </row>
    <row r="62" spans="2:18" ht="15" hidden="1" customHeight="1">
      <c r="B62" s="49" t="str">
        <f t="shared" si="11"/>
        <v>per 100 referrals</v>
      </c>
      <c r="C62" s="49">
        <f t="shared" si="11"/>
        <v>0.66</v>
      </c>
      <c r="D62" s="49">
        <f t="shared" si="11"/>
        <v>0.01</v>
      </c>
      <c r="E62" s="49">
        <f>MAX(C62:D62)</f>
        <v>0.66</v>
      </c>
      <c r="G62" s="1" t="str">
        <f>G56</f>
        <v>per 100 referrals</v>
      </c>
      <c r="L62" s="58">
        <f>IF(($E56&gt;0),L56,L55)</f>
        <v>100</v>
      </c>
      <c r="M62" s="58"/>
    </row>
    <row r="63" spans="2:18" ht="15" hidden="1" customHeight="1">
      <c r="B63" s="49" t="str">
        <f>IF(($E57&gt;0),B57,B55)</f>
        <v>per 100 youth petitioned</v>
      </c>
      <c r="C63" s="49">
        <f>IF(($E57&gt;0),C57,C56)</f>
        <v>0.32</v>
      </c>
      <c r="D63" s="49">
        <f>IF(($E57&gt;0),D57,D56)</f>
        <v>0</v>
      </c>
      <c r="E63" s="49">
        <f>MAX(C63:D63)</f>
        <v>0.32</v>
      </c>
      <c r="G63" s="1" t="str">
        <f>G57</f>
        <v>per 100 youth petitioned</v>
      </c>
      <c r="L63" s="58">
        <f>IF(($E57&gt;0),L57,L56)</f>
        <v>100</v>
      </c>
      <c r="M63" s="58"/>
    </row>
    <row r="64" spans="2:18" ht="15" hidden="1" customHeight="1">
      <c r="B64" s="49" t="str">
        <f>IF(($E58&gt;0),B58,B57)</f>
        <v>per 100 youth found delinquent</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7.6029999999999998</v>
      </c>
      <c r="D66" s="56">
        <f>D60</f>
        <v>0.65700000000000003</v>
      </c>
      <c r="E66" s="56">
        <f>MAX(C66:D66)</f>
        <v>7.6029999999999998</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0.01</v>
      </c>
      <c r="E67" s="49">
        <f>MAX(C67:D67)</f>
        <v>0.19</v>
      </c>
      <c r="G67" s="1" t="str">
        <f>G61</f>
        <v>per 100 arrests</v>
      </c>
      <c r="L67" s="58">
        <f>IF(($E61&gt;0),L61,L60)</f>
        <v>100</v>
      </c>
      <c r="M67" s="58">
        <f>IF((B67=G67),1,2)</f>
        <v>1</v>
      </c>
    </row>
    <row r="68" spans="2:13" ht="15" hidden="1" customHeight="1">
      <c r="B68" s="49" t="str">
        <f t="shared" si="12"/>
        <v>per 100 referrals</v>
      </c>
      <c r="C68" s="49">
        <f t="shared" si="12"/>
        <v>0.66</v>
      </c>
      <c r="D68" s="49">
        <f t="shared" si="12"/>
        <v>0.01</v>
      </c>
      <c r="E68" s="49">
        <f>MAX(C68:D68)</f>
        <v>0.66</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0.28999999999999998</v>
      </c>
      <c r="D70" s="49">
        <f>IF(($E64&gt;0),D64,D63)</f>
        <v>0</v>
      </c>
      <c r="E70" s="56">
        <f>MAX(C70:D70)</f>
        <v>0.28999999999999998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7603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2.4990135472839667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7584</v>
      </c>
      <c r="R7" s="42">
        <f t="shared" ref="R7:R15" si="5">SUM(N7:Q7)</f>
        <v>7603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66</v>
      </c>
      <c r="D8" s="34">
        <f>IF((AND(C67&gt;0,C8&gt;0)),(C8/C67),0)</f>
        <v>347.36842105263156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66</v>
      </c>
      <c r="Q8" s="42">
        <f>(C$67*L67)-C8</f>
        <v>-47</v>
      </c>
      <c r="R8" s="42">
        <f t="shared" si="5"/>
        <v>19.049999999999997</v>
      </c>
      <c r="S8" s="30">
        <f t="shared" si="6"/>
        <v>207.45450000000002</v>
      </c>
      <c r="T8" s="30">
        <f t="shared" si="7"/>
        <v>-2943.7650000000003</v>
      </c>
      <c r="U8" s="31">
        <f t="shared" si="8"/>
        <v>-7.0472507146460403E-2</v>
      </c>
    </row>
    <row r="9" spans="2:21" ht="18" customHeight="1">
      <c r="B9" s="32" t="str">
        <f>'Data Entry'!A9</f>
        <v xml:space="preserve">4. Cases Diverted </v>
      </c>
      <c r="C9" s="33">
        <f>'Data Entry'!C9</f>
        <v>1</v>
      </c>
      <c r="D9" s="34">
        <f>IF((AND(C68&gt;0,C9&gt;0)),((C9/C68)),0)</f>
        <v>1.5151515151515151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65</v>
      </c>
      <c r="R9" s="42">
        <f t="shared" si="5"/>
        <v>66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1.5151515151515151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65</v>
      </c>
      <c r="R10" s="42">
        <f t="shared" si="5"/>
        <v>66</v>
      </c>
      <c r="S10" s="30">
        <f t="shared" si="6"/>
        <v>0</v>
      </c>
      <c r="T10" s="30">
        <f t="shared" si="7"/>
        <v>0</v>
      </c>
      <c r="U10" s="31" t="str">
        <f t="shared" si="8"/>
        <v>- -</v>
      </c>
    </row>
    <row r="11" spans="2:21" ht="18" customHeight="1">
      <c r="B11" s="32" t="str">
        <f>'Data Entry'!A11</f>
        <v>6. Cases Petitioned (Charge Filed)</v>
      </c>
      <c r="C11" s="33">
        <f>'Data Entry'!C11</f>
        <v>32</v>
      </c>
      <c r="D11" s="34">
        <f>IF(((AND(C68&gt;0,C11&gt;0))),(C11/(C68)),0)</f>
        <v>48.484848484848484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32</v>
      </c>
      <c r="Q11" s="42">
        <f>(C$68*L68)-C11</f>
        <v>34</v>
      </c>
      <c r="R11" s="42">
        <f t="shared" si="5"/>
        <v>66</v>
      </c>
      <c r="S11" s="30">
        <f t="shared" si="6"/>
        <v>0</v>
      </c>
      <c r="T11" s="30">
        <f t="shared" si="7"/>
        <v>0</v>
      </c>
      <c r="U11" s="31" t="str">
        <f t="shared" si="8"/>
        <v>- -</v>
      </c>
    </row>
    <row r="12" spans="2:21" ht="18" customHeight="1">
      <c r="B12" s="32" t="str">
        <f>'Data Entry'!A12</f>
        <v>7. Cases Resulting in Delinquent Findings</v>
      </c>
      <c r="C12" s="33">
        <f>'Data Entry'!C12</f>
        <v>29</v>
      </c>
      <c r="D12" s="34">
        <f>IF(((AND(C69&gt;0,C12&gt;0))),(C12/(C69)),0)</f>
        <v>90.625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29</v>
      </c>
      <c r="Q12" s="42">
        <f>(C69*L69)-C12</f>
        <v>3</v>
      </c>
      <c r="R12" s="42">
        <f t="shared" si="5"/>
        <v>32</v>
      </c>
      <c r="S12" s="30">
        <f t="shared" si="6"/>
        <v>0</v>
      </c>
      <c r="T12" s="30">
        <f t="shared" si="7"/>
        <v>0</v>
      </c>
      <c r="U12" s="31" t="str">
        <f t="shared" si="8"/>
        <v>- -</v>
      </c>
    </row>
    <row r="13" spans="2:21" ht="18" customHeight="1">
      <c r="B13" s="32" t="str">
        <f>'Data Entry'!A13</f>
        <v>8. Cases Resulting in Probation Placement</v>
      </c>
      <c r="C13" s="33">
        <f>'Data Entry'!C13</f>
        <v>64</v>
      </c>
      <c r="D13" s="34">
        <f>IF(((AND(C70&gt;0,C13&gt;0))),(C13/(C70)),0)</f>
        <v>220.68965517241381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64</v>
      </c>
      <c r="Q13" s="42">
        <f>(C70*L70)-C13</f>
        <v>-35</v>
      </c>
      <c r="R13" s="42">
        <f t="shared" si="5"/>
        <v>29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26</v>
      </c>
      <c r="D14" s="34">
        <f>IF(((AND(C70&gt;0,C14&gt;0))), ((C14/(C70))),0)</f>
        <v>89.65517241379311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26</v>
      </c>
      <c r="Q14" s="42">
        <f>(C70*L70)-C14</f>
        <v>2.9999999999999964</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32</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7.6029999999999998</v>
      </c>
      <c r="D42" s="56">
        <f>E6/1000</f>
        <v>0</v>
      </c>
      <c r="E42" s="56">
        <f>MAX(C42:D42)</f>
        <v>7.6029999999999998</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0.66</v>
      </c>
      <c r="D44" s="56">
        <f>E8/100</f>
        <v>0</v>
      </c>
      <c r="E44" s="56">
        <f>MAX(C44:D44,0)</f>
        <v>0.66</v>
      </c>
      <c r="G44" s="1" t="str">
        <f>B44</f>
        <v>per 100 referrals</v>
      </c>
      <c r="L44" s="57">
        <v>100</v>
      </c>
      <c r="M44" s="57"/>
      <c r="R44" s="49"/>
    </row>
    <row r="45" spans="2:18" ht="15" hidden="1" customHeight="1">
      <c r="B45" s="49" t="s">
        <v>89</v>
      </c>
      <c r="C45" s="49">
        <f>C11/100</f>
        <v>0.32</v>
      </c>
      <c r="D45" s="49">
        <f>E11/100</f>
        <v>0</v>
      </c>
      <c r="E45" s="56">
        <f>MAX(C45:D45,0)</f>
        <v>0.32</v>
      </c>
      <c r="G45" s="1" t="str">
        <f>B45</f>
        <v>per 100 youth petitioned</v>
      </c>
      <c r="L45" s="57">
        <v>100</v>
      </c>
      <c r="M45" s="57"/>
      <c r="R45" s="49"/>
    </row>
    <row r="46" spans="2:18" ht="15" hidden="1" customHeight="1">
      <c r="B46" s="49" t="s">
        <v>90</v>
      </c>
      <c r="C46" s="49">
        <f>C12/100</f>
        <v>0.28999999999999998</v>
      </c>
      <c r="D46" s="49">
        <f>E12/100</f>
        <v>0</v>
      </c>
      <c r="E46" s="56">
        <f>MAX(C46:D46)</f>
        <v>0.28999999999999998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7.6029999999999998</v>
      </c>
      <c r="D48" s="56">
        <f>D42</f>
        <v>0</v>
      </c>
      <c r="E48" s="56">
        <f>MAX(C48:D48)</f>
        <v>7.6029999999999998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0.66</v>
      </c>
      <c r="D50" s="49">
        <f t="shared" si="9"/>
        <v>0</v>
      </c>
      <c r="E50" s="49">
        <f>MAX(C50:D50)</f>
        <v>0.66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v>
      </c>
      <c r="E51" s="49">
        <f>MAX(C51:D51)</f>
        <v>0.32</v>
      </c>
      <c r="G51" s="1" t="str">
        <f>G45</f>
        <v>per 100 youth petitioned</v>
      </c>
      <c r="L51" s="58">
        <f>IF(($E45&gt;0),L45,L44)</f>
        <v>100</v>
      </c>
      <c r="M51" s="58"/>
    </row>
    <row r="52" spans="2:18" ht="15" hidden="1" customHeight="1">
      <c r="B52" s="49" t="str">
        <f>IF(($E46&gt;0),B46,B45)</f>
        <v>per 100 youth found delinquent</v>
      </c>
      <c r="C52" s="49">
        <f>IF(($E46&gt;0),C46,C45)</f>
        <v>0.28999999999999998</v>
      </c>
      <c r="D52" s="49">
        <f>IF(($E46&gt;0),D46,D45)</f>
        <v>0</v>
      </c>
      <c r="E52" s="56">
        <f>MAX(C52:D52)</f>
        <v>0.28999999999999998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7.6029999999999998</v>
      </c>
      <c r="D54" s="56">
        <f>D48</f>
        <v>0</v>
      </c>
      <c r="E54" s="56">
        <f>MAX(C54:D54)</f>
        <v>7.6029999999999998</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0.66</v>
      </c>
      <c r="D56" s="49">
        <f t="shared" si="10"/>
        <v>0</v>
      </c>
      <c r="E56" s="49">
        <f>MAX(C56:D56)</f>
        <v>0.66</v>
      </c>
      <c r="G56" s="1" t="str">
        <f>G50</f>
        <v>per 100 referrals</v>
      </c>
      <c r="L56" s="58">
        <f>IF(($E50&gt;0),L50,L49)</f>
        <v>100</v>
      </c>
      <c r="M56" s="58"/>
    </row>
    <row r="57" spans="2:18" ht="15" hidden="1" customHeight="1">
      <c r="B57" s="49" t="str">
        <f>IF(($E51&gt;0),B51,B49)</f>
        <v>per 100 youth petitioned</v>
      </c>
      <c r="C57" s="49">
        <f>IF(($E51&gt;0),C51,C50)</f>
        <v>0.32</v>
      </c>
      <c r="D57" s="49">
        <f>IF(($E51&gt;0),D51,D50)</f>
        <v>0</v>
      </c>
      <c r="E57" s="49">
        <f>MAX(C57:D57)</f>
        <v>0.32</v>
      </c>
      <c r="G57" s="1" t="str">
        <f>G51</f>
        <v>per 100 youth petitioned</v>
      </c>
      <c r="L57" s="58">
        <f>IF(($E51&gt;0),L51,L50)</f>
        <v>100</v>
      </c>
      <c r="M57" s="58"/>
    </row>
    <row r="58" spans="2:18" ht="15" hidden="1" customHeight="1">
      <c r="B58" s="49" t="str">
        <f>IF(($E52&gt;0),B52,B51)</f>
        <v>per 100 youth found delinquent</v>
      </c>
      <c r="C58" s="49">
        <f>IF(($E52&gt;0),C52,C51)</f>
        <v>0.28999999999999998</v>
      </c>
      <c r="D58" s="49">
        <f>IF(($E52&gt;0),D52,D51)</f>
        <v>0</v>
      </c>
      <c r="E58" s="56">
        <f>MAX(C58:D58)</f>
        <v>0.28999999999999998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7.6029999999999998</v>
      </c>
      <c r="D60" s="56">
        <f>D54</f>
        <v>0</v>
      </c>
      <c r="E60" s="56">
        <f>MAX(C60:D60)</f>
        <v>7.6029999999999998</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0.66</v>
      </c>
      <c r="D62" s="49">
        <f t="shared" si="11"/>
        <v>0</v>
      </c>
      <c r="E62" s="49">
        <f>MAX(C62:D62)</f>
        <v>0.66</v>
      </c>
      <c r="G62" s="1" t="str">
        <f>G56</f>
        <v>per 100 referrals</v>
      </c>
      <c r="L62" s="58">
        <f>IF(($E56&gt;0),L56,L55)</f>
        <v>100</v>
      </c>
      <c r="M62" s="58"/>
    </row>
    <row r="63" spans="2:18" ht="15" hidden="1" customHeight="1">
      <c r="B63" s="49" t="str">
        <f>IF(($E57&gt;0),B57,B55)</f>
        <v>per 100 youth petitioned</v>
      </c>
      <c r="C63" s="49">
        <f>IF(($E57&gt;0),C57,C56)</f>
        <v>0.32</v>
      </c>
      <c r="D63" s="49">
        <f>IF(($E57&gt;0),D57,D56)</f>
        <v>0</v>
      </c>
      <c r="E63" s="49">
        <f>MAX(C63:D63)</f>
        <v>0.32</v>
      </c>
      <c r="G63" s="1" t="str">
        <f>G57</f>
        <v>per 100 youth petitioned</v>
      </c>
      <c r="L63" s="58">
        <f>IF(($E57&gt;0),L57,L56)</f>
        <v>100</v>
      </c>
      <c r="M63" s="58"/>
    </row>
    <row r="64" spans="2:18" ht="15" hidden="1" customHeight="1">
      <c r="B64" s="49" t="str">
        <f>IF(($E58&gt;0),B58,B57)</f>
        <v>per 100 youth found delinquent</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7.6029999999999998</v>
      </c>
      <c r="D66" s="56">
        <f>D60</f>
        <v>0</v>
      </c>
      <c r="E66" s="56">
        <f>MAX(C66:D66)</f>
        <v>7.6029999999999998</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0.66</v>
      </c>
      <c r="D68" s="49">
        <f t="shared" si="12"/>
        <v>0</v>
      </c>
      <c r="E68" s="49">
        <f>MAX(C68:D68)</f>
        <v>0.66</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0.28999999999999998</v>
      </c>
      <c r="D70" s="49">
        <f>IF(($E64&gt;0),D64,D63)</f>
        <v>0</v>
      </c>
      <c r="E70" s="56">
        <f>MAX(C70:D70)</f>
        <v>0.28999999999999998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Lapeer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7603</v>
      </c>
      <c r="D6" s="34"/>
      <c r="E6" s="33">
        <f>'Data Entry'!H6</f>
        <v>41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2.4990135472839667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41</v>
      </c>
      <c r="P7" s="42">
        <f t="shared" ref="P7:P15" si="4">C7</f>
        <v>19</v>
      </c>
      <c r="Q7" s="42">
        <f>C6-C7</f>
        <v>7584</v>
      </c>
      <c r="R7" s="42">
        <f t="shared" ref="R7:R15" si="5">SUM(N7:Q7)</f>
        <v>7644</v>
      </c>
      <c r="S7" s="30">
        <f t="shared" ref="S7:S15" si="6">R7*((((N7*Q7)-(O7*P7))^2))</f>
        <v>4638692604</v>
      </c>
      <c r="T7" s="30">
        <f t="shared" ref="T7:T15" si="7">(N7+O7)*(P7+Q7)*(N7+P7)*(O7+Q7)</f>
        <v>45160869625</v>
      </c>
      <c r="U7" s="31">
        <f t="shared" ref="U7:U15" si="8">IF((S7&gt;0),S7/T7,"- -")</f>
        <v>0.10271486449481762</v>
      </c>
    </row>
    <row r="8" spans="2:21" ht="18" customHeight="1">
      <c r="B8" s="32" t="str">
        <f>'Data Entry'!A8</f>
        <v>3. Refer to Juvenile Court</v>
      </c>
      <c r="C8" s="33">
        <f>'Data Entry'!C8</f>
        <v>66</v>
      </c>
      <c r="D8" s="34">
        <f>IF((AND(C67&gt;0,C8&gt;0)),(C8/C67),0)</f>
        <v>347.36842105263156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66</v>
      </c>
      <c r="Q8" s="42">
        <f>(C$67*L67)-C8</f>
        <v>-47</v>
      </c>
      <c r="R8" s="42">
        <f t="shared" si="5"/>
        <v>19.049999999999997</v>
      </c>
      <c r="S8" s="30">
        <f t="shared" si="6"/>
        <v>207.45450000000002</v>
      </c>
      <c r="T8" s="30">
        <f t="shared" si="7"/>
        <v>-2943.7650000000003</v>
      </c>
      <c r="U8" s="31">
        <f t="shared" si="8"/>
        <v>-7.0472507146460403E-2</v>
      </c>
    </row>
    <row r="9" spans="2:21" ht="18" customHeight="1">
      <c r="B9" s="32" t="str">
        <f>'Data Entry'!A9</f>
        <v xml:space="preserve">4. Cases Diverted </v>
      </c>
      <c r="C9" s="33">
        <f>'Data Entry'!C9</f>
        <v>1</v>
      </c>
      <c r="D9" s="34">
        <f>IF((AND(C68&gt;0,C9&gt;0)),((C9/C68)),0)</f>
        <v>1.5151515151515151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65</v>
      </c>
      <c r="R9" s="42">
        <f t="shared" si="5"/>
        <v>66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1.5151515151515151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65</v>
      </c>
      <c r="R10" s="42">
        <f t="shared" si="5"/>
        <v>66</v>
      </c>
      <c r="S10" s="30">
        <f t="shared" si="6"/>
        <v>0</v>
      </c>
      <c r="T10" s="30">
        <f t="shared" si="7"/>
        <v>0</v>
      </c>
      <c r="U10" s="31" t="str">
        <f t="shared" si="8"/>
        <v>- -</v>
      </c>
    </row>
    <row r="11" spans="2:21" ht="18" customHeight="1">
      <c r="B11" s="32" t="str">
        <f>'Data Entry'!A11</f>
        <v>6. Cases Petitioned (Charge Filed)</v>
      </c>
      <c r="C11" s="33">
        <f>'Data Entry'!C11</f>
        <v>32</v>
      </c>
      <c r="D11" s="34">
        <f>IF(((AND(C68&gt;0,C11&gt;0))),(C11/(C68)),0)</f>
        <v>48.484848484848484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32</v>
      </c>
      <c r="Q11" s="42">
        <f>(C$68*L68)-C11</f>
        <v>34</v>
      </c>
      <c r="R11" s="42">
        <f t="shared" si="5"/>
        <v>66</v>
      </c>
      <c r="S11" s="30">
        <f t="shared" si="6"/>
        <v>0</v>
      </c>
      <c r="T11" s="30">
        <f t="shared" si="7"/>
        <v>0</v>
      </c>
      <c r="U11" s="31" t="str">
        <f t="shared" si="8"/>
        <v>- -</v>
      </c>
    </row>
    <row r="12" spans="2:21" ht="18" customHeight="1">
      <c r="B12" s="32" t="str">
        <f>'Data Entry'!A12</f>
        <v>7. Cases Resulting in Delinquent Findings</v>
      </c>
      <c r="C12" s="33">
        <f>'Data Entry'!C12</f>
        <v>29</v>
      </c>
      <c r="D12" s="34">
        <f>IF(((AND(C69&gt;0,C12&gt;0))),(C12/(C69)),0)</f>
        <v>90.625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29</v>
      </c>
      <c r="Q12" s="42">
        <f>(C69*L69)-C12</f>
        <v>3</v>
      </c>
      <c r="R12" s="42">
        <f t="shared" si="5"/>
        <v>32</v>
      </c>
      <c r="S12" s="30">
        <f t="shared" si="6"/>
        <v>0</v>
      </c>
      <c r="T12" s="30">
        <f t="shared" si="7"/>
        <v>0</v>
      </c>
      <c r="U12" s="31" t="str">
        <f t="shared" si="8"/>
        <v>- -</v>
      </c>
    </row>
    <row r="13" spans="2:21" ht="18" customHeight="1">
      <c r="B13" s="32" t="str">
        <f>'Data Entry'!A13</f>
        <v>8. Cases Resulting in Probation Placement</v>
      </c>
      <c r="C13" s="33">
        <f>'Data Entry'!C13</f>
        <v>64</v>
      </c>
      <c r="D13" s="34">
        <f>IF(((AND(C70&gt;0,C13&gt;0))),(C13/(C70)),0)</f>
        <v>220.68965517241381</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64</v>
      </c>
      <c r="Q13" s="42">
        <f>(C70*L70)-C13</f>
        <v>-35</v>
      </c>
      <c r="R13" s="42">
        <f t="shared" si="5"/>
        <v>29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26</v>
      </c>
      <c r="D14" s="34">
        <f>IF(((AND(C70&gt;0,C14&gt;0))), ((C14/(C70))),0)</f>
        <v>89.65517241379311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26</v>
      </c>
      <c r="Q14" s="42">
        <f>(C70*L70)-C14</f>
        <v>2.9999999999999964</v>
      </c>
      <c r="R14" s="42">
        <f t="shared" si="5"/>
        <v>28.999999999999996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32</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7.6029999999999998</v>
      </c>
      <c r="D42" s="56">
        <f>E6/1000</f>
        <v>4.1000000000000002E-2</v>
      </c>
      <c r="E42" s="56">
        <f>MAX(C42:D42)</f>
        <v>7.6029999999999998</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0.66</v>
      </c>
      <c r="D44" s="56">
        <f>E8/100</f>
        <v>0</v>
      </c>
      <c r="E44" s="56">
        <f>MAX(C44:D44,0)</f>
        <v>0.66</v>
      </c>
      <c r="G44" s="1" t="str">
        <f>B44</f>
        <v>per 100 referrals</v>
      </c>
      <c r="L44" s="57">
        <v>100</v>
      </c>
      <c r="M44" s="57"/>
      <c r="R44" s="49"/>
    </row>
    <row r="45" spans="2:18" ht="15" hidden="1" customHeight="1">
      <c r="B45" s="49" t="s">
        <v>89</v>
      </c>
      <c r="C45" s="49">
        <f>C11/100</f>
        <v>0.32</v>
      </c>
      <c r="D45" s="49">
        <f>E11/100</f>
        <v>0</v>
      </c>
      <c r="E45" s="56">
        <f>MAX(C45:D45,0)</f>
        <v>0.32</v>
      </c>
      <c r="G45" s="1" t="str">
        <f>B45</f>
        <v>per 100 youth petitioned</v>
      </c>
      <c r="L45" s="57">
        <v>100</v>
      </c>
      <c r="M45" s="57"/>
      <c r="R45" s="49"/>
    </row>
    <row r="46" spans="2:18" ht="15" hidden="1" customHeight="1">
      <c r="B46" s="49" t="s">
        <v>90</v>
      </c>
      <c r="C46" s="49">
        <f>C12/100</f>
        <v>0.28999999999999998</v>
      </c>
      <c r="D46" s="49">
        <f>E12/100</f>
        <v>0</v>
      </c>
      <c r="E46" s="56">
        <f>MAX(C46:D46)</f>
        <v>0.28999999999999998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7.6029999999999998</v>
      </c>
      <c r="D48" s="56">
        <f>D42</f>
        <v>4.1000000000000002E-2</v>
      </c>
      <c r="E48" s="56">
        <f>MAX(C48:D48)</f>
        <v>7.6029999999999998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0.66</v>
      </c>
      <c r="D50" s="49">
        <f t="shared" si="9"/>
        <v>0</v>
      </c>
      <c r="E50" s="49">
        <f>MAX(C50:D50)</f>
        <v>0.66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v>
      </c>
      <c r="E51" s="49">
        <f>MAX(C51:D51)</f>
        <v>0.32</v>
      </c>
      <c r="G51" s="1" t="str">
        <f>G45</f>
        <v>per 100 youth petitioned</v>
      </c>
      <c r="L51" s="58">
        <f>IF(($E45&gt;0),L45,L44)</f>
        <v>100</v>
      </c>
      <c r="M51" s="58"/>
    </row>
    <row r="52" spans="2:18" ht="15" hidden="1" customHeight="1">
      <c r="B52" s="49" t="str">
        <f>IF(($E46&gt;0),B46,B45)</f>
        <v>per 100 youth found delinquent</v>
      </c>
      <c r="C52" s="49">
        <f>IF(($E46&gt;0),C46,C45)</f>
        <v>0.28999999999999998</v>
      </c>
      <c r="D52" s="49">
        <f>IF(($E46&gt;0),D46,D45)</f>
        <v>0</v>
      </c>
      <c r="E52" s="56">
        <f>MAX(C52:D52)</f>
        <v>0.28999999999999998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7.6029999999999998</v>
      </c>
      <c r="D54" s="56">
        <f>D48</f>
        <v>4.1000000000000002E-2</v>
      </c>
      <c r="E54" s="56">
        <f>MAX(C54:D54)</f>
        <v>7.6029999999999998</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0.66</v>
      </c>
      <c r="D56" s="49">
        <f t="shared" si="10"/>
        <v>0</v>
      </c>
      <c r="E56" s="49">
        <f>MAX(C56:D56)</f>
        <v>0.66</v>
      </c>
      <c r="G56" s="1" t="str">
        <f>G50</f>
        <v>per 100 referrals</v>
      </c>
      <c r="L56" s="58">
        <f>IF(($E50&gt;0),L50,L49)</f>
        <v>100</v>
      </c>
      <c r="M56" s="58"/>
    </row>
    <row r="57" spans="2:18" ht="15" hidden="1" customHeight="1">
      <c r="B57" s="49" t="str">
        <f>IF(($E51&gt;0),B51,B49)</f>
        <v>per 100 youth petitioned</v>
      </c>
      <c r="C57" s="49">
        <f>IF(($E51&gt;0),C51,C50)</f>
        <v>0.32</v>
      </c>
      <c r="D57" s="49">
        <f>IF(($E51&gt;0),D51,D50)</f>
        <v>0</v>
      </c>
      <c r="E57" s="49">
        <f>MAX(C57:D57)</f>
        <v>0.32</v>
      </c>
      <c r="G57" s="1" t="str">
        <f>G51</f>
        <v>per 100 youth petitioned</v>
      </c>
      <c r="L57" s="58">
        <f>IF(($E51&gt;0),L51,L50)</f>
        <v>100</v>
      </c>
      <c r="M57" s="58"/>
    </row>
    <row r="58" spans="2:18" ht="15" hidden="1" customHeight="1">
      <c r="B58" s="49" t="str">
        <f>IF(($E52&gt;0),B52,B51)</f>
        <v>per 100 youth found delinquent</v>
      </c>
      <c r="C58" s="49">
        <f>IF(($E52&gt;0),C52,C51)</f>
        <v>0.28999999999999998</v>
      </c>
      <c r="D58" s="49">
        <f>IF(($E52&gt;0),D52,D51)</f>
        <v>0</v>
      </c>
      <c r="E58" s="56">
        <f>MAX(C58:D58)</f>
        <v>0.28999999999999998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7.6029999999999998</v>
      </c>
      <c r="D60" s="56">
        <f>D54</f>
        <v>4.1000000000000002E-2</v>
      </c>
      <c r="E60" s="56">
        <f>MAX(C60:D60)</f>
        <v>7.6029999999999998</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0.66</v>
      </c>
      <c r="D62" s="49">
        <f t="shared" si="11"/>
        <v>0</v>
      </c>
      <c r="E62" s="49">
        <f>MAX(C62:D62)</f>
        <v>0.66</v>
      </c>
      <c r="G62" s="1" t="str">
        <f>G56</f>
        <v>per 100 referrals</v>
      </c>
      <c r="L62" s="58">
        <f>IF(($E56&gt;0),L56,L55)</f>
        <v>100</v>
      </c>
      <c r="M62" s="58"/>
    </row>
    <row r="63" spans="2:18" ht="15" hidden="1" customHeight="1">
      <c r="B63" s="49" t="str">
        <f>IF(($E57&gt;0),B57,B55)</f>
        <v>per 100 youth petitioned</v>
      </c>
      <c r="C63" s="49">
        <f>IF(($E57&gt;0),C57,C56)</f>
        <v>0.32</v>
      </c>
      <c r="D63" s="49">
        <f>IF(($E57&gt;0),D57,D56)</f>
        <v>0</v>
      </c>
      <c r="E63" s="49">
        <f>MAX(C63:D63)</f>
        <v>0.32</v>
      </c>
      <c r="G63" s="1" t="str">
        <f>G57</f>
        <v>per 100 youth petitioned</v>
      </c>
      <c r="L63" s="58">
        <f>IF(($E57&gt;0),L57,L56)</f>
        <v>100</v>
      </c>
      <c r="M63" s="58"/>
    </row>
    <row r="64" spans="2:18" ht="15" hidden="1" customHeight="1">
      <c r="B64" s="49" t="str">
        <f>IF(($E58&gt;0),B58,B57)</f>
        <v>per 100 youth found delinquent</v>
      </c>
      <c r="C64" s="49">
        <f>IF(($E58&gt;0),C58,C57)</f>
        <v>0.28999999999999998</v>
      </c>
      <c r="D64" s="49">
        <f>IF(($E58&gt;0),D58,D57)</f>
        <v>0</v>
      </c>
      <c r="E64" s="56">
        <f>MAX(C64:D64)</f>
        <v>0.28999999999999998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7.6029999999999998</v>
      </c>
      <c r="D66" s="56">
        <f>D60</f>
        <v>4.1000000000000002E-2</v>
      </c>
      <c r="E66" s="56">
        <f>MAX(C66:D66)</f>
        <v>7.6029999999999998</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0.66</v>
      </c>
      <c r="D68" s="49">
        <f t="shared" si="12"/>
        <v>0</v>
      </c>
      <c r="E68" s="49">
        <f>MAX(C68:D68)</f>
        <v>0.66</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0.28999999999999998</v>
      </c>
      <c r="D70" s="49">
        <f>IF(($E64&gt;0),D64,D63)</f>
        <v>0</v>
      </c>
      <c r="E70" s="56">
        <f>MAX(C70:D70)</f>
        <v>0.28999999999999998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U47JMPN4QEAR-1806752177-35361</_dlc_DocId>
    <_dlc_DocIdUrl xmlns="ac3811b5-0f3e-49e2-ba69-f2ffa0c782af">
      <Url>https://michiganphi.sharepoint.com/sites/CMDMC/_layouts/15/DocIdRedir.aspx?ID=U47JMPN4QEAR-1806752177-35361</Url>
      <Description>U47JMPN4QEAR-1806752177-35361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6C78B17-5B84-4A2F-B067-D8CE7FF594CE}">
  <ds:schemaRefs>
    <ds:schemaRef ds:uri="http://schemas.microsoft.com/sharepoint/v3/contenttype/forms"/>
  </ds:schemaRefs>
</ds:datastoreItem>
</file>

<file path=customXml/itemProps2.xml><?xml version="1.0" encoding="utf-8"?>
<ds:datastoreItem xmlns:ds="http://schemas.openxmlformats.org/officeDocument/2006/customXml" ds:itemID="{D2C5120F-1D13-4812-A6EF-D4356691A2F0}"/>
</file>

<file path=customXml/itemProps3.xml><?xml version="1.0" encoding="utf-8"?>
<ds:datastoreItem xmlns:ds="http://schemas.openxmlformats.org/officeDocument/2006/customXml" ds:itemID="{4B70CFD9-03BD-4E32-BF70-CA51A8D9C11B}">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8F3AD943-F015-44BB-8704-98DC90BB9E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d3cffa15-d244-4ef9-8a8d-743c9e147cea</vt:lpwstr>
  </property>
</Properties>
</file>