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CEEAF18B-EEFD-4501-9EA7-F6D1CB0A2024}"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4"/>
  <c r="M66" i="4"/>
  <c r="F27" i="5"/>
  <c r="M66" i="5"/>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64" i="4"/>
  <c r="D56" i="7"/>
  <c r="B56" i="7"/>
  <c r="C56" i="7"/>
  <c r="L56" i="7"/>
  <c r="D61" i="3"/>
  <c r="L61" i="3"/>
  <c r="C61" i="3"/>
  <c r="B61" i="3"/>
  <c r="L58" i="2"/>
  <c r="C58" i="2"/>
  <c r="B58" i="2"/>
  <c r="D58" i="2"/>
  <c r="C66" i="3"/>
  <c r="E60" i="3"/>
  <c r="D57" i="5"/>
  <c r="L57" i="5"/>
  <c r="L64" i="5" s="1"/>
  <c r="B57" i="5"/>
  <c r="C57" i="5"/>
  <c r="C64" i="5" s="1"/>
  <c r="C66" i="6"/>
  <c r="E60" i="6"/>
  <c r="C66" i="2"/>
  <c r="E60" i="2"/>
  <c r="E56" i="6"/>
  <c r="E55" i="6"/>
  <c r="E55" i="7"/>
  <c r="E58" i="7"/>
  <c r="L64" i="3" l="1"/>
  <c r="L56" i="8"/>
  <c r="B56" i="8"/>
  <c r="D64" i="5"/>
  <c r="E64" i="5" s="1"/>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B63" i="8" s="1"/>
  <c r="C63" i="3"/>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L63" i="8"/>
  <c r="L70" i="8" s="1"/>
  <c r="D70" i="6"/>
  <c r="F13" i="6" s="1"/>
  <c r="D63" i="8"/>
  <c r="D70" i="8" s="1"/>
  <c r="F13" i="8" s="1"/>
  <c r="C63" i="8"/>
  <c r="L69" i="7"/>
  <c r="C70" i="6"/>
  <c r="C70" i="3"/>
  <c r="D14" i="3" s="1"/>
  <c r="E63" i="3"/>
  <c r="C69" i="3" s="1"/>
  <c r="D12" i="3" s="1"/>
  <c r="C69" i="7"/>
  <c r="D12" i="7"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6" l="1"/>
  <c r="B69" i="6"/>
  <c r="M69" i="6" s="1"/>
  <c r="E70" i="6"/>
  <c r="E69" i="7"/>
  <c r="F34" i="3"/>
  <c r="F33" i="3"/>
  <c r="D69" i="3"/>
  <c r="E69" i="3" s="1"/>
  <c r="D15" i="3"/>
  <c r="O13" i="6"/>
  <c r="Q13" i="8"/>
  <c r="O14" i="6"/>
  <c r="Q12" i="7"/>
  <c r="E63" i="8"/>
  <c r="D69" i="8" s="1"/>
  <c r="F15" i="8" s="1"/>
  <c r="E70" i="3"/>
  <c r="L69" i="3"/>
  <c r="Q12" i="3" s="1"/>
  <c r="D13" i="3"/>
  <c r="F14" i="3"/>
  <c r="Q13" i="3"/>
  <c r="B69" i="3"/>
  <c r="M69" i="3" s="1"/>
  <c r="C69" i="6"/>
  <c r="D12" i="6" s="1"/>
  <c r="D15" i="7"/>
  <c r="D13" i="6"/>
  <c r="Q14" i="3"/>
  <c r="F12" i="7"/>
  <c r="O13" i="3"/>
  <c r="O12" i="7"/>
  <c r="Q15" i="7"/>
  <c r="D14" i="6"/>
  <c r="O15" i="7"/>
  <c r="Q13" i="6"/>
  <c r="Q14" i="6"/>
  <c r="O14" i="3"/>
  <c r="D69" i="6"/>
  <c r="F12" i="6" s="1"/>
  <c r="T10" i="3"/>
  <c r="K10" i="4"/>
  <c r="F8" i="7"/>
  <c r="T9" i="4"/>
  <c r="F35" i="6"/>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O12" i="6"/>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6" l="1"/>
  <c r="S14" i="6" s="1"/>
  <c r="F32" i="6"/>
  <c r="F15" i="3"/>
  <c r="F12" i="3"/>
  <c r="O15" i="3"/>
  <c r="R12" i="7"/>
  <c r="S12" i="7" s="1"/>
  <c r="U12" i="7" s="1"/>
  <c r="J12" i="7" s="1"/>
  <c r="M12" i="7" s="1"/>
  <c r="R13" i="8"/>
  <c r="S13" i="8" s="1"/>
  <c r="K13" i="6"/>
  <c r="L69" i="8"/>
  <c r="O15" i="8" s="1"/>
  <c r="T13" i="6"/>
  <c r="F12" i="8"/>
  <c r="B69" i="8"/>
  <c r="M69" i="8" s="1"/>
  <c r="C69" i="8"/>
  <c r="T12" i="7"/>
  <c r="R15" i="7"/>
  <c r="S15" i="7" s="1"/>
  <c r="U15" i="7" s="1"/>
  <c r="J15" i="7" s="1"/>
  <c r="M15" i="7" s="1"/>
  <c r="R13" i="6"/>
  <c r="S13" i="6" s="1"/>
  <c r="U13" i="6" s="1"/>
  <c r="J13" i="6" s="1"/>
  <c r="M13" i="6" s="1"/>
  <c r="G13" i="6" s="1"/>
  <c r="G13" i="9" s="1"/>
  <c r="K12" i="7"/>
  <c r="R14" i="3"/>
  <c r="S14" i="3" s="1"/>
  <c r="U14" i="3" s="1"/>
  <c r="J14" i="3" s="1"/>
  <c r="M14" i="3" s="1"/>
  <c r="G14" i="3" s="1"/>
  <c r="I15" i="16" s="1"/>
  <c r="T14" i="6"/>
  <c r="K14" i="6"/>
  <c r="O12" i="3"/>
  <c r="R12" i="3" s="1"/>
  <c r="S12" i="3" s="1"/>
  <c r="U12" i="3" s="1"/>
  <c r="J12" i="3" s="1"/>
  <c r="F35" i="3"/>
  <c r="Q15" i="3"/>
  <c r="R15" i="3" s="1"/>
  <c r="S15" i="3" s="1"/>
  <c r="U15" i="3" s="1"/>
  <c r="J15" i="3" s="1"/>
  <c r="M15" i="3" s="1"/>
  <c r="G15" i="3" s="1"/>
  <c r="I16" i="16" s="1"/>
  <c r="T13" i="8"/>
  <c r="F32" i="3"/>
  <c r="D15" i="6"/>
  <c r="T15" i="7"/>
  <c r="K13" i="3"/>
  <c r="R14" i="8"/>
  <c r="S14" i="8" s="1"/>
  <c r="E69" i="6"/>
  <c r="T13" i="3"/>
  <c r="K14" i="3"/>
  <c r="T14" i="3"/>
  <c r="K15" i="7"/>
  <c r="R13" i="3"/>
  <c r="S13" i="3" s="1"/>
  <c r="U13" i="3" s="1"/>
  <c r="J13" i="3" s="1"/>
  <c r="O15" i="6"/>
  <c r="Q12" i="6"/>
  <c r="R12" i="6" s="1"/>
  <c r="S12" i="6" s="1"/>
  <c r="U12" i="6" s="1"/>
  <c r="J12" i="6" s="1"/>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L12" i="3" s="1"/>
  <c r="P13" i="16" s="1"/>
  <c r="U13" i="8"/>
  <c r="J13" i="8" s="1"/>
  <c r="M13" i="8" s="1"/>
  <c r="G13" i="8" s="1"/>
  <c r="I13" i="9" s="1"/>
  <c r="O12" i="8"/>
  <c r="Q12" i="8"/>
  <c r="K12" i="8" s="1"/>
  <c r="L12" i="7"/>
  <c r="S13" i="16" s="1"/>
  <c r="D15" i="8"/>
  <c r="F32" i="8"/>
  <c r="F35" i="8"/>
  <c r="L15" i="7"/>
  <c r="S16" i="16" s="1"/>
  <c r="T15" i="3"/>
  <c r="M14" i="13"/>
  <c r="D12" i="8"/>
  <c r="Q15" i="8"/>
  <c r="R15" i="8" s="1"/>
  <c r="S15" i="8" s="1"/>
  <c r="U15" i="8" s="1"/>
  <c r="J15" i="8" s="1"/>
  <c r="K15" i="6"/>
  <c r="E69" i="8"/>
  <c r="L13" i="6"/>
  <c r="R14" i="16" s="1"/>
  <c r="K15" i="3"/>
  <c r="L15" i="3" s="1"/>
  <c r="P16" i="16" s="1"/>
  <c r="I15" i="13"/>
  <c r="N30" i="3"/>
  <c r="E14" i="9"/>
  <c r="T15" i="6"/>
  <c r="L14" i="3"/>
  <c r="P15" i="16" s="1"/>
  <c r="R15" i="6"/>
  <c r="S15" i="6" s="1"/>
  <c r="U15" i="6" s="1"/>
  <c r="J15" i="6" s="1"/>
  <c r="K12" i="6"/>
  <c r="L12" i="6" s="1"/>
  <c r="R13" i="16" s="1"/>
  <c r="T12" i="3"/>
  <c r="T12" i="6"/>
  <c r="L13" i="3"/>
  <c r="P14" i="16" s="1"/>
  <c r="U14" i="8"/>
  <c r="J14" i="8" s="1"/>
  <c r="N30" i="8" s="1"/>
  <c r="M13" i="3"/>
  <c r="G13" i="3" s="1"/>
  <c r="I14" i="16" s="1"/>
  <c r="M13" i="9"/>
  <c r="U14" i="13"/>
  <c r="U12" i="13"/>
  <c r="M11" i="9"/>
  <c r="R12" i="8"/>
  <c r="S12" i="8" s="1"/>
  <c r="T13" i="2"/>
  <c r="U8" i="6"/>
  <c r="J8" i="6" s="1"/>
  <c r="M8" i="6" s="1"/>
  <c r="G8" i="6" s="1"/>
  <c r="M9" i="13" s="1"/>
  <c r="R13" i="2"/>
  <c r="S13" i="2" s="1"/>
  <c r="V11" i="13"/>
  <c r="G14" i="9"/>
  <c r="T12" i="8"/>
  <c r="Q12" i="9"/>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X14"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M12" i="3"/>
  <c r="G12" i="3" s="1"/>
  <c r="I13" i="16" s="1"/>
  <c r="K9" i="8"/>
  <c r="T9" i="8"/>
  <c r="L15" i="6" l="1"/>
  <c r="R16" i="16" s="1"/>
  <c r="Y13" i="13"/>
  <c r="N14" i="9"/>
  <c r="L13" i="8"/>
  <c r="T14" i="16" s="1"/>
  <c r="Q15" i="9"/>
  <c r="K15" i="8"/>
  <c r="L15" i="8" s="1"/>
  <c r="T16" i="16" s="1"/>
  <c r="T15" i="8"/>
  <c r="M15" i="6"/>
  <c r="G15" i="6" s="1"/>
  <c r="G15" i="9" s="1"/>
  <c r="V14" i="13"/>
  <c r="V15" i="13"/>
  <c r="P13" i="9"/>
  <c r="K14" i="16"/>
  <c r="U12" i="8"/>
  <c r="J12" i="8" s="1"/>
  <c r="M12" i="8" s="1"/>
  <c r="G12" i="8" s="1"/>
  <c r="K13" i="16" s="1"/>
  <c r="U13" i="2"/>
  <c r="J13" i="2" s="1"/>
  <c r="M13" i="2" s="1"/>
  <c r="G13" i="2" s="1"/>
  <c r="E14" i="16" s="1"/>
  <c r="Q14" i="13"/>
  <c r="U14" i="2"/>
  <c r="J14" i="2" s="1"/>
  <c r="M14" i="2" s="1"/>
  <c r="G14" i="2" s="1"/>
  <c r="E15" i="16" s="1"/>
  <c r="I14" i="13"/>
  <c r="M14" i="8"/>
  <c r="G14" i="8" s="1"/>
  <c r="K15" i="16" s="1"/>
  <c r="N13" i="9"/>
  <c r="L14" i="8"/>
  <c r="T15" i="16" s="1"/>
  <c r="E13" i="9"/>
  <c r="L8" i="6"/>
  <c r="R9" i="16" s="1"/>
  <c r="L10" i="7"/>
  <c r="S11" i="16" s="1"/>
  <c r="P15" i="9"/>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Z14" i="13"/>
  <c r="X16" i="13"/>
  <c r="M16" i="13"/>
  <c r="L12" i="8"/>
  <c r="T13" i="16" s="1"/>
  <c r="E15" i="13"/>
  <c r="L14" i="2"/>
  <c r="N15" i="16" s="1"/>
  <c r="E14" i="13"/>
  <c r="L13" i="2"/>
  <c r="N14" i="16" s="1"/>
  <c r="C13" i="9"/>
  <c r="C14" i="9"/>
  <c r="I14" i="9"/>
  <c r="N30" i="2"/>
  <c r="Q15" i="13"/>
  <c r="R14" i="9"/>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T15" i="13"/>
  <c r="T14" i="13"/>
  <c r="L14" i="9"/>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<sst xmlns="http://schemas.openxmlformats.org/spreadsheetml/2006/main" count="654" uniqueCount="141">
  <si>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</si>
  <si>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</si>
  <si>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</si>
  <si>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</si>
  <si>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</si>
  <si>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</si>
  <si>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</si>
  <si>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</si>
  <si>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</si>
  <si>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</si>
  <si>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</si>
  <si>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</si>
  <si>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</si>
  <si>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</si>
  <si>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</si>
  <si>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</si>
  <si>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</si>
  <si>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</si>
  <si>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</si>
  <si>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</si>
  <si>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</si>
  <si>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</si>
  <si>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</si>
  <si>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</si>
  <si>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</si>
  <si>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</si>
  <si>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</si>
  <si>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</si>
  <si>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</si>
  <si>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</si>
  <si>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</si>
  <si>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</si>
  <si>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</si>
  <si>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</si>
  <si>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</si>
  <si>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</si>
  <si>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</si>
  <si>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</si>
  <si>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</si>
  <si>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</si>
  <si>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</si>
  <si>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</si>
  <si>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</si>
  <si>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</si>
  <si>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</si>
  <si>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</si>
  <si>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</si>
  <si>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</si>
  <si>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</si>
  <si>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</si>
  <si>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</si>
  <si>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</si>
  <si>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</si>
  <si>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</si>
  <si>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</si>
  <si>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</si>
  <si>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</si>
  <si>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</si>
  <si>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</si>
  <si>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</si>
  <si>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</si>
  <si>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</si>
  <si>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</si>
  <si>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</si>
  <si>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</si>
  <si>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</si>
  <si>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</si>
  <si>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</si>
  <si>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</si>
  <si>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</si>
  <si>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</si>
  <si>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</si>
  <si>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</si>
  <si>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</si>
  <si>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</si>
  <si>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</si>
  <si>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</si>
  <si>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</si>
  <si>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</si>
  <si>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</si>
  <si>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</si>
  <si>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</si>
  <si>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</si>
  <si>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</si>
  <si>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</si>
  <si>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</si>
  <si>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</si>
  <si>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</si>
  <si>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</si>
  <si>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</si>
  <si>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</si>
  <si>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</si>
  <si>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</si>
  <si>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</si>
  <si>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</si>
  <si>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</si>
  <si>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</si>
  <si>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</si>
  <si>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</si>
  <si>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</si>
  <si>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</si>
  <si>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</si>
  <si>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</si>
  <si>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</si>
  <si>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</si>
  <si>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</si>
  <si>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</si>
  <si>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</si>
  <si>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</si>
  <si>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</si>
  <si>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</si>
  <si>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</si>
  <si>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</si>
  <si>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</si>
  <si>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</si>
  <si>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</si>
  <si>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</si>
  <si>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</si>
  <si>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</si>
  <si>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</si>
  <si>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</si>
  <si>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</si>
  <si>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</si>
  <si>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</si>
  <si>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</si>
  <si>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</si>
  <si>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</si>
  <si>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</si>
  <si>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</si>
  <si>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</si>
  <si>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</si>
  <si>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</si>
  <si>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</si>
  <si>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</si>
  <si>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</si>
  <si>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</si>
  <si>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</si>
  <si>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Lake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</si>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</sst>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Lake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N=6</c:v>
                </c:pt>
                <c:pt idx="3">
                  <c:v>Petitions, total N=4</c:v>
                </c:pt>
                <c:pt idx="4">
                  <c:v>Detentions, total N=1</c:v>
                </c:pt>
                <c:pt idx="5">
                  <c:v>Referrals, total N=24</c:v>
                </c:pt>
                <c:pt idx="6">
                  <c:v>Arrests, total N=0</c:v>
                </c:pt>
                <c:pt idx="7">
                  <c:v>Population, total N=728</c:v>
                </c:pt>
              </c:strCache>
            </c:strRef>
          </c:cat>
          <c:val>
            <c:numRef>
              <c:f>'Stacked 100%'!$B$7:$B$14</c:f>
              <c:numCache>
                <c:formatCode>0%</c:formatCode>
                <c:ptCount val="8"/>
                <c:pt idx="0">
                  <c:v>0</c:v>
                </c:pt>
                <c:pt idx="1">
                  <c:v>0</c:v>
                </c:pt>
                <c:pt idx="2">
                  <c:v>0.33333333333333331</c:v>
                </c:pt>
                <c:pt idx="3">
                  <c:v>0.5</c:v>
                </c:pt>
                <c:pt idx="4">
                  <c:v>1</c:v>
                </c:pt>
                <c:pt idx="5">
                  <c:v>0.33333333333333331</c:v>
                </c:pt>
                <c:pt idx="6">
                  <c:v>0</c:v>
                </c:pt>
                <c:pt idx="7">
                  <c:v>0.10302197802197802</c:v>
                </c:pt>
              </c:numCache>
            </c:numRef>
          </c:val>
          <c:extLst>
            <c:ext xmlns:c16="http://schemas.microsoft.com/office/drawing/2014/chart" uri="{C3380CC4-5D6E-409C-BE32-E72D297353CC}">
              <c16:uniqueId val="{00000000-B2D6-4FD7-807C-935592C43B7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N=6</c:v>
                </c:pt>
                <c:pt idx="3">
                  <c:v>Petitions, total N=4</c:v>
                </c:pt>
                <c:pt idx="4">
                  <c:v>Detentions, total N=1</c:v>
                </c:pt>
                <c:pt idx="5">
                  <c:v>Referrals, total N=24</c:v>
                </c:pt>
                <c:pt idx="6">
                  <c:v>Arrests, total N=0</c:v>
                </c:pt>
                <c:pt idx="7">
                  <c:v>Population, total N=728</c:v>
                </c:pt>
              </c:strCache>
            </c:strRef>
          </c:cat>
          <c:val>
            <c:numRef>
              <c:f>'Stacked 100%'!$C$7:$C$14</c:f>
              <c:numCache>
                <c:formatCode>0%</c:formatCode>
                <c:ptCount val="8"/>
                <c:pt idx="0">
                  <c:v>0</c:v>
                </c:pt>
                <c:pt idx="1">
                  <c:v>0</c:v>
                </c:pt>
                <c:pt idx="2">
                  <c:v>0</c:v>
                </c:pt>
                <c:pt idx="3">
                  <c:v>0</c:v>
                </c:pt>
                <c:pt idx="4">
                  <c:v>0</c:v>
                </c:pt>
                <c:pt idx="5">
                  <c:v>0</c:v>
                </c:pt>
                <c:pt idx="6">
                  <c:v>0</c:v>
                </c:pt>
                <c:pt idx="7">
                  <c:v>3.7087912087912088E-2</c:v>
                </c:pt>
              </c:numCache>
            </c:numRef>
          </c:val>
          <c:extLst>
            <c:ext xmlns:c16="http://schemas.microsoft.com/office/drawing/2014/chart" uri="{C3380CC4-5D6E-409C-BE32-E72D297353CC}">
              <c16:uniqueId val="{00000001-B2D6-4FD7-807C-935592C43B7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N=6</c:v>
                </c:pt>
                <c:pt idx="3">
                  <c:v>Petitions, total N=4</c:v>
                </c:pt>
                <c:pt idx="4">
                  <c:v>Detentions, total N=1</c:v>
                </c:pt>
                <c:pt idx="5">
                  <c:v>Referrals, total N=24</c:v>
                </c:pt>
                <c:pt idx="6">
                  <c:v>Arrests, total N=0</c:v>
                </c:pt>
                <c:pt idx="7">
                  <c:v>Population, total N=728</c:v>
                </c:pt>
              </c:strCache>
            </c:strRef>
          </c:cat>
          <c:val>
            <c:numRef>
              <c:f>'Stacked 100%'!$H$7:$H$14</c:f>
              <c:numCache>
                <c:formatCode>0%</c:formatCode>
                <c:ptCount val="8"/>
                <c:pt idx="0">
                  <c:v>0</c:v>
                </c:pt>
                <c:pt idx="1">
                  <c:v>0</c:v>
                </c:pt>
                <c:pt idx="2">
                  <c:v>0</c:v>
                </c:pt>
                <c:pt idx="3">
                  <c:v>0</c:v>
                </c:pt>
                <c:pt idx="4">
                  <c:v>0</c:v>
                </c:pt>
                <c:pt idx="5">
                  <c:v>0</c:v>
                </c:pt>
                <c:pt idx="6">
                  <c:v>0</c:v>
                </c:pt>
                <c:pt idx="7">
                  <c:v>1.5094795314575536E-5</c:v>
                </c:pt>
              </c:numCache>
            </c:numRef>
          </c:val>
          <c:extLst>
            <c:ext xmlns:c16="http://schemas.microsoft.com/office/drawing/2014/chart" uri="{C3380CC4-5D6E-409C-BE32-E72D297353CC}">
              <c16:uniqueId val="{00000002-B2D6-4FD7-807C-935592C43B7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N=6</c:v>
                </c:pt>
                <c:pt idx="3">
                  <c:v>Petitions, total N=4</c:v>
                </c:pt>
                <c:pt idx="4">
                  <c:v>Detentions, total N=1</c:v>
                </c:pt>
                <c:pt idx="5">
                  <c:v>Referrals, total N=24</c:v>
                </c:pt>
                <c:pt idx="6">
                  <c:v>Arrests, total N=0</c:v>
                </c:pt>
                <c:pt idx="7">
                  <c:v>Population, total N=728</c:v>
                </c:pt>
              </c:strCache>
            </c:strRef>
          </c:cat>
          <c:val>
            <c:numRef>
              <c:f>'Stacked 100%'!$I$7:$I$14</c:f>
              <c:numCache>
                <c:formatCode>0%</c:formatCode>
                <c:ptCount val="8"/>
                <c:pt idx="0">
                  <c:v>0</c:v>
                </c:pt>
                <c:pt idx="1">
                  <c:v>0</c:v>
                </c:pt>
                <c:pt idx="2">
                  <c:v>0.66666666666666663</c:v>
                </c:pt>
                <c:pt idx="3">
                  <c:v>0.5</c:v>
                </c:pt>
                <c:pt idx="4">
                  <c:v>0</c:v>
                </c:pt>
                <c:pt idx="5">
                  <c:v>0.66666666666666663</c:v>
                </c:pt>
                <c:pt idx="6">
                  <c:v>0</c:v>
                </c:pt>
                <c:pt idx="7">
                  <c:v>0.84890109890109888</c:v>
                </c:pt>
              </c:numCache>
            </c:numRef>
          </c:val>
          <c:extLst>
            <c:ext xmlns:c16="http://schemas.microsoft.com/office/drawing/2014/chart" uri="{C3380CC4-5D6E-409C-BE32-E72D297353CC}">
              <c16:uniqueId val="{00000003-B2D6-4FD7-807C-935592C43B7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N=6</c:v>
                </c:pt>
                <c:pt idx="3">
                  <c:v>Petitions, total N=4</c:v>
                </c:pt>
                <c:pt idx="4">
                  <c:v>Detentions, total N=1</c:v>
                </c:pt>
                <c:pt idx="5">
                  <c:v>Referrals, total N=24</c:v>
                </c:pt>
                <c:pt idx="6">
                  <c:v>Arrests, total N=0</c:v>
                </c:pt>
                <c:pt idx="7">
                  <c:v>Population, total N=728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2D6-4FD7-807C-935592C43B7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728</v>
      </c>
      <c r="C6" s="11">
        <v>618</v>
      </c>
      <c r="D6" s="11">
        <v>75</v>
      </c>
      <c r="E6" s="11">
        <v>27</v>
      </c>
      <c r="F6" s="11">
        <v>6</v>
      </c>
      <c r="G6" s="11"/>
      <c r="H6" s="11">
        <v>2</v>
      </c>
      <c r="I6" s="11"/>
      <c r="J6" s="91">
        <f>SUM(D6:I6)</f>
        <v>110</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24</v>
      </c>
      <c r="C8" s="11">
        <v>16</v>
      </c>
      <c r="D8" s="11">
        <v>8</v>
      </c>
      <c r="E8" s="11"/>
      <c r="F8" s="11"/>
      <c r="G8" s="11"/>
      <c r="H8" s="11"/>
      <c r="I8" s="11"/>
      <c r="J8" s="91">
        <f t="shared" si="1"/>
        <v>8</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1</v>
      </c>
      <c r="C10" s="11"/>
      <c r="D10" s="11">
        <v>1</v>
      </c>
      <c r="E10" s="11"/>
      <c r="F10" s="11"/>
      <c r="G10" s="11"/>
      <c r="H10" s="11"/>
      <c r="I10" s="11"/>
      <c r="J10" s="91">
        <f t="shared" si="1"/>
        <v>1</v>
      </c>
      <c r="K10" s="92"/>
    </row>
    <row r="11" spans="1:11" ht="15.75" customHeight="1" thickBot="1" x14ac:dyDescent="0.25">
      <c r="A11" s="10" t="s">
        <v>12</v>
      </c>
      <c r="B11" s="11">
        <f t="shared" si="0"/>
        <v>4</v>
      </c>
      <c r="C11" s="11">
        <v>2</v>
      </c>
      <c r="D11" s="11">
        <v>2</v>
      </c>
      <c r="E11" s="11"/>
      <c r="F11" s="11"/>
      <c r="G11" s="11"/>
      <c r="H11" s="11"/>
      <c r="I11" s="11"/>
      <c r="J11" s="91">
        <f t="shared" si="1"/>
        <v>2</v>
      </c>
      <c r="K11" s="92"/>
    </row>
    <row r="12" spans="1:11" ht="15.75" customHeight="1" thickBot="1" x14ac:dyDescent="0.25">
      <c r="A12" s="10" t="s">
        <v>13</v>
      </c>
      <c r="B12" s="11">
        <f t="shared" si="0"/>
        <v>6</v>
      </c>
      <c r="C12" s="11">
        <v>4</v>
      </c>
      <c r="D12" s="11">
        <v>2</v>
      </c>
      <c r="E12" s="11"/>
      <c r="F12" s="11"/>
      <c r="G12" s="11"/>
      <c r="H12" s="11"/>
      <c r="I12" s="11"/>
      <c r="J12" s="91">
        <f t="shared" si="1"/>
        <v>2</v>
      </c>
      <c r="K12" s="92"/>
    </row>
    <row r="13" spans="1:11" ht="15.75" customHeight="1" thickBot="1" x14ac:dyDescent="0.25">
      <c r="A13" s="10" t="s">
        <v>133</v>
      </c>
      <c r="B13" s="11">
        <f t="shared" si="0"/>
        <v>24</v>
      </c>
      <c r="C13" s="11">
        <v>16</v>
      </c>
      <c r="D13" s="11">
        <v>8</v>
      </c>
      <c r="E13" s="11"/>
      <c r="F13" s="11"/>
      <c r="G13" s="11"/>
      <c r="H13" s="11"/>
      <c r="I13" s="11"/>
      <c r="J13" s="91">
        <f t="shared" si="1"/>
        <v>8</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Lake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618</v>
      </c>
      <c r="R7" s="42">
        <f t="shared" ref="R7:R15" si="5">SUM(N7:Q7)</f>
        <v>618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25.889967637540455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602</v>
      </c>
      <c r="R8" s="42">
        <f t="shared" si="5"/>
        <v>618.04999999999995</v>
      </c>
      <c r="S8" s="30">
        <f t="shared" si="6"/>
        <v>395.55200000000002</v>
      </c>
      <c r="T8" s="30">
        <f t="shared" si="7"/>
        <v>297653.52</v>
      </c>
      <c r="U8" s="31">
        <f t="shared" si="8"/>
        <v>1.3289007971415893E-3</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12.5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14</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200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16</v>
      </c>
      <c r="D13" s="34">
        <f>IF(((AND(C70&gt;0,C13&gt;0))),(C13/(C70)),0)</f>
        <v>400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-12</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0</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0</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0.61799999999999999</v>
      </c>
      <c r="D49" s="49">
        <f t="shared" si="9"/>
        <v>0</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0</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0</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0</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0</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0</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0</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Lake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Entry'!J6</f>
        <v>110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110</v>
      </c>
      <c r="P7" s="42">
        <f t="shared" ref="P7:P15" si="4">C7</f>
        <v>0</v>
      </c>
      <c r="Q7" s="42">
        <f>C6-C7</f>
        <v>618</v>
      </c>
      <c r="R7" s="42">
        <f t="shared" ref="R7:R15" si="5">SUM(N7:Q7)</f>
        <v>728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25.889967637540455</v>
      </c>
      <c r="E8" s="33">
        <f>'Data Entry'!J8</f>
        <v>8</v>
      </c>
      <c r="F8" s="34">
        <f>IF((AND($E$8&gt;0,$D$67&gt;0)),($E8/$D67),0)</f>
        <v>72.727272727272734</v>
      </c>
      <c r="G8" s="39">
        <f t="shared" si="0"/>
        <v>2.8090909090909091</v>
      </c>
      <c r="H8" s="40"/>
      <c r="I8" s="41"/>
      <c r="J8" s="40">
        <f>IF((ABS($U8)&gt;Defaults!D$7),1,2)</f>
        <v>1</v>
      </c>
      <c r="K8" s="39">
        <f>IF((AND(N8&gt;Defaults!B$12,(N8+O8)&gt;Defaults!B$13, P8 &gt; Defaults!B$12, (P8+Q8) &gt; Defaults!B$13)),1,20)</f>
        <v>1</v>
      </c>
      <c r="L8" s="1">
        <f t="shared" si="1"/>
        <v>1</v>
      </c>
      <c r="M8" s="1" t="b">
        <f t="shared" si="2"/>
        <v>1</v>
      </c>
      <c r="N8" s="42">
        <f t="shared" si="3"/>
        <v>8</v>
      </c>
      <c r="O8" s="42">
        <f>((D67*L67)-E8)+0.05</f>
        <v>102.05</v>
      </c>
      <c r="P8" s="42">
        <f t="shared" si="4"/>
        <v>16</v>
      </c>
      <c r="Q8" s="42">
        <f>(C$67*L67)-C8</f>
        <v>602</v>
      </c>
      <c r="R8" s="42">
        <f t="shared" si="5"/>
        <v>728.05</v>
      </c>
      <c r="S8" s="30">
        <f t="shared" si="6"/>
        <v>7377157548.8319979</v>
      </c>
      <c r="T8" s="30">
        <f t="shared" si="7"/>
        <v>1149193779.4799998</v>
      </c>
      <c r="U8" s="31">
        <f t="shared" si="8"/>
        <v>6.4194200147603455</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8</v>
      </c>
      <c r="P9" s="42">
        <f t="shared" si="4"/>
        <v>0</v>
      </c>
      <c r="Q9" s="42">
        <f>(C$68*L68)-C9</f>
        <v>16</v>
      </c>
      <c r="R9" s="42">
        <f t="shared" si="5"/>
        <v>24</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1</v>
      </c>
      <c r="F10" s="34">
        <f>IF(((AND($E$10&gt;0,$D$68&gt;0))),($E$10/($D$68)),0)</f>
        <v>12.5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7</v>
      </c>
      <c r="P10" s="42">
        <f t="shared" si="4"/>
        <v>0</v>
      </c>
      <c r="Q10" s="42">
        <f>(C$68*L68)-C10</f>
        <v>16</v>
      </c>
      <c r="R10" s="42">
        <f t="shared" si="5"/>
        <v>24</v>
      </c>
      <c r="S10" s="30">
        <f t="shared" si="6"/>
        <v>6144</v>
      </c>
      <c r="T10" s="30">
        <f t="shared" si="7"/>
        <v>2944</v>
      </c>
      <c r="U10" s="31">
        <f t="shared" si="8"/>
        <v>2.0869565217391304</v>
      </c>
    </row>
    <row r="11" spans="2:21" ht="18" customHeight="1" x14ac:dyDescent="0.25">
      <c r="B11" s="32" t="str">
        <f>'Data Entry'!A11</f>
        <v>6. Cases Petitioned (Charge Filed)</v>
      </c>
      <c r="C11" s="33">
        <f>'Data Entry'!C11</f>
        <v>2</v>
      </c>
      <c r="D11" s="34">
        <f>IF(((AND(C68&gt;0,C11&gt;0))),(C11/(C68)),0)</f>
        <v>12.5</v>
      </c>
      <c r="E11" s="33">
        <f>'Data Entry'!J11</f>
        <v>2</v>
      </c>
      <c r="F11" s="34">
        <f>IF(((AND($E$11&gt;0,$D$68&gt;0))),($E$11/($D$68)),0)</f>
        <v>25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6</v>
      </c>
      <c r="P11" s="42">
        <f t="shared" si="4"/>
        <v>2</v>
      </c>
      <c r="Q11" s="42">
        <f>(C$68*L68)-C11</f>
        <v>14</v>
      </c>
      <c r="R11" s="42">
        <f t="shared" si="5"/>
        <v>24</v>
      </c>
      <c r="S11" s="30">
        <f t="shared" si="6"/>
        <v>6144</v>
      </c>
      <c r="T11" s="30">
        <f t="shared" si="7"/>
        <v>10240</v>
      </c>
      <c r="U11" s="31">
        <f t="shared" si="8"/>
        <v>0.6</v>
      </c>
    </row>
    <row r="12" spans="2:21" ht="18" customHeight="1" x14ac:dyDescent="0.25">
      <c r="B12" s="32" t="str">
        <f>'Data Entry'!A12</f>
        <v>7. Cases Resulting in Delinquent Findings</v>
      </c>
      <c r="C12" s="33">
        <f>'Data Entry'!C12</f>
        <v>4</v>
      </c>
      <c r="D12" s="34">
        <f>IF(((AND(C69&gt;0,C12&gt;0))),(C12/(C69)),0)</f>
        <v>200</v>
      </c>
      <c r="E12" s="33">
        <f>'Data Entry'!J12</f>
        <v>2</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0</v>
      </c>
      <c r="P12" s="42">
        <f t="shared" si="4"/>
        <v>4</v>
      </c>
      <c r="Q12" s="42">
        <f>(C69*L69)-C12</f>
        <v>-2</v>
      </c>
      <c r="R12" s="42">
        <f t="shared" si="5"/>
        <v>4</v>
      </c>
      <c r="S12" s="30">
        <f t="shared" si="6"/>
        <v>64</v>
      </c>
      <c r="T12" s="30">
        <f t="shared" si="7"/>
        <v>-48</v>
      </c>
      <c r="U12" s="31">
        <f t="shared" si="8"/>
        <v>-1.3333333333333333</v>
      </c>
    </row>
    <row r="13" spans="2:21" ht="18" customHeight="1" x14ac:dyDescent="0.25">
      <c r="B13" s="32" t="str">
        <f>'Data Entry'!A13</f>
        <v>8. Cases Resulting in Probation Placement</v>
      </c>
      <c r="C13" s="33">
        <f>'Data Entry'!C13</f>
        <v>16</v>
      </c>
      <c r="D13" s="34">
        <f>IF(((AND(C70&gt;0,C13&gt;0))),(C13/(C70)),0)</f>
        <v>400</v>
      </c>
      <c r="E13" s="33">
        <f>'Data Entry'!J13</f>
        <v>8</v>
      </c>
      <c r="F13" s="34">
        <f>IF(((AND($D$70&gt;0,$E$13&gt;0))),($E$13/($D$70)),0)</f>
        <v>400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8</v>
      </c>
      <c r="O13" s="42">
        <f>(D70*L70)-E13</f>
        <v>-6</v>
      </c>
      <c r="P13" s="42">
        <f t="shared" si="4"/>
        <v>16</v>
      </c>
      <c r="Q13" s="42">
        <f>(C70*L70)-C13</f>
        <v>-12</v>
      </c>
      <c r="R13" s="42">
        <f t="shared" si="5"/>
        <v>6</v>
      </c>
      <c r="S13" s="30">
        <f t="shared" si="6"/>
        <v>0</v>
      </c>
      <c r="T13" s="30">
        <f t="shared" si="7"/>
        <v>-3456</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4</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0.11</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0.08</v>
      </c>
      <c r="E44" s="56">
        <f>MAX(C44:D44,0)</f>
        <v>0.16</v>
      </c>
      <c r="G44" s="1" t="str">
        <f>B44</f>
        <v>per 100 referrals</v>
      </c>
      <c r="L44" s="57">
        <v>100</v>
      </c>
      <c r="M44" s="57"/>
      <c r="R44" s="49"/>
    </row>
    <row r="45" spans="2:18" ht="15" hidden="1" customHeight="1" x14ac:dyDescent="0.25">
      <c r="B45" s="49" t="s">
        <v>89</v>
      </c>
      <c r="C45" s="49">
        <f>C11/100</f>
        <v>0.02</v>
      </c>
      <c r="D45" s="49">
        <f>E11/100</f>
        <v>0.02</v>
      </c>
      <c r="E45" s="56">
        <f>MAX(C45:D45,0)</f>
        <v>0.02</v>
      </c>
      <c r="G45" s="1" t="str">
        <f>B45</f>
        <v>per 100 youth petitioned</v>
      </c>
      <c r="L45" s="57">
        <v>100</v>
      </c>
      <c r="M45" s="57"/>
      <c r="R45" s="49"/>
    </row>
    <row r="46" spans="2:18" ht="15" hidden="1" customHeight="1" x14ac:dyDescent="0.25">
      <c r="B46" s="49" t="s">
        <v>90</v>
      </c>
      <c r="C46" s="49">
        <f>C12/100</f>
        <v>0.04</v>
      </c>
      <c r="D46" s="49">
        <f>E12/100</f>
        <v>0.02</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0.11</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0.61799999999999999</v>
      </c>
      <c r="D49" s="49">
        <f t="shared" si="9"/>
        <v>0.11</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0.08</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0.02</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0.02</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0.11</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0.11</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0.08</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0.02</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0.02</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0.11</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0.11</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0.08</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0.02</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0.02</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0.11</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0.11</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0.08</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0.02</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0.02</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Lake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f>'Black or African-American'!$G8</f>
        <v>4.12</v>
      </c>
      <c r="D8" s="72" t="str">
        <f>Hispanic!G8</f>
        <v>**</v>
      </c>
      <c r="E8" s="72" t="str">
        <f>Asian!G8</f>
        <v>*</v>
      </c>
      <c r="F8" s="72" t="str">
        <f>Hawaiian!G8</f>
        <v>*</v>
      </c>
      <c r="G8" s="72" t="str">
        <f>'Am Indian'!G8</f>
        <v>*</v>
      </c>
      <c r="H8" s="72" t="str">
        <f>'Other - Mixed'!G8</f>
        <v>*</v>
      </c>
      <c r="I8" s="73">
        <f>'All Minorities'!G8</f>
        <v>2.8090909090909091</v>
      </c>
      <c r="L8" s="1">
        <f>'Black or African-American'!L8</f>
        <v>1</v>
      </c>
      <c r="M8" s="1">
        <f>Hispanic!L8</f>
        <v>40</v>
      </c>
      <c r="N8" s="1">
        <f>Asian!L8</f>
        <v>139</v>
      </c>
      <c r="O8" s="1">
        <f>Hawaiian!L8</f>
        <v>139</v>
      </c>
      <c r="P8" s="1">
        <f>'Am Indian'!L8</f>
        <v>139</v>
      </c>
      <c r="Q8" s="1">
        <f>'Other - Mixed'!L8</f>
        <v>139</v>
      </c>
      <c r="R8" s="1">
        <f>'All Minorities'!L8</f>
        <v>1</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t="e">
        <f>Hispanic!L10</f>
        <v>#VALUE!</v>
      </c>
      <c r="N10" s="1" t="e">
        <f>Asian!L10</f>
        <v>#VALUE!</v>
      </c>
      <c r="O10" s="1" t="e">
        <f>Hawaiian!L10</f>
        <v>#VALUE!</v>
      </c>
      <c r="P10" s="1" t="e">
        <f>'Am Indian'!L10</f>
        <v>#VALUE!</v>
      </c>
      <c r="Q10" s="1" t="e">
        <f>'Other - Mixed'!L10</f>
        <v>#VALUE!</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728</v>
      </c>
      <c r="D3" s="57">
        <f>'Data Entry'!C6</f>
        <v>618</v>
      </c>
      <c r="E3" s="57">
        <f>'Data Entry'!D6</f>
        <v>75</v>
      </c>
      <c r="F3" s="57">
        <f>'Data Entry'!E6</f>
        <v>27</v>
      </c>
      <c r="G3" s="57">
        <f>'Data Entry'!F6</f>
        <v>6</v>
      </c>
      <c r="H3" s="57">
        <f>'Data Entry'!G6</f>
        <v>0</v>
      </c>
      <c r="I3" s="57">
        <f>'Data Entry'!H6</f>
        <v>2</v>
      </c>
      <c r="J3" s="57">
        <f>'Data Entry'!I6</f>
        <v>0</v>
      </c>
      <c r="K3" s="57">
        <f>'Data Entry'!J6</f>
        <v>110</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32.967032967032971</v>
      </c>
      <c r="D5" s="1">
        <f>IF((D$3&gt;0),(1000*('Data Entry'!C8/'Data Entry'!C$6)), 0)</f>
        <v>25.889967637540455</v>
      </c>
      <c r="E5" s="1">
        <f>IF((E$3&gt;0),(1000*('Data Entry'!D8/'Data Entry'!D$6)), 0)</f>
        <v>106.66666666666667</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72.72727272727272</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1.3736263736263736</v>
      </c>
      <c r="D7" s="1">
        <f>IF((D$3&gt;0),(1000*('Data Entry'!C10/'Data Entry'!C$6)), 0)</f>
        <v>0</v>
      </c>
      <c r="E7" s="1">
        <f>IF((E$3&gt;0),(1000*('Data Entry'!D10/'Data Entry'!D$6)), 0)</f>
        <v>13.333333333333334</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9.0909090909090899</v>
      </c>
    </row>
    <row r="8" spans="2:11" ht="15" customHeight="1" x14ac:dyDescent="0.25">
      <c r="B8" s="16" t="s">
        <v>95</v>
      </c>
      <c r="C8" s="1">
        <f>IF((C$3&gt;0),(1000*('Data Entry'!B11/'Data Entry'!B$6)), 0)</f>
        <v>5.4945054945054945</v>
      </c>
      <c r="D8" s="1">
        <f>IF((D$3&gt;0),(1000*('Data Entry'!C11/'Data Entry'!C$6)), 0)</f>
        <v>3.2362459546925568</v>
      </c>
      <c r="E8" s="1">
        <f>IF((E$3&gt;0),(1000*('Data Entry'!D11/'Data Entry'!D$6)), 0)</f>
        <v>26.666666666666668</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18.18181818181818</v>
      </c>
    </row>
    <row r="9" spans="2:11" ht="15" customHeight="1" x14ac:dyDescent="0.25">
      <c r="B9" s="16" t="s">
        <v>13</v>
      </c>
      <c r="C9" s="1">
        <f>IF((C$3&gt;0),(1000*('Data Entry'!B12/'Data Entry'!B$6)), 0)</f>
        <v>8.2417582417582427</v>
      </c>
      <c r="D9" s="1">
        <f>IF((D$3&gt;0),(1000*('Data Entry'!C12/'Data Entry'!C$6)), 0)</f>
        <v>6.4724919093851137</v>
      </c>
      <c r="E9" s="1">
        <f>IF((E$3&gt;0),(1000*('Data Entry'!D12/'Data Entry'!D$6)), 0)</f>
        <v>26.666666666666668</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18.18181818181818</v>
      </c>
    </row>
    <row r="10" spans="2:11" ht="15" customHeight="1" x14ac:dyDescent="0.25">
      <c r="B10" s="16" t="s">
        <v>14</v>
      </c>
      <c r="C10" s="1">
        <f>IF((C$3&gt;0),(1000*('Data Entry'!B13/'Data Entry'!B$6)), 0)</f>
        <v>32.967032967032971</v>
      </c>
      <c r="D10" s="1">
        <f>IF((D$3&gt;0),(1000*('Data Entry'!C13/'Data Entry'!C$6)), 0)</f>
        <v>25.889967637540455</v>
      </c>
      <c r="E10" s="1">
        <f>IF((E$3&gt;0),(1000*('Data Entry'!D13/'Data Entry'!D$6)), 0)</f>
        <v>106.66666666666667</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72.72727272727272</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Lake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f t="shared" si="2"/>
        <v>4.12</v>
      </c>
      <c r="E20" s="72" t="str">
        <f t="shared" si="2"/>
        <v>--</v>
      </c>
      <c r="F20" s="72" t="str">
        <f t="shared" si="2"/>
        <v>--</v>
      </c>
      <c r="G20" s="72" t="str">
        <f t="shared" si="2"/>
        <v>--</v>
      </c>
      <c r="H20" s="72" t="str">
        <f t="shared" si="2"/>
        <v>--</v>
      </c>
      <c r="I20" s="72" t="str">
        <f t="shared" si="2"/>
        <v>--</v>
      </c>
      <c r="J20" s="73">
        <f t="shared" si="2"/>
        <v>2.8090909090909086</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8.24</v>
      </c>
      <c r="E23" s="72" t="str">
        <f t="shared" si="2"/>
        <v>--</v>
      </c>
      <c r="F23" s="72" t="str">
        <f t="shared" si="2"/>
        <v>--</v>
      </c>
      <c r="G23" s="72" t="str">
        <f t="shared" si="2"/>
        <v>--</v>
      </c>
      <c r="H23" s="72" t="str">
        <f t="shared" si="2"/>
        <v>--</v>
      </c>
      <c r="I23" s="72" t="str">
        <f t="shared" si="2"/>
        <v>--</v>
      </c>
      <c r="J23" s="73">
        <f t="shared" si="2"/>
        <v>5.6181818181818173</v>
      </c>
    </row>
    <row r="24" spans="2:10" ht="15" customHeight="1" x14ac:dyDescent="0.25">
      <c r="B24" s="71" t="s">
        <v>13</v>
      </c>
      <c r="C24" s="72">
        <f t="shared" si="2"/>
        <v>1</v>
      </c>
      <c r="D24" s="72">
        <f t="shared" si="2"/>
        <v>4.12</v>
      </c>
      <c r="E24" s="72" t="str">
        <f t="shared" si="2"/>
        <v>--</v>
      </c>
      <c r="F24" s="72" t="str">
        <f t="shared" si="2"/>
        <v>--</v>
      </c>
      <c r="G24" s="72" t="str">
        <f t="shared" si="2"/>
        <v>--</v>
      </c>
      <c r="H24" s="72" t="str">
        <f t="shared" si="2"/>
        <v>--</v>
      </c>
      <c r="I24" s="72" t="str">
        <f t="shared" si="2"/>
        <v>--</v>
      </c>
      <c r="J24" s="73">
        <f t="shared" si="2"/>
        <v>2.8090909090909086</v>
      </c>
    </row>
    <row r="25" spans="2:10" ht="15" customHeight="1" x14ac:dyDescent="0.25">
      <c r="B25" s="71" t="s">
        <v>14</v>
      </c>
      <c r="C25" s="72">
        <f t="shared" si="2"/>
        <v>1</v>
      </c>
      <c r="D25" s="72">
        <f t="shared" si="2"/>
        <v>4.12</v>
      </c>
      <c r="E25" s="72" t="str">
        <f t="shared" si="2"/>
        <v>--</v>
      </c>
      <c r="F25" s="72" t="str">
        <f t="shared" si="2"/>
        <v>--</v>
      </c>
      <c r="G25" s="72" t="str">
        <f t="shared" si="2"/>
        <v>--</v>
      </c>
      <c r="H25" s="72" t="str">
        <f t="shared" si="2"/>
        <v>--</v>
      </c>
      <c r="I25" s="72" t="str">
        <f t="shared" si="2"/>
        <v>--</v>
      </c>
      <c r="J25" s="73">
        <f t="shared" si="2"/>
        <v>2.8090909090909086</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Lake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618</v>
      </c>
      <c r="D7" s="105">
        <f>'Data Entry'!D6</f>
        <v>75</v>
      </c>
      <c r="E7" s="106"/>
      <c r="F7" s="107">
        <f>'Data Entry'!E6</f>
        <v>27</v>
      </c>
      <c r="G7" s="106"/>
      <c r="H7" s="107">
        <f>'Data Entry'!F6</f>
        <v>6</v>
      </c>
      <c r="I7" s="106"/>
      <c r="J7" s="107">
        <f>'Data Entry'!G6</f>
        <v>0</v>
      </c>
      <c r="K7" s="106"/>
      <c r="L7" s="107">
        <f>'Data Entry'!H6</f>
        <v>2</v>
      </c>
      <c r="M7" s="106"/>
      <c r="N7" s="107">
        <f>'Data Entry'!I6</f>
        <v>0</v>
      </c>
      <c r="O7" s="106"/>
      <c r="P7" s="107">
        <f>'Data Entry'!J6</f>
        <v>110</v>
      </c>
      <c r="Q7" s="108"/>
    </row>
    <row r="8" spans="2:26" s="1" customFormat="1" ht="15" customHeight="1" x14ac:dyDescent="0.3">
      <c r="B8" s="149" t="s">
        <v>8</v>
      </c>
      <c r="C8" s="104">
        <f>'Data Entry'!C7</f>
        <v>0</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9" t="s">
        <v>134</v>
      </c>
      <c r="C9" s="104">
        <f>'Data Entry'!C8</f>
        <v>16</v>
      </c>
      <c r="D9" s="109">
        <f>'Data Entry'!D8</f>
        <v>8</v>
      </c>
      <c r="E9" s="110">
        <f>'Black or African-American'!$G8</f>
        <v>4.12</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8</v>
      </c>
      <c r="Q9" s="112">
        <f>'All Minorities'!G8</f>
        <v>2.8090909090909091</v>
      </c>
      <c r="R9"/>
      <c r="T9" s="1">
        <f>'Black or African-American'!L8</f>
        <v>1</v>
      </c>
      <c r="U9" s="1">
        <f>Hispanic!L8</f>
        <v>40</v>
      </c>
      <c r="V9" s="1">
        <f>Asian!L8</f>
        <v>139</v>
      </c>
      <c r="W9" s="1">
        <f>Hawaiian!L8</f>
        <v>139</v>
      </c>
      <c r="X9" s="1">
        <f>'Am Indian'!L8</f>
        <v>139</v>
      </c>
      <c r="Y9" s="1">
        <f>'Other - Mixed'!L8</f>
        <v>139</v>
      </c>
      <c r="Z9" s="1">
        <f>'All Minorities'!L8</f>
        <v>1</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1</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1</v>
      </c>
      <c r="Q11" s="112" t="str">
        <f>'All Minorities'!G10</f>
        <v>**</v>
      </c>
      <c r="R11"/>
      <c r="T11" s="1">
        <f>'Black or African-American'!L10</f>
        <v>40</v>
      </c>
      <c r="U11" s="1" t="e">
        <f>Hispanic!L10</f>
        <v>#VALUE!</v>
      </c>
      <c r="V11" s="1" t="e">
        <f>Asian!L10</f>
        <v>#VALUE!</v>
      </c>
      <c r="W11" s="1" t="e">
        <f>Hawaiian!L10</f>
        <v>#VALUE!</v>
      </c>
      <c r="X11" s="1" t="e">
        <f>'Am Indian'!L10</f>
        <v>#VALUE!</v>
      </c>
      <c r="Y11" s="1" t="e">
        <f>'Other - Mixed'!L10</f>
        <v>#VALUE!</v>
      </c>
      <c r="Z11" s="1">
        <f>'All Minorities'!L10</f>
        <v>40</v>
      </c>
    </row>
    <row r="12" spans="2:26" s="1" customFormat="1" ht="15" customHeight="1" x14ac:dyDescent="0.3">
      <c r="B12" s="149" t="s">
        <v>95</v>
      </c>
      <c r="C12" s="104">
        <f>'Data Entry'!C11</f>
        <v>2</v>
      </c>
      <c r="D12" s="113">
        <f>'Data Entry'!D11</f>
        <v>2</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2</v>
      </c>
      <c r="Q12" s="116"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x14ac:dyDescent="0.3">
      <c r="B13" s="149" t="s">
        <v>13</v>
      </c>
      <c r="C13" s="104">
        <f>'Data Entry'!C12</f>
        <v>4</v>
      </c>
      <c r="D13" s="109">
        <f>'Data Entry'!D12</f>
        <v>2</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2</v>
      </c>
      <c r="Q13" s="112"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x14ac:dyDescent="0.3">
      <c r="B14" s="149" t="s">
        <v>133</v>
      </c>
      <c r="C14" s="104">
        <f>'Data Entry'!C13</f>
        <v>16</v>
      </c>
      <c r="D14" s="113">
        <f>'Data Entry'!D13</f>
        <v>8</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8</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Lake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Lake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5.6181818181818182</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5.6181818181818182</v>
      </c>
    </row>
    <row r="9" spans="1:12" x14ac:dyDescent="0.2">
      <c r="A9" s="132" t="str">
        <f>CONCATENATE("Delinquent Findings, total N=", 'Data Entry'!B12)</f>
        <v>Delinquent Findings, total N=6</v>
      </c>
      <c r="B9" s="157">
        <f>'Data Entry'!D12/'Data Entry'!B12</f>
        <v>0.33333333333333331</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0.66666666666666663</v>
      </c>
      <c r="K9" s="97" t="str">
        <f t="shared" si="0"/>
        <v>Delinquent Findings, total N=6</v>
      </c>
      <c r="L9">
        <f>I14/(SUM(B14:G14))</f>
        <v>5.6181818181818182</v>
      </c>
    </row>
    <row r="10" spans="1:12" x14ac:dyDescent="0.2">
      <c r="A10" s="132" t="str">
        <f>CONCATENATE("Petitions, total N=", 'Data Entry'!B11)</f>
        <v>Petitions, total N=4</v>
      </c>
      <c r="B10" s="157">
        <f>'Data Entry'!D11/'Data Entry'!B11</f>
        <v>0.5</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0.5</v>
      </c>
      <c r="K10" s="97" t="str">
        <f t="shared" si="0"/>
        <v>Petitions, total N=4</v>
      </c>
      <c r="L10">
        <f>I14/(SUM(B14:G14))</f>
        <v>5.6181818181818182</v>
      </c>
    </row>
    <row r="11" spans="1:12" x14ac:dyDescent="0.2">
      <c r="A11" s="132" t="str">
        <f>CONCATENATE("Detentions, total N=", 'Data Entry'!B10)</f>
        <v>Detentions, total N=1</v>
      </c>
      <c r="B11" s="157">
        <f>'Data Entry'!D10/'Data Entry'!B10</f>
        <v>1</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v>
      </c>
      <c r="K11" s="97" t="str">
        <f t="shared" si="0"/>
        <v>Detentions, total N=1</v>
      </c>
      <c r="L11">
        <f>I14/(SUM(B14:G14))</f>
        <v>5.6181818181818182</v>
      </c>
    </row>
    <row r="12" spans="1:12" x14ac:dyDescent="0.2">
      <c r="A12" s="132" t="str">
        <f>CONCATENATE("Referrals, total N=", 'Data Entry'!B8)</f>
        <v>Referrals, total N=24</v>
      </c>
      <c r="B12" s="157">
        <f>'Data Entry'!D8/'Data Entry'!B8</f>
        <v>0.33333333333333331</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0.66666666666666663</v>
      </c>
      <c r="K12" s="97" t="str">
        <f t="shared" si="0"/>
        <v>Referrals, total N=24</v>
      </c>
      <c r="L12">
        <f>I14/(SUM(B14:G14))</f>
        <v>5.6181818181818182</v>
      </c>
    </row>
    <row r="13" spans="1:12" x14ac:dyDescent="0.2">
      <c r="A13" s="132" t="str">
        <f>CONCATENATE("Arrests, total N=", 'Data Entry'!B7)</f>
        <v>Arrests, total N=0</v>
      </c>
      <c r="B13" s="157" t="e">
        <f>'Data Entry'!D7/'Data Entry'!B7</f>
        <v>#DIV/0!</v>
      </c>
      <c r="C13" s="157" t="e">
        <f>'Data Entry'!E7/'Data Entry'!B7</f>
        <v>#DIV/0!</v>
      </c>
      <c r="D13" s="157" t="e">
        <f>'Data Entry'!F7/'Data Entry'!B7</f>
        <v>#DIV/0!</v>
      </c>
      <c r="E13" s="157" t="e">
        <f>'Data Entry'!G7/'Data Entry'!B7</f>
        <v>#DIV/0!</v>
      </c>
      <c r="F13" s="157" t="e">
        <f>'Data Entry'!H7/'Data Entry'!B7</f>
        <v>#DIV/0!</v>
      </c>
      <c r="G13" s="157" t="e">
        <f>'Data Entry'!I7/'Data Entry'!B7</f>
        <v>#DIV/0!</v>
      </c>
      <c r="H13" s="157" t="e">
        <f>SUM(D13:G13)/'Data Entry'!B7</f>
        <v>#DIV/0!</v>
      </c>
      <c r="I13" s="157" t="e">
        <f>'Data Entry'!C7/'Data Entry'!B7</f>
        <v>#DIV/0!</v>
      </c>
      <c r="K13" s="97" t="str">
        <f t="shared" si="0"/>
        <v>Arrests, total N=0</v>
      </c>
      <c r="L13">
        <f>I14/(SUM(B14:G14))</f>
        <v>5.6181818181818182</v>
      </c>
    </row>
    <row r="14" spans="1:12" x14ac:dyDescent="0.2">
      <c r="A14" s="132" t="str">
        <f>CONCATENATE("Population, total N=", 'Data Entry'!B6)</f>
        <v>Population, total N=728</v>
      </c>
      <c r="B14" s="157">
        <f>'Data Entry'!D6/'Data Entry'!B6</f>
        <v>0.10302197802197802</v>
      </c>
      <c r="C14" s="157">
        <f>'Data Entry'!E6/'Data Entry'!B6</f>
        <v>3.7087912087912088E-2</v>
      </c>
      <c r="D14" s="157">
        <f>'Data Entry'!F6/'Data Entry'!B6</f>
        <v>8.241758241758242E-3</v>
      </c>
      <c r="E14" s="157">
        <f>'Data Entry'!G6/'Data Entry'!B6</f>
        <v>0</v>
      </c>
      <c r="F14" s="157">
        <f>'Data Entry'!H6/'Data Entry'!B6</f>
        <v>2.7472527472527475E-3</v>
      </c>
      <c r="G14" s="157">
        <f>'Data Entry'!I6/'Data Entry'!B6</f>
        <v>0</v>
      </c>
      <c r="H14" s="157">
        <f>SUM(D14:G14)/'Data Entry'!B6</f>
        <v>1.5094795314575536E-5</v>
      </c>
      <c r="I14" s="157">
        <f>'Data Entry'!C6/'Data Entry'!B6</f>
        <v>0.84890109890109888</v>
      </c>
      <c r="K14" s="97" t="str">
        <f t="shared" si="0"/>
        <v>Population, total N=728</v>
      </c>
      <c r="L14">
        <f>I14/(SUM(B14:G14))</f>
        <v>5.6181818181818182</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Lake</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618</v>
      </c>
      <c r="D7" s="105">
        <f>'Data Entry'!D6</f>
        <v>75</v>
      </c>
      <c r="E7" s="106"/>
      <c r="F7" s="107">
        <f>'Data Entry'!E6</f>
        <v>27</v>
      </c>
      <c r="G7" s="106"/>
      <c r="H7" s="107">
        <f>'Data Entry'!F6</f>
        <v>6</v>
      </c>
      <c r="I7" s="106"/>
      <c r="J7" s="107">
        <f>'Data Entry'!J6</f>
        <v>110</v>
      </c>
      <c r="K7" s="108"/>
    </row>
    <row r="8" spans="2:30" s="1" customFormat="1" ht="15" customHeight="1" x14ac:dyDescent="0.3">
      <c r="B8" s="125" t="s">
        <v>8</v>
      </c>
      <c r="C8" s="104">
        <f>'Data Entry'!C7</f>
        <v>0</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5" t="s">
        <v>134</v>
      </c>
      <c r="C9" s="104">
        <f>'Data Entry'!C8</f>
        <v>16</v>
      </c>
      <c r="D9" s="109">
        <f>'Data Entry'!D8</f>
        <v>8</v>
      </c>
      <c r="E9" s="110">
        <f>'Black or African-American'!$G8</f>
        <v>4.12</v>
      </c>
      <c r="F9" s="111">
        <f>'Data Entry'!E8</f>
        <v>0</v>
      </c>
      <c r="G9" s="110" t="str">
        <f>Hispanic!G8</f>
        <v>**</v>
      </c>
      <c r="H9" s="111">
        <f>'Data Entry'!F8</f>
        <v>0</v>
      </c>
      <c r="I9" s="110" t="str">
        <f>Asian!G8</f>
        <v>*</v>
      </c>
      <c r="J9" s="111">
        <f>'Data Entry'!J8</f>
        <v>8</v>
      </c>
      <c r="K9" s="112">
        <f>'All Minorities'!G8</f>
        <v>2.8090909090909091</v>
      </c>
      <c r="L9"/>
      <c r="N9" s="1">
        <f>'Black or African-American'!L8</f>
        <v>1</v>
      </c>
      <c r="O9" s="1">
        <f>Hispanic!L8</f>
        <v>40</v>
      </c>
      <c r="P9" s="1">
        <f>Asian!L8</f>
        <v>139</v>
      </c>
      <c r="Q9" s="1">
        <f>Hawaiian!L8</f>
        <v>139</v>
      </c>
      <c r="R9" s="1">
        <f>'Am Indian'!L8</f>
        <v>139</v>
      </c>
      <c r="S9" s="1">
        <f>'Other - Mixed'!L8</f>
        <v>139</v>
      </c>
      <c r="T9" s="1">
        <f>'All Minorities'!L8</f>
        <v>1</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1</v>
      </c>
      <c r="E11" s="110" t="str">
        <f>'Black or African-American'!$G10</f>
        <v>**</v>
      </c>
      <c r="F11" s="111">
        <f>'Data Entry'!E10</f>
        <v>0</v>
      </c>
      <c r="G11" s="110" t="str">
        <f>Hispanic!G10</f>
        <v>--</v>
      </c>
      <c r="H11" s="111">
        <f>'Data Entry'!F10</f>
        <v>0</v>
      </c>
      <c r="I11" s="110" t="str">
        <f>Asian!G10</f>
        <v>*</v>
      </c>
      <c r="J11" s="111">
        <f>'Data Entry'!J10</f>
        <v>1</v>
      </c>
      <c r="K11" s="112" t="str">
        <f>'All Minorities'!G10</f>
        <v>**</v>
      </c>
      <c r="L11"/>
      <c r="N11" s="1">
        <f>'Black or African-American'!L10</f>
        <v>40</v>
      </c>
      <c r="O11" s="1" t="e">
        <f>Hispanic!L10</f>
        <v>#VALUE!</v>
      </c>
      <c r="P11" s="1" t="e">
        <f>Asian!L10</f>
        <v>#VALUE!</v>
      </c>
      <c r="Q11" s="1" t="e">
        <f>Hawaiian!L10</f>
        <v>#VALUE!</v>
      </c>
      <c r="R11" s="1" t="e">
        <f>'Am Indian'!L10</f>
        <v>#VALUE!</v>
      </c>
      <c r="S11" s="1" t="e">
        <f>'Other - Mixed'!L10</f>
        <v>#VALUE!</v>
      </c>
      <c r="T11" s="1">
        <f>'All Minorities'!L10</f>
        <v>40</v>
      </c>
    </row>
    <row r="12" spans="2:30" s="1" customFormat="1" ht="15" customHeight="1" x14ac:dyDescent="0.3">
      <c r="B12" s="125" t="s">
        <v>95</v>
      </c>
      <c r="C12" s="104">
        <f>'Data Entry'!C11</f>
        <v>2</v>
      </c>
      <c r="D12" s="113">
        <f>'Data Entry'!D11</f>
        <v>2</v>
      </c>
      <c r="E12" s="114" t="str">
        <f>'Black or African-American'!$G11</f>
        <v>**</v>
      </c>
      <c r="F12" s="115">
        <f>'Data Entry'!E11</f>
        <v>0</v>
      </c>
      <c r="G12" s="114" t="str">
        <f>Hispanic!G11</f>
        <v>--</v>
      </c>
      <c r="H12" s="115">
        <f>'Data Entry'!F11</f>
        <v>0</v>
      </c>
      <c r="I12" s="114" t="str">
        <f>Asian!G11</f>
        <v>*</v>
      </c>
      <c r="J12" s="115">
        <f>'Data Entry'!J11</f>
        <v>2</v>
      </c>
      <c r="K12" s="116"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x14ac:dyDescent="0.3">
      <c r="B13" s="125" t="s">
        <v>13</v>
      </c>
      <c r="C13" s="104">
        <f>'Data Entry'!C12</f>
        <v>4</v>
      </c>
      <c r="D13" s="109">
        <f>'Data Entry'!D12</f>
        <v>2</v>
      </c>
      <c r="E13" s="110" t="str">
        <f>'Black or African-American'!$G12</f>
        <v>**</v>
      </c>
      <c r="F13" s="111">
        <f>'Data Entry'!E12</f>
        <v>0</v>
      </c>
      <c r="G13" s="110" t="str">
        <f>Hispanic!G12</f>
        <v>--</v>
      </c>
      <c r="H13" s="111">
        <f>'Data Entry'!F12</f>
        <v>0</v>
      </c>
      <c r="I13" s="110" t="str">
        <f>Asian!G12</f>
        <v>*</v>
      </c>
      <c r="J13" s="111">
        <f>'Data Entry'!J12</f>
        <v>2</v>
      </c>
      <c r="K13" s="112"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16</v>
      </c>
      <c r="D14" s="113">
        <f>'Data Entry'!D13</f>
        <v>8</v>
      </c>
      <c r="E14" s="114" t="str">
        <f>'Black or African-American'!$G13</f>
        <v>--</v>
      </c>
      <c r="F14" s="115">
        <f>'Data Entry'!E13</f>
        <v>0</v>
      </c>
      <c r="G14" s="114" t="str">
        <f>Hispanic!G13</f>
        <v>--</v>
      </c>
      <c r="H14" s="115">
        <f>'Data Entry'!F13</f>
        <v>0</v>
      </c>
      <c r="I14" s="114" t="str">
        <f>Asian!G13</f>
        <v>*</v>
      </c>
      <c r="J14" s="115">
        <f>'Data Entry'!J13</f>
        <v>8</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Lake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Entry'!D6</f>
        <v>75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75</v>
      </c>
      <c r="P7" s="42">
        <f t="shared" ref="P7:P15" si="2">C7</f>
        <v>0</v>
      </c>
      <c r="Q7" s="42">
        <f>C6-C7</f>
        <v>618</v>
      </c>
      <c r="R7" s="42">
        <f t="shared" ref="R7:R15" si="3">SUM(N7:Q7)</f>
        <v>693</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16</v>
      </c>
      <c r="D8" s="34">
        <f>IF((AND(C67&gt;0,C8&gt;0)),(C8/C67),0)</f>
        <v>25.889967637540455</v>
      </c>
      <c r="E8" s="33">
        <f>'Data Entry'!D8</f>
        <v>8</v>
      </c>
      <c r="F8" s="34">
        <f>IF((AND($E$8&gt;0,$D$67&gt;0)),($E8/$D67),0)</f>
        <v>106.66666666666667</v>
      </c>
      <c r="G8" s="39">
        <f t="shared" ref="G8:G15" si="7">IF(L$6=100,"*",IF(M8=FALSE,"--",IF(K8=20,"**",($F8/$D8))))</f>
        <v>4.12</v>
      </c>
      <c r="H8" s="40"/>
      <c r="I8" s="41"/>
      <c r="J8" s="40">
        <f>IF((ABS($U8)&gt;Defaults!D$7),1,2)</f>
        <v>1</v>
      </c>
      <c r="K8" s="39">
        <f>IF((AND(N8&gt;Defaults!B$12,(N8+O8)&gt;Defaults!B$13, P8 &gt; Defaults!B$12, (P8+Q8) &gt; Defaults!B$13)),1,20)</f>
        <v>1</v>
      </c>
      <c r="L8" s="1">
        <f t="shared" ref="L8:L15" si="8">(J8*K8+L$6)-1</f>
        <v>1</v>
      </c>
      <c r="M8" s="1" t="b">
        <f t="shared" si="0"/>
        <v>1</v>
      </c>
      <c r="N8" s="42">
        <f t="shared" si="1"/>
        <v>8</v>
      </c>
      <c r="O8" s="42">
        <f>((D67*L67)-E8)+0.05</f>
        <v>67.05</v>
      </c>
      <c r="P8" s="42">
        <f t="shared" si="2"/>
        <v>16</v>
      </c>
      <c r="Q8" s="42">
        <f>(C$67*L67)-C8</f>
        <v>602</v>
      </c>
      <c r="R8" s="42">
        <f t="shared" si="3"/>
        <v>693.05</v>
      </c>
      <c r="S8" s="30">
        <f t="shared" si="4"/>
        <v>9710702121.6319981</v>
      </c>
      <c r="T8" s="30">
        <f t="shared" si="5"/>
        <v>744747387.48000002</v>
      </c>
      <c r="U8" s="31">
        <f t="shared" si="6"/>
        <v>13.038920692948086</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8</v>
      </c>
      <c r="P9" s="42">
        <f t="shared" si="2"/>
        <v>0</v>
      </c>
      <c r="Q9" s="42">
        <f>(C$68*L68)-C9</f>
        <v>16</v>
      </c>
      <c r="R9" s="42">
        <f t="shared" si="3"/>
        <v>24</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1</v>
      </c>
      <c r="F10" s="34">
        <f>IF(((AND($E$10&gt;0,$D$68&gt;0))),($E$10/($D$68)),0)</f>
        <v>12.5</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1</v>
      </c>
      <c r="O10" s="42">
        <f>(D$68*L68)-E10</f>
        <v>7</v>
      </c>
      <c r="P10" s="42">
        <f t="shared" si="2"/>
        <v>0</v>
      </c>
      <c r="Q10" s="42">
        <f>(C$68*L68)-C10</f>
        <v>16</v>
      </c>
      <c r="R10" s="42">
        <f t="shared" si="3"/>
        <v>24</v>
      </c>
      <c r="S10" s="30">
        <f t="shared" si="4"/>
        <v>6144</v>
      </c>
      <c r="T10" s="30">
        <f t="shared" si="5"/>
        <v>2944</v>
      </c>
      <c r="U10" s="31">
        <f t="shared" si="6"/>
        <v>2.0869565217391304</v>
      </c>
    </row>
    <row r="11" spans="2:21" ht="18" customHeight="1" x14ac:dyDescent="0.25">
      <c r="B11" s="32" t="str">
        <f>'Data Entry'!A11</f>
        <v>6. Cases Petitioned (Charge Filed)</v>
      </c>
      <c r="C11" s="33">
        <f>'Data Entry'!C11</f>
        <v>2</v>
      </c>
      <c r="D11" s="34">
        <f>IF(((AND(C68&gt;0,C11&gt;0))),(C11/(C68)),0)</f>
        <v>12.5</v>
      </c>
      <c r="E11" s="33">
        <f>'Data Entry'!D11</f>
        <v>2</v>
      </c>
      <c r="F11" s="34">
        <f>IF(((AND($E$11&gt;0,$D$68&gt;0))),($E$11/($D$68)),0)</f>
        <v>25</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6</v>
      </c>
      <c r="P11" s="42">
        <f t="shared" si="2"/>
        <v>2</v>
      </c>
      <c r="Q11" s="42">
        <f>(C$68*L68)-C11</f>
        <v>14</v>
      </c>
      <c r="R11" s="42">
        <f t="shared" si="3"/>
        <v>24</v>
      </c>
      <c r="S11" s="30">
        <f t="shared" si="4"/>
        <v>6144</v>
      </c>
      <c r="T11" s="30">
        <f t="shared" si="5"/>
        <v>10240</v>
      </c>
      <c r="U11" s="31">
        <f t="shared" si="6"/>
        <v>0.6</v>
      </c>
    </row>
    <row r="12" spans="2:21" ht="18" customHeight="1" x14ac:dyDescent="0.25">
      <c r="B12" s="32" t="str">
        <f>'Data Entry'!A12</f>
        <v>7. Cases Resulting in Delinquent Findings</v>
      </c>
      <c r="C12" s="33">
        <f>'Data Entry'!C12</f>
        <v>4</v>
      </c>
      <c r="D12" s="34">
        <f>IF(((AND(C69&gt;0,C12&gt;0))),(C12/(C69)),0)</f>
        <v>200</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4</v>
      </c>
      <c r="Q12" s="42">
        <f>(C69*L69)-C12</f>
        <v>-2</v>
      </c>
      <c r="R12" s="42">
        <f t="shared" si="3"/>
        <v>4</v>
      </c>
      <c r="S12" s="30">
        <f t="shared" si="4"/>
        <v>64</v>
      </c>
      <c r="T12" s="30">
        <f t="shared" si="5"/>
        <v>-48</v>
      </c>
      <c r="U12" s="31">
        <f t="shared" si="6"/>
        <v>-1.3333333333333333</v>
      </c>
    </row>
    <row r="13" spans="2:21" ht="18" customHeight="1" x14ac:dyDescent="0.25">
      <c r="B13" s="32" t="str">
        <f>'Data Entry'!A13</f>
        <v>8. Cases Resulting in Probation Placement</v>
      </c>
      <c r="C13" s="33">
        <f>'Data Entry'!C13</f>
        <v>16</v>
      </c>
      <c r="D13" s="34">
        <f>IF(((AND(C70&gt;0,C13&gt;0))),(C13/(C70)),0)</f>
        <v>400</v>
      </c>
      <c r="E13" s="33">
        <f>'Data Entry'!D13</f>
        <v>8</v>
      </c>
      <c r="F13" s="34">
        <f>IF(((AND($D$70&gt;0,$E$13&gt;0))),($E$13/($D$70)),0)</f>
        <v>400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8</v>
      </c>
      <c r="O13" s="42">
        <f>(D70*L70)-E13</f>
        <v>-6</v>
      </c>
      <c r="P13" s="42">
        <f t="shared" si="2"/>
        <v>16</v>
      </c>
      <c r="Q13" s="42">
        <f>(C70*L70)-C13</f>
        <v>-12</v>
      </c>
      <c r="R13" s="42">
        <f t="shared" si="3"/>
        <v>6</v>
      </c>
      <c r="S13" s="30">
        <f t="shared" si="4"/>
        <v>0</v>
      </c>
      <c r="T13" s="30">
        <f t="shared" si="5"/>
        <v>-3456</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4</v>
      </c>
      <c r="R14" s="42">
        <f t="shared" si="3"/>
        <v>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2</v>
      </c>
      <c r="R15" s="42">
        <f t="shared" si="3"/>
        <v>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7.4999999999999997E-2</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0.08</v>
      </c>
      <c r="E44" s="56">
        <f>MAX(C44:D44,0)</f>
        <v>0.16</v>
      </c>
      <c r="G44" s="1" t="str">
        <f>B44</f>
        <v>per 100 referrals</v>
      </c>
      <c r="L44" s="57">
        <v>100</v>
      </c>
      <c r="M44" s="57"/>
      <c r="R44" s="49"/>
    </row>
    <row r="45" spans="2:18" ht="15" hidden="1" customHeight="1" x14ac:dyDescent="0.25">
      <c r="B45" s="49" t="s">
        <v>89</v>
      </c>
      <c r="C45" s="49">
        <f>C11/100</f>
        <v>0.02</v>
      </c>
      <c r="D45" s="49">
        <f>E11/100</f>
        <v>0.02</v>
      </c>
      <c r="E45" s="56">
        <f>MAX(C45:D45,0)</f>
        <v>0.02</v>
      </c>
      <c r="G45" s="1" t="str">
        <f>B45</f>
        <v>per 100 youth petitioned</v>
      </c>
      <c r="L45" s="57">
        <v>100</v>
      </c>
      <c r="M45" s="57"/>
      <c r="R45" s="49"/>
    </row>
    <row r="46" spans="2:18" ht="15" hidden="1" customHeight="1" x14ac:dyDescent="0.25">
      <c r="B46" s="49" t="s">
        <v>90</v>
      </c>
      <c r="C46" s="49">
        <f>C12/100</f>
        <v>0.04</v>
      </c>
      <c r="D46" s="49">
        <f>E12/100</f>
        <v>0.02</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7.4999999999999997E-2</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0.61799999999999999</v>
      </c>
      <c r="D49" s="49">
        <f t="shared" si="9"/>
        <v>7.4999999999999997E-2</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0.08</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0.02</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0.02</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7.4999999999999997E-2</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7.4999999999999997E-2</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0.08</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0.02</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0.02</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7.4999999999999997E-2</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7.4999999999999997E-2</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0.08</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0.02</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0.02</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7.4999999999999997E-2</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7.4999999999999997E-2</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0.08</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0.02</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0.02</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Lake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v>
      </c>
      <c r="P7" s="42">
        <f t="shared" ref="P7:P15" si="4">C7</f>
        <v>0</v>
      </c>
      <c r="Q7" s="42">
        <f>C6-C7</f>
        <v>618</v>
      </c>
      <c r="R7" s="42">
        <f t="shared" ref="R7:R15" si="5">SUM(N7:Q7)</f>
        <v>624</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25.889967637540455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6.05</v>
      </c>
      <c r="P8" s="42">
        <f t="shared" si="4"/>
        <v>16</v>
      </c>
      <c r="Q8" s="42">
        <f>(C$67*L67)-C8</f>
        <v>602</v>
      </c>
      <c r="R8" s="42">
        <f t="shared" si="5"/>
        <v>624.04999999999995</v>
      </c>
      <c r="S8" s="30">
        <f t="shared" si="6"/>
        <v>5847498.2719999999</v>
      </c>
      <c r="T8" s="30">
        <f t="shared" si="7"/>
        <v>36375010.32</v>
      </c>
      <c r="U8" s="31">
        <f t="shared" si="8"/>
        <v>0.16075592063227215</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12.5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14</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200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16</v>
      </c>
      <c r="D13" s="34">
        <f>IF(((AND(C70&gt;0,C13&gt;0))),(C13/(C70)),0)</f>
        <v>400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-12</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6.0000000000000001E-3</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6.0000000000000001E-3</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0.61799999999999999</v>
      </c>
      <c r="D49" s="49">
        <f t="shared" si="9"/>
        <v>6.0000000000000001E-3</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6.0000000000000001E-3</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6.0000000000000001E-3</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6.0000000000000001E-3</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6.0000000000000001E-3</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6.0000000000000001E-3</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6.0000000000000001E-3</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Lake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Entry'!E6</f>
        <v>27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27</v>
      </c>
      <c r="P7" s="42">
        <f t="shared" ref="P7:P15" si="4">C7</f>
        <v>0</v>
      </c>
      <c r="Q7" s="42">
        <f>C6-C7</f>
        <v>618</v>
      </c>
      <c r="R7" s="42">
        <f t="shared" ref="R7:R15" si="5">SUM(N7:Q7)</f>
        <v>645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25.889967637540455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27.05</v>
      </c>
      <c r="P8" s="42">
        <f t="shared" si="4"/>
        <v>16</v>
      </c>
      <c r="Q8" s="42">
        <f>(C$67*L67)-C8</f>
        <v>602</v>
      </c>
      <c r="R8" s="42">
        <f t="shared" si="5"/>
        <v>645.04999999999995</v>
      </c>
      <c r="S8" s="30">
        <f t="shared" si="6"/>
        <v>120828082.59199999</v>
      </c>
      <c r="T8" s="30">
        <f t="shared" si="7"/>
        <v>168252255.12</v>
      </c>
      <c r="U8" s="31">
        <f t="shared" si="8"/>
        <v>0.71813648206868674</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12.5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14</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200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16</v>
      </c>
      <c r="D13" s="34">
        <f>IF(((AND(C70&gt;0,C13&gt;0))),(C13/(C70)),0)</f>
        <v>400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-12</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2.7E-2</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2.7E-2</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0.61799999999999999</v>
      </c>
      <c r="D49" s="49">
        <f t="shared" si="9"/>
        <v>2.7E-2</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2.7E-2</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2.7E-2</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2.7E-2</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2.7E-2</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2.7E-2</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2.7E-2</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Lake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618</v>
      </c>
      <c r="R7" s="42">
        <f t="shared" ref="R7:R15" si="5">SUM(N7:Q7)</f>
        <v>618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25.889967637540455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602</v>
      </c>
      <c r="R8" s="42">
        <f t="shared" si="5"/>
        <v>618.04999999999995</v>
      </c>
      <c r="S8" s="30">
        <f t="shared" si="6"/>
        <v>395.55200000000002</v>
      </c>
      <c r="T8" s="30">
        <f t="shared" si="7"/>
        <v>297653.52</v>
      </c>
      <c r="U8" s="31">
        <f t="shared" si="8"/>
        <v>1.3289007971415893E-3</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12.5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14</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200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16</v>
      </c>
      <c r="D13" s="34">
        <f>IF(((AND(C70&gt;0,C13&gt;0))),(C13/(C70)),0)</f>
        <v>400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-12</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0</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0</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0.61799999999999999</v>
      </c>
      <c r="D49" s="49">
        <f t="shared" si="9"/>
        <v>0</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0</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0</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0</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0</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0</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0</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Lake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618</v>
      </c>
      <c r="D6" s="34"/>
      <c r="E6" s="33">
        <f>'Data Entry'!H6</f>
        <v>2</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v>
      </c>
      <c r="P7" s="42">
        <f t="shared" ref="P7:P15" si="4">C7</f>
        <v>0</v>
      </c>
      <c r="Q7" s="42">
        <f>C6-C7</f>
        <v>618</v>
      </c>
      <c r="R7" s="42">
        <f t="shared" ref="R7:R15" si="5">SUM(N7:Q7)</f>
        <v>620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16</v>
      </c>
      <c r="D8" s="34">
        <f>IF((AND(C67&gt;0,C8&gt;0)),(C8/C67),0)</f>
        <v>25.889967637540455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2.0499999999999998</v>
      </c>
      <c r="P8" s="42">
        <f t="shared" si="4"/>
        <v>16</v>
      </c>
      <c r="Q8" s="42">
        <f>(C$67*L67)-C8</f>
        <v>602</v>
      </c>
      <c r="R8" s="42">
        <f t="shared" si="5"/>
        <v>620.04999999999995</v>
      </c>
      <c r="S8" s="30">
        <f t="shared" si="6"/>
        <v>667074.59199999995</v>
      </c>
      <c r="T8" s="30">
        <f t="shared" si="7"/>
        <v>12244335.119999997</v>
      </c>
      <c r="U8" s="31">
        <f t="shared" si="8"/>
        <v>5.4480262542830511E-2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x14ac:dyDescent="0.25">
      <c r="B11" s="32" t="str">
        <f>'Data Entry'!A11</f>
        <v>6. Cases Petitioned (Charge Filed)</v>
      </c>
      <c r="C11" s="33">
        <f>'Data Entry'!C11</f>
        <v>2</v>
      </c>
      <c r="D11" s="34">
        <f>IF(((AND(C68&gt;0,C11&gt;0))),(C11/(C68)),0)</f>
        <v>12.5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v>
      </c>
      <c r="Q11" s="42">
        <f>(C$68*L68)-C11</f>
        <v>14</v>
      </c>
      <c r="R11" s="42">
        <f t="shared" si="5"/>
        <v>16</v>
      </c>
      <c r="S11" s="30">
        <f t="shared" si="6"/>
        <v>0</v>
      </c>
      <c r="T11" s="30">
        <f t="shared" si="7"/>
        <v>0</v>
      </c>
      <c r="U11" s="31" t="str">
        <f t="shared" si="8"/>
        <v>- -</v>
      </c>
    </row>
    <row r="12" spans="2:21" ht="18" customHeight="1" x14ac:dyDescent="0.25">
      <c r="B12" s="32" t="str">
        <f>'Data Entry'!A12</f>
        <v>7. Cases Resulting in Delinquent Findings</v>
      </c>
      <c r="C12" s="33">
        <f>'Data Entry'!C12</f>
        <v>4</v>
      </c>
      <c r="D12" s="34">
        <f>IF(((AND(C69&gt;0,C12&gt;0))),(C12/(C69)),0)</f>
        <v>200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-2</v>
      </c>
      <c r="R12" s="42">
        <f t="shared" si="5"/>
        <v>2</v>
      </c>
      <c r="S12" s="30">
        <f t="shared" si="6"/>
        <v>0</v>
      </c>
      <c r="T12" s="30">
        <f t="shared" si="7"/>
        <v>0</v>
      </c>
      <c r="U12" s="31" t="str">
        <f t="shared" si="8"/>
        <v>- -</v>
      </c>
    </row>
    <row r="13" spans="2:21" ht="18" customHeight="1" x14ac:dyDescent="0.25">
      <c r="B13" s="32" t="str">
        <f>'Data Entry'!A13</f>
        <v>8. Cases Resulting in Probation Placement</v>
      </c>
      <c r="C13" s="33">
        <f>'Data Entry'!C13</f>
        <v>16</v>
      </c>
      <c r="D13" s="34">
        <f>IF(((AND(C70&gt;0,C13&gt;0))),(C13/(C70)),0)</f>
        <v>400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-12</v>
      </c>
      <c r="R13" s="42">
        <f t="shared" si="5"/>
        <v>4</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v>
      </c>
      <c r="R15" s="42">
        <f t="shared" si="5"/>
        <v>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0.61799999999999999</v>
      </c>
      <c r="D42" s="56">
        <f>E6/1000</f>
        <v>2E-3</v>
      </c>
      <c r="E42" s="56">
        <f>MAX(C42:D42)</f>
        <v>0.61799999999999999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0.16</v>
      </c>
      <c r="D44" s="56">
        <f>E8/100</f>
        <v>0</v>
      </c>
      <c r="E44" s="56">
        <f>MAX(C44:D44,0)</f>
        <v>0.16</v>
      </c>
      <c r="G44" s="1" t="str">
        <f>B44</f>
        <v>per 100 referrals</v>
      </c>
      <c r="L44" s="57">
        <v>100</v>
      </c>
      <c r="M44" s="57"/>
      <c r="R44" s="49"/>
    </row>
    <row r="45" spans="2:18" ht="15" hidden="1" customHeight="1" x14ac:dyDescent="0.25">
      <c r="B45" s="49" t="s">
        <v>89</v>
      </c>
      <c r="C45" s="49">
        <f>C11/100</f>
        <v>0.02</v>
      </c>
      <c r="D45" s="49">
        <f>E11/100</f>
        <v>0</v>
      </c>
      <c r="E45" s="56">
        <f>MAX(C45:D45,0)</f>
        <v>0.02</v>
      </c>
      <c r="G45" s="1" t="str">
        <f>B45</f>
        <v>per 100 youth petitioned</v>
      </c>
      <c r="L45" s="57">
        <v>100</v>
      </c>
      <c r="M45" s="57"/>
      <c r="R45" s="49"/>
    </row>
    <row r="46" spans="2:18" ht="15" hidden="1" customHeight="1" x14ac:dyDescent="0.25">
      <c r="B46" s="49" t="s">
        <v>90</v>
      </c>
      <c r="C46" s="49">
        <f>C12/100</f>
        <v>0.04</v>
      </c>
      <c r="D46" s="49">
        <f>E12/100</f>
        <v>0</v>
      </c>
      <c r="E46" s="56">
        <f>MAX(C46:D46)</f>
        <v>0.04</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0.61799999999999999</v>
      </c>
      <c r="D48" s="56">
        <f>D42</f>
        <v>2E-3</v>
      </c>
      <c r="E48" s="56">
        <f>MAX(C48:D48)</f>
        <v>0.61799999999999999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0.61799999999999999</v>
      </c>
      <c r="D49" s="49">
        <f t="shared" si="9"/>
        <v>2E-3</v>
      </c>
      <c r="E49" s="49">
        <f>MAX(C49:D49)</f>
        <v>0.61799999999999999</v>
      </c>
      <c r="G49" s="1" t="str">
        <f>G43</f>
        <v>per 100 arrests</v>
      </c>
      <c r="L49" s="58">
        <f>IF(($E43&gt;0),L43,L42)</f>
        <v>1000</v>
      </c>
      <c r="M49" s="58"/>
      <c r="N49" s="21"/>
      <c r="O49" s="21"/>
      <c r="P49" s="21"/>
      <c r="Q49" s="21"/>
      <c r="R49" s="21"/>
    </row>
    <row r="50" spans="2:18" ht="15" hidden="1" customHeight="1" x14ac:dyDescent="0.25">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0.02</v>
      </c>
      <c r="D51" s="49">
        <f>IF(($E45&gt;0),D45,D44)</f>
        <v>0</v>
      </c>
      <c r="E51" s="49">
        <f>MAX(C51:D51)</f>
        <v>0.02</v>
      </c>
      <c r="G51" s="1" t="str">
        <f>G45</f>
        <v>per 100 youth petitioned</v>
      </c>
      <c r="L51" s="58">
        <f>IF(($E45&gt;0),L45,L44)</f>
        <v>100</v>
      </c>
      <c r="M51" s="58"/>
    </row>
    <row r="52" spans="2:18" ht="15" hidden="1" customHeight="1" x14ac:dyDescent="0.25">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0.61799999999999999</v>
      </c>
      <c r="D54" s="56">
        <f>D48</f>
        <v>2E-3</v>
      </c>
      <c r="E54" s="56">
        <f>MAX(C54:D54)</f>
        <v>0.61799999999999999</v>
      </c>
      <c r="G54" s="1" t="str">
        <f>G48</f>
        <v>per 1000 youth</v>
      </c>
      <c r="L54" s="58">
        <f>L48</f>
        <v>1000</v>
      </c>
      <c r="M54" s="58"/>
    </row>
    <row r="55" spans="2:18" ht="15" hidden="1" customHeight="1" x14ac:dyDescent="0.25">
      <c r="B55" s="49" t="str">
        <f t="shared" ref="B55:D56" si="10">IF(($E49&gt;0),B49,B48)</f>
        <v>per 1000 youth</v>
      </c>
      <c r="C55" s="49">
        <f t="shared" si="10"/>
        <v>0.61799999999999999</v>
      </c>
      <c r="D55" s="49">
        <f t="shared" si="10"/>
        <v>2E-3</v>
      </c>
      <c r="E55" s="49">
        <f>MAX(C55:D55)</f>
        <v>0.61799999999999999</v>
      </c>
      <c r="G55" s="1" t="str">
        <f>G49</f>
        <v>per 100 arrests</v>
      </c>
      <c r="L55" s="58">
        <f>IF(($E49&gt;0),L49,L48)</f>
        <v>1000</v>
      </c>
      <c r="M55" s="58"/>
    </row>
    <row r="56" spans="2:18" ht="15" hidden="1" customHeight="1" x14ac:dyDescent="0.25">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x14ac:dyDescent="0.25">
      <c r="B57" s="49" t="str">
        <f>IF(($E51&gt;0),B51,B49)</f>
        <v>per 100 youth petitioned</v>
      </c>
      <c r="C57" s="49">
        <f>IF(($E51&gt;0),C51,C50)</f>
        <v>0.02</v>
      </c>
      <c r="D57" s="49">
        <f>IF(($E51&gt;0),D51,D50)</f>
        <v>0</v>
      </c>
      <c r="E57" s="49">
        <f>MAX(C57:D57)</f>
        <v>0.02</v>
      </c>
      <c r="G57" s="1" t="str">
        <f>G51</f>
        <v>per 100 youth petitioned</v>
      </c>
      <c r="L57" s="58">
        <f>IF(($E51&gt;0),L51,L50)</f>
        <v>100</v>
      </c>
      <c r="M57" s="58"/>
    </row>
    <row r="58" spans="2:18" ht="15" hidden="1" customHeight="1" x14ac:dyDescent="0.25">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0.61799999999999999</v>
      </c>
      <c r="D60" s="56">
        <f>D54</f>
        <v>2E-3</v>
      </c>
      <c r="E60" s="56">
        <f>MAX(C60:D60)</f>
        <v>0.61799999999999999</v>
      </c>
      <c r="G60" s="1" t="str">
        <f>G54</f>
        <v>per 1000 youth</v>
      </c>
      <c r="L60" s="58">
        <f>L54</f>
        <v>1000</v>
      </c>
      <c r="M60" s="58"/>
    </row>
    <row r="61" spans="2:18" ht="15" hidden="1" customHeight="1" x14ac:dyDescent="0.25">
      <c r="B61" s="49" t="str">
        <f t="shared" ref="B61:D62" si="11">IF(($E55&gt;0),B55,B54)</f>
        <v>per 1000 youth</v>
      </c>
      <c r="C61" s="49">
        <f t="shared" si="11"/>
        <v>0.61799999999999999</v>
      </c>
      <c r="D61" s="49">
        <f t="shared" si="11"/>
        <v>2E-3</v>
      </c>
      <c r="E61" s="49">
        <f>MAX(C61:D61)</f>
        <v>0.61799999999999999</v>
      </c>
      <c r="G61" s="1" t="str">
        <f>G55</f>
        <v>per 100 arrests</v>
      </c>
      <c r="L61" s="58">
        <f>IF(($E55&gt;0),L55,L54)</f>
        <v>1000</v>
      </c>
      <c r="M61" s="58"/>
    </row>
    <row r="62" spans="2:18" ht="15" hidden="1" customHeight="1" x14ac:dyDescent="0.25">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x14ac:dyDescent="0.25">
      <c r="B63" s="49" t="str">
        <f>IF(($E57&gt;0),B57,B55)</f>
        <v>per 100 youth petitioned</v>
      </c>
      <c r="C63" s="49">
        <f>IF(($E57&gt;0),C57,C56)</f>
        <v>0.02</v>
      </c>
      <c r="D63" s="49">
        <f>IF(($E57&gt;0),D57,D56)</f>
        <v>0</v>
      </c>
      <c r="E63" s="49">
        <f>MAX(C63:D63)</f>
        <v>0.02</v>
      </c>
      <c r="G63" s="1" t="str">
        <f>G57</f>
        <v>per 100 youth petitioned</v>
      </c>
      <c r="L63" s="58">
        <f>IF(($E57&gt;0),L57,L56)</f>
        <v>100</v>
      </c>
      <c r="M63" s="58"/>
    </row>
    <row r="64" spans="2:18" ht="15" hidden="1" customHeight="1" x14ac:dyDescent="0.25">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0.61799999999999999</v>
      </c>
      <c r="D66" s="56">
        <f>D60</f>
        <v>2E-3</v>
      </c>
      <c r="E66" s="56">
        <f>MAX(C66:D66)</f>
        <v>0.61799999999999999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0.61799999999999999</v>
      </c>
      <c r="D67" s="49">
        <f t="shared" si="12"/>
        <v>2E-3</v>
      </c>
      <c r="E67" s="49">
        <f>MAX(C67:D67)</f>
        <v>0.61799999999999999</v>
      </c>
      <c r="G67" s="1" t="str">
        <f>G61</f>
        <v>per 100 arrests</v>
      </c>
      <c r="L67" s="58">
        <f>IF(($E61&gt;0),L61,L60)</f>
        <v>1000</v>
      </c>
      <c r="M67" s="58">
        <f>IF((B67=G67),1,2)</f>
        <v>2</v>
      </c>
    </row>
    <row r="68" spans="2:13" ht="15" hidden="1" customHeight="1" x14ac:dyDescent="0.25">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x14ac:dyDescent="0.25">
      <c r="B69" s="49" t="str">
        <f>IF(($E63&gt;0),B63,B61)</f>
        <v>per 100 youth petitioned</v>
      </c>
      <c r="C69" s="49">
        <f>IF(($E63&gt;0),C63,C62)</f>
        <v>0.02</v>
      </c>
      <c r="D69" s="49">
        <f>IF(($E63&gt;0),D63,D62)</f>
        <v>0</v>
      </c>
      <c r="E69" s="49">
        <f>MAX(C69:D69)</f>
        <v>0.02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U47JMPN4QEAR-1806752177-30188</_dlc_DocId>
    <_dlc_DocIdUrl xmlns="ac3811b5-0f3e-49e2-ba69-f2ffa0c782af">
      <Url>https://michiganphi.sharepoint.com/sites/CMDMC/_layouts/15/DocIdRedir.aspx?ID=U47JMPN4QEAR-1806752177-30188</Url>
      <Description>U47JMPN4QEAR-1806752177-30188</Description>
    </_dlc_DocIdUrl>
  </documentManagement>
</p:properties>
</file>

<file path=customXml/itemProps1.xml><?xml version="1.0" encoding="utf-8"?>
<ds:datastoreItem xmlns:ds="http://schemas.openxmlformats.org/officeDocument/2006/customXml" ds:itemID="{1D922037-872E-4988-A384-CEFC8F97AD71}"/>
</file>

<file path=customXml/itemProps2.xml><?xml version="1.0" encoding="utf-8"?>
<ds:datastoreItem xmlns:ds="http://schemas.openxmlformats.org/officeDocument/2006/customXml" ds:itemID="{63A2D947-283C-4B48-A571-55C64952967A}"/>
</file>

<file path=customXml/itemProps3.xml><?xml version="1.0" encoding="utf-8"?>
<ds:datastoreItem xmlns:ds="http://schemas.openxmlformats.org/officeDocument/2006/customXml" ds:itemID="{3EB6BF45-0DB2-4B3F-9A56-B53ED6C639CA}"/>
</file>

<file path=customXml/itemProps4.xml><?xml version="1.0" encoding="utf-8"?>
<ds:datastoreItem xmlns:ds="http://schemas.openxmlformats.org/officeDocument/2006/customXml" ds:itemID="{83559A0C-2198-411F-ABFE-E573B5E286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850b6de0-bb4a-4cb1-b757-dd0f8678c30e</vt:lpwstr>
  </property>
</Properties>
</file>