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16C5DDD-23C4-4225-9482-491E6361934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s="1"/>
  <c r="G62" i="5" s="1"/>
  <c r="G68" i="5" s="1"/>
  <c r="G45" i="5"/>
  <c r="G51" i="5" s="1"/>
  <c r="G57" i="5" s="1"/>
  <c r="G63" i="5" s="1"/>
  <c r="G69" i="5" s="1"/>
  <c r="G46" i="5"/>
  <c r="G48" i="5"/>
  <c r="G54" i="5"/>
  <c r="G60" i="5" s="1"/>
  <c r="G66" i="5" s="1"/>
  <c r="M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M66" i="7" l="1"/>
  <c r="F27" i="7"/>
  <c r="F27" i="6"/>
  <c r="M66" i="6"/>
  <c r="F27" i="4"/>
  <c r="M66" i="4"/>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E64" i="5" s="1"/>
  <c r="L64" i="5"/>
  <c r="E58" i="8"/>
  <c r="C57" i="8"/>
  <c r="B56"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3" i="3"/>
  <c r="C64" i="8"/>
  <c r="E64" i="8" s="1"/>
  <c r="L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70" i="6"/>
  <c r="F13" i="6" s="1"/>
  <c r="E63" i="3"/>
  <c r="C69" i="3" s="1"/>
  <c r="D15" i="3" s="1"/>
  <c r="B70" i="3"/>
  <c r="M70" i="3" s="1"/>
  <c r="C70" i="6"/>
  <c r="E70" i="6" s="1"/>
  <c r="L70" i="6"/>
  <c r="O14" i="6" s="1"/>
  <c r="L63" i="8"/>
  <c r="L70" i="8" s="1"/>
  <c r="C63" i="8"/>
  <c r="D63" i="8"/>
  <c r="D70" i="8" s="1"/>
  <c r="F13" i="8" s="1"/>
  <c r="L69" i="7"/>
  <c r="Q15" i="7" s="1"/>
  <c r="C70" i="3"/>
  <c r="D14" i="3"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14" i="6"/>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3" l="1"/>
  <c r="M69" i="3" s="1"/>
  <c r="D12" i="3"/>
  <c r="L69" i="3"/>
  <c r="Q12" i="3" s="1"/>
  <c r="D69" i="3"/>
  <c r="E69" i="3" s="1"/>
  <c r="Q12" i="7"/>
  <c r="D14" i="6"/>
  <c r="Q13" i="6"/>
  <c r="Q14" i="6"/>
  <c r="R14" i="6" s="1"/>
  <c r="S14" i="6" s="1"/>
  <c r="D13" i="6"/>
  <c r="O13" i="6"/>
  <c r="E69" i="7"/>
  <c r="Q14" i="3"/>
  <c r="Q13" i="8"/>
  <c r="E63" i="8"/>
  <c r="D69" i="8" s="1"/>
  <c r="F15" i="8" s="1"/>
  <c r="O13" i="3"/>
  <c r="D13" i="3"/>
  <c r="F14" i="3"/>
  <c r="Q13" i="3"/>
  <c r="B69" i="6"/>
  <c r="M69" i="6" s="1"/>
  <c r="C69" i="6"/>
  <c r="D12" i="6" s="1"/>
  <c r="F12" i="7"/>
  <c r="O12" i="7"/>
  <c r="O15" i="7"/>
  <c r="K15" i="7" s="1"/>
  <c r="E70" i="3"/>
  <c r="O14" i="3"/>
  <c r="D69" i="6"/>
  <c r="F12" i="6" s="1"/>
  <c r="T10" i="3"/>
  <c r="K10" i="4"/>
  <c r="F8" i="7"/>
  <c r="T9" i="4"/>
  <c r="F35" i="6"/>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K14" i="6"/>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O12" i="3"/>
  <c r="R12" i="3" s="1"/>
  <c r="S12" i="3" s="1"/>
  <c r="T14" i="6"/>
  <c r="K12" i="7"/>
  <c r="T13" i="6"/>
  <c r="K13" i="6"/>
  <c r="R13" i="6"/>
  <c r="S13" i="6" s="1"/>
  <c r="U13" i="6" s="1"/>
  <c r="J13" i="6" s="1"/>
  <c r="M13" i="6" s="1"/>
  <c r="G13" i="6" s="1"/>
  <c r="G13" i="9" s="1"/>
  <c r="T13" i="3"/>
  <c r="T14" i="3"/>
  <c r="D15" i="6"/>
  <c r="C69" i="8"/>
  <c r="L69" i="8"/>
  <c r="O15" i="8" s="1"/>
  <c r="F12" i="8"/>
  <c r="R13" i="8"/>
  <c r="S13" i="8" s="1"/>
  <c r="U13" i="8" s="1"/>
  <c r="J13" i="8" s="1"/>
  <c r="M13" i="8" s="1"/>
  <c r="G13" i="8" s="1"/>
  <c r="K14" i="16" s="1"/>
  <c r="F32" i="6"/>
  <c r="B69" i="8"/>
  <c r="M69" i="8" s="1"/>
  <c r="R13" i="3"/>
  <c r="S13" i="3" s="1"/>
  <c r="U13" i="3" s="1"/>
  <c r="J13" i="3" s="1"/>
  <c r="M13" i="3" s="1"/>
  <c r="G13" i="3" s="1"/>
  <c r="T12" i="7"/>
  <c r="T15" i="7"/>
  <c r="Q12" i="6"/>
  <c r="Q15" i="6"/>
  <c r="T13" i="8"/>
  <c r="K13" i="3"/>
  <c r="R14" i="8"/>
  <c r="S14" i="8" s="1"/>
  <c r="R12" i="7"/>
  <c r="S12" i="7" s="1"/>
  <c r="U12" i="7" s="1"/>
  <c r="J12" i="7" s="1"/>
  <c r="M12" i="7" s="1"/>
  <c r="O12" i="6"/>
  <c r="R14" i="3"/>
  <c r="S14" i="3" s="1"/>
  <c r="U14" i="3" s="1"/>
  <c r="J14" i="3" s="1"/>
  <c r="M14" i="3" s="1"/>
  <c r="G14" i="3" s="1"/>
  <c r="I15" i="16" s="1"/>
  <c r="R15" i="7"/>
  <c r="S15" i="7" s="1"/>
  <c r="U15" i="7" s="1"/>
  <c r="J15" i="7" s="1"/>
  <c r="L15" i="7" s="1"/>
  <c r="S16" i="16"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5" i="6" l="1"/>
  <c r="S15" i="6" s="1"/>
  <c r="U15" i="6" s="1"/>
  <c r="J15" i="6" s="1"/>
  <c r="M15" i="6" s="1"/>
  <c r="G15" i="6" s="1"/>
  <c r="L12" i="7"/>
  <c r="S13" i="16" s="1"/>
  <c r="N30" i="3"/>
  <c r="L13" i="6"/>
  <c r="R14" i="16" s="1"/>
  <c r="M14" i="13"/>
  <c r="E14" i="9"/>
  <c r="L13" i="3"/>
  <c r="P14" i="16" s="1"/>
  <c r="Q12" i="8"/>
  <c r="Q15" i="8"/>
  <c r="R15" i="8" s="1"/>
  <c r="S15" i="8" s="1"/>
  <c r="U15" i="8" s="1"/>
  <c r="J15" i="8" s="1"/>
  <c r="D15" i="8"/>
  <c r="D12" i="8"/>
  <c r="E69" i="8"/>
  <c r="T12" i="6"/>
  <c r="Q14" i="13"/>
  <c r="O12" i="8"/>
  <c r="I13" i="9"/>
  <c r="K12" i="6"/>
  <c r="L13" i="8"/>
  <c r="T14" i="16" s="1"/>
  <c r="K15" i="6"/>
  <c r="F32" i="8"/>
  <c r="F35" i="8"/>
  <c r="R12" i="6"/>
  <c r="S12" i="6" s="1"/>
  <c r="U12" i="6" s="1"/>
  <c r="J12" i="6" s="1"/>
  <c r="T15" i="6"/>
  <c r="U14" i="8"/>
  <c r="J14" i="8" s="1"/>
  <c r="N30" i="8" s="1"/>
  <c r="M15" i="7"/>
  <c r="L14" i="3"/>
  <c r="P15" i="16" s="1"/>
  <c r="I15" i="13"/>
  <c r="M13" i="9"/>
  <c r="U14" i="13"/>
  <c r="U12" i="13"/>
  <c r="M11" i="9"/>
  <c r="T13" i="2"/>
  <c r="U8" i="6"/>
  <c r="J8" i="6" s="1"/>
  <c r="M8" i="6" s="1"/>
  <c r="G8" i="6" s="1"/>
  <c r="M9" i="13" s="1"/>
  <c r="R13" i="2"/>
  <c r="S13" i="2" s="1"/>
  <c r="U13" i="2" s="1"/>
  <c r="J13" i="2" s="1"/>
  <c r="M13" i="2" s="1"/>
  <c r="G13" i="2" s="1"/>
  <c r="E14" i="16" s="1"/>
  <c r="V11" i="13"/>
  <c r="G14" i="9"/>
  <c r="Q12" i="9"/>
  <c r="R10" i="7"/>
  <c r="S10" i="7" s="1"/>
  <c r="U10" i="7" s="1"/>
  <c r="J10" i="7" s="1"/>
  <c r="T11" i="7"/>
  <c r="T10" i="7"/>
  <c r="L8" i="2"/>
  <c r="N9" i="16" s="1"/>
  <c r="Y13" i="13"/>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L15" i="6" l="1"/>
  <c r="R16" i="16" s="1"/>
  <c r="L12" i="6"/>
  <c r="R13" i="16" s="1"/>
  <c r="P13" i="9"/>
  <c r="V14" i="13"/>
  <c r="N13" i="9"/>
  <c r="X14" i="13"/>
  <c r="T12" i="8"/>
  <c r="K15" i="8"/>
  <c r="L15" i="8" s="1"/>
  <c r="T16" i="16" s="1"/>
  <c r="V15" i="13"/>
  <c r="N14" i="9"/>
  <c r="M12" i="6"/>
  <c r="G12" i="6" s="1"/>
  <c r="M13" i="13" s="1"/>
  <c r="R13" i="9"/>
  <c r="Z14" i="13"/>
  <c r="T15" i="8"/>
  <c r="R12" i="8"/>
  <c r="S12" i="8" s="1"/>
  <c r="U12" i="8" s="1"/>
  <c r="J12" i="8" s="1"/>
  <c r="M12" i="8" s="1"/>
  <c r="G12" i="8" s="1"/>
  <c r="K13" i="16" s="1"/>
  <c r="K12" i="8"/>
  <c r="L14" i="8"/>
  <c r="T15" i="16" s="1"/>
  <c r="M14" i="8"/>
  <c r="G14" i="8" s="1"/>
  <c r="K15" i="16" s="1"/>
  <c r="L8" i="6"/>
  <c r="R9" i="16" s="1"/>
  <c r="L10" i="7"/>
  <c r="S11" i="16" s="1"/>
  <c r="X16" i="13"/>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G12" i="9"/>
  <c r="R14" i="9"/>
  <c r="L12" i="8"/>
  <c r="T13" i="16" s="1"/>
  <c r="Z15" i="13"/>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<sst xmlns="http://schemas.openxmlformats.org/spreadsheetml/2006/main" count="654" uniqueCount="141">
  <si>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</si>
  <si>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</si>
  <si>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</si>
  <si>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</si>
  <si>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</si>
  <si>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</si>
  <si>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</si>
  <si>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</si>
  <si>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</si>
  <si>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</si>
  <si>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</si>
  <si>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</si>
  <si>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</si>
  <si>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</si>
  <si>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</si>
  <si>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</si>
  <si>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</si>
  <si>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</si>
  <si>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</si>
  <si>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</si>
  <si>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</si>
  <si>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</si>
  <si>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</si>
  <si>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</si>
  <si>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</si>
  <si>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</si>
  <si>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</si>
  <si>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</si>
  <si>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</si>
  <si>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</si>
  <si>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</si>
  <si>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</si>
  <si>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</si>
  <si>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</si>
  <si>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</si>
  <si>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</si>
  <si>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</si>
  <si>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</si>
  <si>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</si>
  <si>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</si>
  <si>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</si>
  <si>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</si>
  <si>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</si>
  <si>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</si>
  <si>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</si>
  <si>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</si>
  <si>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</si>
  <si>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</si>
  <si>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</si>
  <si>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</si>
  <si>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</si>
  <si>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</si>
  <si>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</si>
  <si>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</si>
  <si>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</si>
  <si>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</si>
  <si>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</si>
  <si>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</si>
  <si>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</si>
  <si>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</si>
  <si>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</si>
  <si>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</si>
  <si>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</si>
  <si>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</si>
  <si>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</si>
  <si>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</si>
  <si>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</si>
  <si>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</si>
  <si>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</si>
  <si>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</si>
  <si>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</si>
  <si>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</si>
  <si>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</si>
  <si>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</si>
  <si>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</si>
  <si>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</si>
  <si>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</si>
  <si>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</si>
  <si>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</si>
  <si>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</si>
  <si>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</si>
  <si>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</si>
  <si>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</si>
  <si>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</si>
  <si>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</si>
  <si>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</si>
  <si>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</si>
  <si>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</si>
  <si>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</si>
  <si>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</si>
  <si>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</si>
  <si>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</si>
  <si>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</si>
  <si>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</si>
  <si>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</si>
  <si>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</si>
  <si>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</si>
  <si>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</si>
  <si>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</si>
  <si>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</si>
  <si>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</si>
  <si>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</si>
  <si>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</si>
  <si>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</si>
  <si>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</si>
  <si>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</si>
  <si>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</si>
  <si>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</si>
  <si>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</si>
  <si>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</si>
  <si>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</si>
  <si>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</si>
  <si>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</si>
  <si>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</si>
  <si>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</si>
  <si>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</si>
  <si>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</si>
  <si>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</si>
  <si>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</si>
  <si>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</si>
  <si>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</si>
  <si>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</si>
  <si>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</si>
  <si>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</si>
  <si>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</si>
  <si>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</si>
  <si>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</si>
  <si>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</si>
  <si>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</si>
  <si>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</si>
  <si>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</si>
  <si>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</si>
  <si>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</si>
  <si>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</si>
  <si>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</si>
  <si>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</si>
  <si>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</si>
  <si>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Keweenaw</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</si>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</sst>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Keweenaw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N=2</c:v>
                </c:pt>
                <c:pt idx="6">
                  <c:v>Arrests, total N=0</c:v>
                </c:pt>
                <c:pt idx="7">
                  <c:v>Population, total N=126</c:v>
                </c:pt>
              </c:strCache>
            </c:strRef>
          </c:cat>
          <c:val>
            <c:numRef>
              <c:f>'Stacked 100%'!$B$7:$B$14</c:f>
              <c:numCache>
                <c:formatCode>0%</c:formatCode>
                <c:ptCount val="8"/>
                <c:pt idx="0">
                  <c:v>0</c:v>
                </c:pt>
                <c:pt idx="1">
                  <c:v>0</c:v>
                </c:pt>
                <c:pt idx="2">
                  <c:v>0</c:v>
                </c:pt>
                <c:pt idx="3">
                  <c:v>0</c:v>
                </c:pt>
                <c:pt idx="4">
                  <c:v>0</c:v>
                </c:pt>
                <c:pt idx="5">
                  <c:v>0</c:v>
                </c:pt>
                <c:pt idx="6">
                  <c:v>0</c:v>
                </c:pt>
                <c:pt idx="7">
                  <c:v>2.3809523809523808E-2</c:v>
                </c:pt>
              </c:numCache>
            </c:numRef>
          </c:val>
          <c:extLst>
            <c:ext xmlns:c16="http://schemas.microsoft.com/office/drawing/2014/chart" uri="{C3380CC4-5D6E-409C-BE32-E72D297353CC}">
              <c16:uniqueId val="{00000000-DE25-42F1-A926-295B1A535C8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N=2</c:v>
                </c:pt>
                <c:pt idx="6">
                  <c:v>Arrests, total N=0</c:v>
                </c:pt>
                <c:pt idx="7">
                  <c:v>Population, total N=126</c:v>
                </c:pt>
              </c:strCache>
            </c:strRef>
          </c:cat>
          <c:val>
            <c:numRef>
              <c:f>'Stacked 100%'!$C$7:$C$14</c:f>
              <c:numCache>
                <c:formatCode>0%</c:formatCode>
                <c:ptCount val="8"/>
                <c:pt idx="0">
                  <c:v>0</c:v>
                </c:pt>
                <c:pt idx="1">
                  <c:v>0</c:v>
                </c:pt>
                <c:pt idx="2">
                  <c:v>0</c:v>
                </c:pt>
                <c:pt idx="3">
                  <c:v>0</c:v>
                </c:pt>
                <c:pt idx="4">
                  <c:v>0</c:v>
                </c:pt>
                <c:pt idx="5">
                  <c:v>0</c:v>
                </c:pt>
                <c:pt idx="6">
                  <c:v>0</c:v>
                </c:pt>
                <c:pt idx="7">
                  <c:v>2.3809523809523808E-2</c:v>
                </c:pt>
              </c:numCache>
            </c:numRef>
          </c:val>
          <c:extLst>
            <c:ext xmlns:c16="http://schemas.microsoft.com/office/drawing/2014/chart" uri="{C3380CC4-5D6E-409C-BE32-E72D297353CC}">
              <c16:uniqueId val="{00000001-DE25-42F1-A926-295B1A535C8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N=2</c:v>
                </c:pt>
                <c:pt idx="6">
                  <c:v>Arrests, total N=0</c:v>
                </c:pt>
                <c:pt idx="7">
                  <c:v>Population, total N=126</c:v>
                </c:pt>
              </c:strCache>
            </c:strRef>
          </c:cat>
          <c:val>
            <c:numRef>
              <c:f>'Stacked 100%'!$H$7:$H$14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DE25-42F1-A926-295B1A535C8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N=2</c:v>
                </c:pt>
                <c:pt idx="6">
                  <c:v>Arrests, total N=0</c:v>
                </c:pt>
                <c:pt idx="7">
                  <c:v>Population, total N=126</c:v>
                </c:pt>
              </c:strCache>
            </c:strRef>
          </c:cat>
          <c:val>
            <c:numRef>
              <c:f>'Stacked 100%'!$I$7:$I$14</c:f>
              <c:numCache>
                <c:formatCode>0%</c:formatCode>
                <c:ptCount val="8"/>
                <c:pt idx="0">
                  <c:v>0</c:v>
                </c:pt>
                <c:pt idx="1">
                  <c:v>0</c:v>
                </c:pt>
                <c:pt idx="2">
                  <c:v>0</c:v>
                </c:pt>
                <c:pt idx="3">
                  <c:v>0</c:v>
                </c:pt>
                <c:pt idx="4">
                  <c:v>0</c:v>
                </c:pt>
                <c:pt idx="5">
                  <c:v>0.5</c:v>
                </c:pt>
                <c:pt idx="6">
                  <c:v>0</c:v>
                </c:pt>
                <c:pt idx="7">
                  <c:v>0.95238095238095233</c:v>
                </c:pt>
              </c:numCache>
            </c:numRef>
          </c:val>
          <c:extLst>
            <c:ext xmlns:c16="http://schemas.microsoft.com/office/drawing/2014/chart" uri="{C3380CC4-5D6E-409C-BE32-E72D297353CC}">
              <c16:uniqueId val="{00000003-DE25-42F1-A926-295B1A535C8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N=2</c:v>
                </c:pt>
                <c:pt idx="6">
                  <c:v>Arrests, total N=0</c:v>
                </c:pt>
                <c:pt idx="7">
                  <c:v>Population, total N=126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25-42F1-A926-295B1A535C8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9" sqref="C9"/>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126</v>
      </c>
      <c r="C6" s="11">
        <v>120</v>
      </c>
      <c r="D6" s="11">
        <v>3</v>
      </c>
      <c r="E6" s="11">
        <v>3</v>
      </c>
      <c r="F6" s="11">
        <v>0</v>
      </c>
      <c r="G6" s="11"/>
      <c r="H6" s="11">
        <v>0</v>
      </c>
      <c r="I6" s="11"/>
      <c r="J6" s="91">
        <f>SUM(D6:I6)</f>
        <v>6</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2</v>
      </c>
      <c r="C8" s="11">
        <v>1</v>
      </c>
      <c r="D8" s="11"/>
      <c r="E8" s="11"/>
      <c r="F8" s="11"/>
      <c r="G8" s="11"/>
      <c r="H8" s="11"/>
      <c r="I8" s="11"/>
      <c r="J8" s="91">
        <f t="shared" si="1"/>
        <v>0</v>
      </c>
      <c r="K8" s="92">
        <v>1</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120</v>
      </c>
      <c r="R7" s="42">
        <f t="shared" ref="R7:R15" si="5">SUM(N7:Q7)</f>
        <v>120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119</v>
      </c>
      <c r="R8" s="42">
        <f t="shared" si="5"/>
        <v>120.05</v>
      </c>
      <c r="S8" s="30">
        <f t="shared" si="6"/>
        <v>0.30012500000000003</v>
      </c>
      <c r="T8" s="30">
        <f t="shared" si="7"/>
        <v>714.3</v>
      </c>
      <c r="U8" s="31">
        <f t="shared" si="8"/>
        <v>4.2016659666806671E-4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0</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0</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0</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0</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0</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0</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0</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0</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0</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Entry'!J6</f>
        <v>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v>
      </c>
      <c r="P7" s="42">
        <f t="shared" ref="P7:P15" si="4">C7</f>
        <v>0</v>
      </c>
      <c r="Q7" s="42">
        <f>C6-C7</f>
        <v>120</v>
      </c>
      <c r="R7" s="42">
        <f t="shared" ref="R7:R15" si="5">SUM(N7:Q7)</f>
        <v>126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6.05</v>
      </c>
      <c r="P8" s="42">
        <f t="shared" si="4"/>
        <v>1</v>
      </c>
      <c r="Q8" s="42">
        <f>(C$67*L67)-C8</f>
        <v>119</v>
      </c>
      <c r="R8" s="42">
        <f t="shared" si="5"/>
        <v>126.05</v>
      </c>
      <c r="S8" s="30">
        <f t="shared" si="6"/>
        <v>4613.7451249999995</v>
      </c>
      <c r="T8" s="30">
        <f t="shared" si="7"/>
        <v>90786.3</v>
      </c>
      <c r="U8" s="31">
        <f t="shared" si="8"/>
        <v>5.081983873117419E-2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6.0000000000000001E-3</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6.0000000000000001E-3</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6.0000000000000001E-3</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6.0000000000000001E-3</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6.0000000000000001E-3</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6.0000000000000001E-3</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6.0000000000000001E-3</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6.0000000000000001E-3</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6.0000000000000001E-3</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Keweenaw</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126</v>
      </c>
      <c r="D3" s="57">
        <f>'Data Entry'!C6</f>
        <v>120</v>
      </c>
      <c r="E3" s="57">
        <f>'Data Entry'!D6</f>
        <v>3</v>
      </c>
      <c r="F3" s="57">
        <f>'Data Entry'!E6</f>
        <v>3</v>
      </c>
      <c r="G3" s="57">
        <f>'Data Entry'!F6</f>
        <v>0</v>
      </c>
      <c r="H3" s="57">
        <f>'Data Entry'!G6</f>
        <v>0</v>
      </c>
      <c r="I3" s="57">
        <f>'Data Entry'!H6</f>
        <v>0</v>
      </c>
      <c r="J3" s="57">
        <f>'Data Entry'!I6</f>
        <v>0</v>
      </c>
      <c r="K3" s="57">
        <f>'Data Entry'!J6</f>
        <v>6</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15.873015873015872</v>
      </c>
      <c r="D5" s="1">
        <f>IF((D$3&gt;0),(1000*('Data Entry'!C8/'Data Entry'!C$6)), 0)</f>
        <v>8.3333333333333339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Keweenaw</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Keweenaw</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120</v>
      </c>
      <c r="D7" s="105">
        <f>'Data Entry'!D6</f>
        <v>3</v>
      </c>
      <c r="E7" s="106"/>
      <c r="F7" s="107">
        <f>'Data Entry'!E6</f>
        <v>3</v>
      </c>
      <c r="G7" s="106"/>
      <c r="H7" s="107">
        <f>'Data Entry'!F6</f>
        <v>0</v>
      </c>
      <c r="I7" s="106"/>
      <c r="J7" s="107">
        <f>'Data Entry'!G6</f>
        <v>0</v>
      </c>
      <c r="K7" s="106"/>
      <c r="L7" s="107">
        <f>'Data Entry'!H6</f>
        <v>0</v>
      </c>
      <c r="M7" s="106"/>
      <c r="N7" s="107">
        <f>'Data Entry'!I6</f>
        <v>0</v>
      </c>
      <c r="O7" s="106"/>
      <c r="P7" s="107">
        <f>'Data Entry'!J6</f>
        <v>6</v>
      </c>
      <c r="Q7" s="108"/>
    </row>
    <row r="8" spans="2:26" s="1" customFormat="1" ht="15" customHeight="1" x14ac:dyDescent="0.3">
      <c r="B8" s="149" t="s">
        <v>8</v>
      </c>
      <c r="C8" s="104">
        <f>'Data Entry'!C7</f>
        <v>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9" t="s">
        <v>134</v>
      </c>
      <c r="C9" s="104">
        <f>'Data Entry'!C8</f>
        <v>1</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Keweenaw</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Keweenaw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20</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20</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20</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20</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20</v>
      </c>
    </row>
    <row r="12" spans="1:12" x14ac:dyDescent="0.2">
      <c r="A12" s="132" t="str">
        <f>CONCATENATE("Referrals, total N=", 'Data Entry'!B8)</f>
        <v>Referrals, total N=2</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0.5</v>
      </c>
      <c r="K12" s="97" t="str">
        <f t="shared" si="0"/>
        <v>Referrals, total N=2</v>
      </c>
      <c r="L12">
        <f>I14/(SUM(B14:G14))</f>
        <v>20</v>
      </c>
    </row>
    <row r="13" spans="1:12" x14ac:dyDescent="0.2">
      <c r="A13" s="132" t="str">
        <f>CONCATENATE("Arrests, total N=", 'Data Entry'!B7)</f>
        <v>Arrests, total N=0</v>
      </c>
      <c r="B13" s="157" t="e">
        <f>'Data Entry'!D7/'Data Entry'!B7</f>
        <v>#DIV/0!</v>
      </c>
      <c r="C13" s="157" t="e">
        <f>'Data Entry'!E7/'Data Entry'!B7</f>
        <v>#DIV/0!</v>
      </c>
      <c r="D13" s="157" t="e">
        <f>'Data Entry'!F7/'Data Entry'!B7</f>
        <v>#DIV/0!</v>
      </c>
      <c r="E13" s="157" t="e">
        <f>'Data Entry'!G7/'Data Entry'!B7</f>
        <v>#DIV/0!</v>
      </c>
      <c r="F13" s="157" t="e">
        <f>'Data Entry'!H7/'Data Entry'!B7</f>
        <v>#DIV/0!</v>
      </c>
      <c r="G13" s="157" t="e">
        <f>'Data Entry'!I7/'Data Entry'!B7</f>
        <v>#DIV/0!</v>
      </c>
      <c r="H13" s="157" t="e">
        <f>SUM(D13:G13)/'Data Entry'!B7</f>
        <v>#DIV/0!</v>
      </c>
      <c r="I13" s="157" t="e">
        <f>'Data Entry'!C7/'Data Entry'!B7</f>
        <v>#DIV/0!</v>
      </c>
      <c r="K13" s="97" t="str">
        <f t="shared" si="0"/>
        <v>Arrests, total N=0</v>
      </c>
      <c r="L13">
        <f>I14/(SUM(B14:G14))</f>
        <v>20</v>
      </c>
    </row>
    <row r="14" spans="1:12" x14ac:dyDescent="0.2">
      <c r="A14" s="132" t="str">
        <f>CONCATENATE("Population, total N=", 'Data Entry'!B6)</f>
        <v>Population, total N=126</v>
      </c>
      <c r="B14" s="157">
        <f>'Data Entry'!D6/'Data Entry'!B6</f>
        <v>2.3809523809523808E-2</v>
      </c>
      <c r="C14" s="157">
        <f>'Data Entry'!E6/'Data Entry'!B6</f>
        <v>2.3809523809523808E-2</v>
      </c>
      <c r="D14" s="157">
        <f>'Data Entry'!F6/'Data Entry'!B6</f>
        <v>0</v>
      </c>
      <c r="E14" s="157">
        <f>'Data Entry'!G6/'Data Entry'!B6</f>
        <v>0</v>
      </c>
      <c r="F14" s="157">
        <f>'Data Entry'!H6/'Data Entry'!B6</f>
        <v>0</v>
      </c>
      <c r="G14" s="157">
        <f>'Data Entry'!I6/'Data Entry'!B6</f>
        <v>0</v>
      </c>
      <c r="H14" s="157">
        <f>SUM(D14:G14)/'Data Entry'!B6</f>
        <v>0</v>
      </c>
      <c r="I14" s="157">
        <f>'Data Entry'!C6/'Data Entry'!B6</f>
        <v>0.95238095238095233</v>
      </c>
      <c r="K14" s="97" t="str">
        <f t="shared" si="0"/>
        <v>Population, total N=126</v>
      </c>
      <c r="L14">
        <f>I14/(SUM(B14:G14))</f>
        <v>20</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Keweenaw</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120</v>
      </c>
      <c r="D7" s="105">
        <f>'Data Entry'!D6</f>
        <v>3</v>
      </c>
      <c r="E7" s="106"/>
      <c r="F7" s="107">
        <f>'Data Entry'!E6</f>
        <v>3</v>
      </c>
      <c r="G7" s="106"/>
      <c r="H7" s="107">
        <f>'Data Entry'!F6</f>
        <v>0</v>
      </c>
      <c r="I7" s="106"/>
      <c r="J7" s="107">
        <f>'Data Entry'!J6</f>
        <v>6</v>
      </c>
      <c r="K7" s="108"/>
    </row>
    <row r="8" spans="2:30" s="1" customFormat="1" ht="15" customHeight="1" x14ac:dyDescent="0.3">
      <c r="B8" s="125" t="s">
        <v>8</v>
      </c>
      <c r="C8" s="104">
        <f>'Data Entry'!C7</f>
        <v>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5" t="s">
        <v>134</v>
      </c>
      <c r="C9" s="104">
        <f>'Data Entry'!C8</f>
        <v>1</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Entry'!D6</f>
        <v>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3</v>
      </c>
      <c r="P7" s="42">
        <f t="shared" ref="P7:P15" si="2">C7</f>
        <v>0</v>
      </c>
      <c r="Q7" s="42">
        <f>C6-C7</f>
        <v>120</v>
      </c>
      <c r="R7" s="42">
        <f t="shared" ref="R7:R15" si="3">SUM(N7:Q7)</f>
        <v>123</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1</v>
      </c>
      <c r="D8" s="34">
        <f>IF((AND(C67&gt;0,C8&gt;0)),(C8/C67),0)</f>
        <v>8.3333333333333339</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3.05</v>
      </c>
      <c r="P8" s="42">
        <f t="shared" si="2"/>
        <v>1</v>
      </c>
      <c r="Q8" s="42">
        <f>(C$67*L67)-C8</f>
        <v>119</v>
      </c>
      <c r="R8" s="42">
        <f t="shared" si="3"/>
        <v>123.05</v>
      </c>
      <c r="S8" s="30">
        <f t="shared" si="4"/>
        <v>1144.6726249999997</v>
      </c>
      <c r="T8" s="30">
        <f t="shared" si="5"/>
        <v>44670.299999999996</v>
      </c>
      <c r="U8" s="31">
        <f t="shared" si="6"/>
        <v>2.5624914652464834E-2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v>
      </c>
      <c r="R12" s="42">
        <f t="shared" si="3"/>
        <v>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3.0000000000000001E-3</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3.0000000000000001E-3</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0.12</v>
      </c>
      <c r="D49" s="49">
        <f t="shared" si="9"/>
        <v>3.0000000000000001E-3</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3.0000000000000001E-3</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3.0000000000000001E-3</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3.0000000000000001E-3</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3.0000000000000001E-3</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3.0000000000000001E-3</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3.0000000000000001E-3</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Entry'!F6</f>
        <v>0</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120</v>
      </c>
      <c r="R7" s="42">
        <f t="shared" ref="R7:R15" si="5">SUM(N7:Q7)</f>
        <v>120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119</v>
      </c>
      <c r="R8" s="42">
        <f t="shared" si="5"/>
        <v>120.05</v>
      </c>
      <c r="S8" s="30">
        <f t="shared" si="6"/>
        <v>0.30012500000000003</v>
      </c>
      <c r="T8" s="30">
        <f t="shared" si="7"/>
        <v>714.3</v>
      </c>
      <c r="U8" s="31">
        <f t="shared" si="8"/>
        <v>4.2016659666806671E-4</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0</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0</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0</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0</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0</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0</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0</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0</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0</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Entry'!E6</f>
        <v>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v>
      </c>
      <c r="P7" s="42">
        <f t="shared" ref="P7:P15" si="4">C7</f>
        <v>0</v>
      </c>
      <c r="Q7" s="42">
        <f>C6-C7</f>
        <v>120</v>
      </c>
      <c r="R7" s="42">
        <f t="shared" ref="R7:R15" si="5">SUM(N7:Q7)</f>
        <v>123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3.05</v>
      </c>
      <c r="P8" s="42">
        <f t="shared" si="4"/>
        <v>1</v>
      </c>
      <c r="Q8" s="42">
        <f>(C$67*L67)-C8</f>
        <v>119</v>
      </c>
      <c r="R8" s="42">
        <f t="shared" si="5"/>
        <v>123.05</v>
      </c>
      <c r="S8" s="30">
        <f t="shared" si="6"/>
        <v>1144.6726249999997</v>
      </c>
      <c r="T8" s="30">
        <f t="shared" si="7"/>
        <v>44670.299999999996</v>
      </c>
      <c r="U8" s="31">
        <f t="shared" si="8"/>
        <v>2.5624914652464834E-2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3.0000000000000001E-3</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3.0000000000000001E-3</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3.0000000000000001E-3</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3.0000000000000001E-3</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3.0000000000000001E-3</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3.0000000000000001E-3</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3.0000000000000001E-3</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3.0000000000000001E-3</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3.0000000000000001E-3</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120</v>
      </c>
      <c r="R7" s="42">
        <f t="shared" ref="R7:R15" si="5">SUM(N7:Q7)</f>
        <v>120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119</v>
      </c>
      <c r="R8" s="42">
        <f t="shared" si="5"/>
        <v>120.05</v>
      </c>
      <c r="S8" s="30">
        <f t="shared" si="6"/>
        <v>0.30012500000000003</v>
      </c>
      <c r="T8" s="30">
        <f t="shared" si="7"/>
        <v>714.3</v>
      </c>
      <c r="U8" s="31">
        <f t="shared" si="8"/>
        <v>4.2016659666806671E-4</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0</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0</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0</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0</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0</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0</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0</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0</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0</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Keweenaw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v>
      </c>
      <c r="D6" s="34"/>
      <c r="E6" s="33">
        <f>'Data Entry'!H6</f>
        <v>0</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120</v>
      </c>
      <c r="R7" s="42">
        <f t="shared" ref="R7:R15" si="5">SUM(N7:Q7)</f>
        <v>120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v>
      </c>
      <c r="D8" s="34">
        <f>IF((AND(C67&gt;0,C8&gt;0)),(C8/C67),0)</f>
        <v>8.3333333333333339</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119</v>
      </c>
      <c r="R8" s="42">
        <f t="shared" si="5"/>
        <v>120.05</v>
      </c>
      <c r="S8" s="30">
        <f t="shared" si="6"/>
        <v>0.30012500000000003</v>
      </c>
      <c r="T8" s="30">
        <f t="shared" si="7"/>
        <v>714.3</v>
      </c>
      <c r="U8" s="31">
        <f t="shared" si="8"/>
        <v>4.2016659666806671E-4</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0.12</v>
      </c>
      <c r="D42" s="56">
        <f>E6/1000</f>
        <v>0</v>
      </c>
      <c r="E42" s="56">
        <f>MAX(C42:D42)</f>
        <v>0.12</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0.01</v>
      </c>
      <c r="D44" s="56">
        <f>E8/100</f>
        <v>0</v>
      </c>
      <c r="E44" s="56">
        <f>MAX(C44:D44,0)</f>
        <v>0.01</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0.12</v>
      </c>
      <c r="D48" s="56">
        <f>D42</f>
        <v>0</v>
      </c>
      <c r="E48" s="56">
        <f>MAX(C48:D48)</f>
        <v>0.12</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0.12</v>
      </c>
      <c r="D49" s="49">
        <f t="shared" si="9"/>
        <v>0</v>
      </c>
      <c r="E49" s="49">
        <f>MAX(C49:D49)</f>
        <v>0.12</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0.12</v>
      </c>
      <c r="D54" s="56">
        <f>D48</f>
        <v>0</v>
      </c>
      <c r="E54" s="56">
        <f>MAX(C54:D54)</f>
        <v>0.12</v>
      </c>
      <c r="G54" s="1" t="str">
        <f>G48</f>
        <v>per 1000 youth</v>
      </c>
      <c r="L54" s="58">
        <f>L48</f>
        <v>1000</v>
      </c>
      <c r="M54" s="58"/>
    </row>
    <row r="55" spans="2:18" ht="15" hidden="1" customHeight="1" x14ac:dyDescent="0.25">
      <c r="B55" s="49" t="str">
        <f t="shared" ref="B55:D56" si="10">IF(($E49&gt;0),B49,B48)</f>
        <v>per 1000 youth</v>
      </c>
      <c r="C55" s="49">
        <f t="shared" si="10"/>
        <v>0.12</v>
      </c>
      <c r="D55" s="49">
        <f t="shared" si="10"/>
        <v>0</v>
      </c>
      <c r="E55" s="49">
        <f>MAX(C55:D55)</f>
        <v>0.12</v>
      </c>
      <c r="G55" s="1" t="str">
        <f>G49</f>
        <v>per 100 arrests</v>
      </c>
      <c r="L55" s="58">
        <f>IF(($E49&gt;0),L49,L48)</f>
        <v>1000</v>
      </c>
      <c r="M55" s="58"/>
    </row>
    <row r="56" spans="2:18" ht="15" hidden="1" customHeight="1" x14ac:dyDescent="0.25">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x14ac:dyDescent="0.25">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0.12</v>
      </c>
      <c r="D60" s="56">
        <f>D54</f>
        <v>0</v>
      </c>
      <c r="E60" s="56">
        <f>MAX(C60:D60)</f>
        <v>0.12</v>
      </c>
      <c r="G60" s="1" t="str">
        <f>G54</f>
        <v>per 1000 youth</v>
      </c>
      <c r="L60" s="58">
        <f>L54</f>
        <v>1000</v>
      </c>
      <c r="M60" s="58"/>
    </row>
    <row r="61" spans="2:18" ht="15" hidden="1" customHeight="1" x14ac:dyDescent="0.25">
      <c r="B61" s="49" t="str">
        <f t="shared" ref="B61:D62" si="11">IF(($E55&gt;0),B55,B54)</f>
        <v>per 1000 youth</v>
      </c>
      <c r="C61" s="49">
        <f t="shared" si="11"/>
        <v>0.12</v>
      </c>
      <c r="D61" s="49">
        <f t="shared" si="11"/>
        <v>0</v>
      </c>
      <c r="E61" s="49">
        <f>MAX(C61:D61)</f>
        <v>0.12</v>
      </c>
      <c r="G61" s="1" t="str">
        <f>G55</f>
        <v>per 100 arrests</v>
      </c>
      <c r="L61" s="58">
        <f>IF(($E55&gt;0),L55,L54)</f>
        <v>1000</v>
      </c>
      <c r="M61" s="58"/>
    </row>
    <row r="62" spans="2:18" ht="15" hidden="1" customHeight="1" x14ac:dyDescent="0.25">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x14ac:dyDescent="0.25">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0.12</v>
      </c>
      <c r="D66" s="56">
        <f>D60</f>
        <v>0</v>
      </c>
      <c r="E66" s="56">
        <f>MAX(C66:D66)</f>
        <v>0.12</v>
      </c>
      <c r="G66" s="1" t="str">
        <f>G60</f>
        <v>per 1000 youth</v>
      </c>
      <c r="L66" s="58">
        <f>L60</f>
        <v>1000</v>
      </c>
      <c r="M66" s="58">
        <f>IF((B66=G66),1,2)</f>
        <v>1</v>
      </c>
    </row>
    <row r="67" spans="2:13" ht="15" hidden="1" customHeight="1" x14ac:dyDescent="0.25">
      <c r="B67" s="49" t="str">
        <f t="shared" ref="B67:D68" si="12">IF(($E61&gt;0),B61,B60)</f>
        <v>per 1000 youth</v>
      </c>
      <c r="C67" s="49">
        <f t="shared" si="12"/>
        <v>0.12</v>
      </c>
      <c r="D67" s="49">
        <f t="shared" si="12"/>
        <v>0</v>
      </c>
      <c r="E67" s="49">
        <f>MAX(C67:D67)</f>
        <v>0.12</v>
      </c>
      <c r="G67" s="1" t="str">
        <f>G61</f>
        <v>per 100 arrests</v>
      </c>
      <c r="L67" s="58">
        <f>IF(($E61&gt;0),L61,L60)</f>
        <v>1000</v>
      </c>
      <c r="M67" s="58">
        <f>IF((B67=G67),1,2)</f>
        <v>2</v>
      </c>
    </row>
    <row r="68" spans="2:13" ht="15" hidden="1" customHeight="1" x14ac:dyDescent="0.25">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x14ac:dyDescent="0.25">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x14ac:dyDescent="0.25">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U47JMPN4QEAR-1806752177-30187</_dlc_DocId>
    <_dlc_DocIdUrl xmlns="ac3811b5-0f3e-49e2-ba69-f2ffa0c782af">
      <Url>https://michiganphi.sharepoint.com/sites/CMDMC/_layouts/15/DocIdRedir.aspx?ID=U47JMPN4QEAR-1806752177-30187</Url>
      <Description>U47JMPN4QEAR-1806752177-30187</Description>
    </_dlc_DocIdUrl>
  </documentManagement>
</p:properties>
</file>

<file path=customXml/itemProps1.xml><?xml version="1.0" encoding="utf-8"?>
<ds:datastoreItem xmlns:ds="http://schemas.openxmlformats.org/officeDocument/2006/customXml" ds:itemID="{93A723B3-7385-4AED-B1D1-A40572F03E31}"/>
</file>

<file path=customXml/itemProps2.xml><?xml version="1.0" encoding="utf-8"?>
<ds:datastoreItem xmlns:ds="http://schemas.openxmlformats.org/officeDocument/2006/customXml" ds:itemID="{96415C0E-241C-414A-8803-72C8FB9FC13A}"/>
</file>

<file path=customXml/itemProps3.xml><?xml version="1.0" encoding="utf-8"?>
<ds:datastoreItem xmlns:ds="http://schemas.openxmlformats.org/officeDocument/2006/customXml" ds:itemID="{47074E47-8940-4DB2-A1BE-900041429EFB}"/>
</file>

<file path=customXml/itemProps4.xml><?xml version="1.0" encoding="utf-8"?>
<ds:datastoreItem xmlns:ds="http://schemas.openxmlformats.org/officeDocument/2006/customXml" ds:itemID="{172F4582-B893-46D9-B234-39EC283DAF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22fcd051-d759-4353-8368-260cffd75f9e</vt:lpwstr>
  </property>
</Properties>
</file>