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B5E29C10-15DF-42CC-AB25-9BA874AB9D58}" xr6:coauthVersionLast="47" xr6:coauthVersionMax="47" xr10:uidLastSave="{C0FB2810-19D7-48AA-AAC1-0CCC9DBBDA85}"/>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15" i="1"/>
  <c r="B8" i="1" l="1"/>
  <c r="B9" i="1"/>
  <c r="B10" i="1"/>
  <c r="B11" i="1"/>
  <c r="B12" i="1"/>
  <c r="B13" i="1"/>
  <c r="B14"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c r="G58" i="2" s="1"/>
  <c r="G64" i="2" s="1"/>
  <c r="G70" i="2" s="1"/>
  <c r="L48" i="2"/>
  <c r="L54" i="2" s="1"/>
  <c r="L60" i="2" s="1"/>
  <c r="L66" i="2" s="1"/>
  <c r="G49" i="2"/>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51" i="3" s="1"/>
  <c r="G57" i="3" s="1"/>
  <c r="G63" i="3" s="1"/>
  <c r="G69" i="3" s="1"/>
  <c r="G46" i="3"/>
  <c r="G48" i="3"/>
  <c r="G54" i="3" s="1"/>
  <c r="G60" i="3" s="1"/>
  <c r="G66" i="3" s="1"/>
  <c r="L48" i="3"/>
  <c r="G52" i="3"/>
  <c r="G58" i="3" s="1"/>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c r="G55" i="4" s="1"/>
  <c r="G61" i="4" s="1"/>
  <c r="G67" i="4" s="1"/>
  <c r="G44" i="4"/>
  <c r="G45" i="4"/>
  <c r="G51" i="4"/>
  <c r="G46" i="4"/>
  <c r="L48" i="4"/>
  <c r="L54" i="4" s="1"/>
  <c r="L60" i="4" s="1"/>
  <c r="L66" i="4" s="1"/>
  <c r="G50" i="4"/>
  <c r="G56" i="4" s="1"/>
  <c r="G62" i="4" s="1"/>
  <c r="G68" i="4" s="1"/>
  <c r="G52" i="4"/>
  <c r="G58" i="4"/>
  <c r="G64" i="4" s="1"/>
  <c r="G70" i="4" s="1"/>
  <c r="G57" i="4"/>
  <c r="G63" i="4" s="1"/>
  <c r="G69"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51" i="5" s="1"/>
  <c r="G57" i="5" s="1"/>
  <c r="G63" i="5" s="1"/>
  <c r="G69" i="5" s="1"/>
  <c r="G46" i="5"/>
  <c r="G52" i="5" s="1"/>
  <c r="G58" i="5" s="1"/>
  <c r="G64" i="5" s="1"/>
  <c r="G70" i="5" s="1"/>
  <c r="G48" i="5"/>
  <c r="G54" i="5" s="1"/>
  <c r="G60" i="5" s="1"/>
  <c r="G66" i="5" s="1"/>
  <c r="L48" i="5"/>
  <c r="L54" i="5"/>
  <c r="L60" i="5" s="1"/>
  <c r="L66" i="5" s="1"/>
  <c r="F1" i="6"/>
  <c r="B2" i="6"/>
  <c r="B3" i="6"/>
  <c r="B6" i="6"/>
  <c r="B7" i="6"/>
  <c r="B8" i="6"/>
  <c r="B9" i="6"/>
  <c r="B10" i="6"/>
  <c r="B11" i="6"/>
  <c r="B12" i="6"/>
  <c r="B13" i="6"/>
  <c r="B14" i="6"/>
  <c r="B15" i="6"/>
  <c r="B48" i="6"/>
  <c r="B54" i="6" s="1"/>
  <c r="B60" i="6" s="1"/>
  <c r="B66" i="6" s="1"/>
  <c r="J27" i="6"/>
  <c r="G42" i="6"/>
  <c r="G48" i="6"/>
  <c r="G54" i="6" s="1"/>
  <c r="G60" i="6" s="1"/>
  <c r="G66" i="6" s="1"/>
  <c r="G43" i="6"/>
  <c r="G49" i="6" s="1"/>
  <c r="G55" i="6" s="1"/>
  <c r="G61" i="6" s="1"/>
  <c r="G67" i="6" s="1"/>
  <c r="G44" i="6"/>
  <c r="G45" i="6"/>
  <c r="G51" i="6" s="1"/>
  <c r="G57" i="6" s="1"/>
  <c r="G63" i="6" s="1"/>
  <c r="G69" i="6" s="1"/>
  <c r="G46" i="6"/>
  <c r="G52" i="6" s="1"/>
  <c r="G58" i="6" s="1"/>
  <c r="G64" i="6" s="1"/>
  <c r="G70" i="6" s="1"/>
  <c r="L48" i="6"/>
  <c r="L54" i="6"/>
  <c r="L60" i="6" s="1"/>
  <c r="L66" i="6" s="1"/>
  <c r="G50" i="6"/>
  <c r="G56" i="6"/>
  <c r="G62" i="6" s="1"/>
  <c r="G68" i="6" s="1"/>
  <c r="F1" i="7"/>
  <c r="B2" i="7"/>
  <c r="B3" i="7"/>
  <c r="B6" i="7"/>
  <c r="B7" i="7"/>
  <c r="B8" i="7"/>
  <c r="B9" i="7"/>
  <c r="B10" i="7"/>
  <c r="B11" i="7"/>
  <c r="B12" i="7"/>
  <c r="B13" i="7"/>
  <c r="B14" i="7"/>
  <c r="B15" i="7"/>
  <c r="B48" i="7"/>
  <c r="B54" i="7"/>
  <c r="B60" i="7" s="1"/>
  <c r="B66" i="7" s="1"/>
  <c r="J27" i="7"/>
  <c r="G42" i="7"/>
  <c r="G48" i="7" s="1"/>
  <c r="G54" i="7" s="1"/>
  <c r="G60" i="7" s="1"/>
  <c r="G66" i="7" s="1"/>
  <c r="G43" i="7"/>
  <c r="G49" i="7"/>
  <c r="G44" i="7"/>
  <c r="G45" i="7"/>
  <c r="G51" i="7" s="1"/>
  <c r="G57" i="7" s="1"/>
  <c r="G63" i="7" s="1"/>
  <c r="G69" i="7" s="1"/>
  <c r="G46" i="7"/>
  <c r="L48" i="7"/>
  <c r="L54" i="7" s="1"/>
  <c r="L60" i="7" s="1"/>
  <c r="L66" i="7" s="1"/>
  <c r="G50" i="7"/>
  <c r="G56" i="7"/>
  <c r="G62" i="7" s="1"/>
  <c r="G68" i="7" s="1"/>
  <c r="G52" i="7"/>
  <c r="G58" i="7"/>
  <c r="G64" i="7" s="1"/>
  <c r="G70" i="7" s="1"/>
  <c r="G55" i="7"/>
  <c r="G61" i="7" s="1"/>
  <c r="G67"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51" i="8" s="1"/>
  <c r="G57" i="8" s="1"/>
  <c r="G63" i="8" s="1"/>
  <c r="G69" i="8" s="1"/>
  <c r="G46" i="8"/>
  <c r="G52" i="8"/>
  <c r="G48" i="8"/>
  <c r="G54" i="8"/>
  <c r="G60" i="8" s="1"/>
  <c r="G66" i="8" s="1"/>
  <c r="L48" i="8"/>
  <c r="G50" i="8"/>
  <c r="G56" i="8" s="1"/>
  <c r="G62" i="8" s="1"/>
  <c r="G68" i="8" s="1"/>
  <c r="L54" i="8"/>
  <c r="L60" i="8"/>
  <c r="L66"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M66" i="6"/>
  <c r="F27" i="6"/>
  <c r="M66" i="5"/>
  <c r="F27" i="5"/>
  <c r="M66" i="8"/>
  <c r="F27" i="8"/>
  <c r="F27" i="3"/>
  <c r="M66" i="3"/>
  <c r="F27" i="2"/>
  <c r="M66" i="2"/>
  <c r="M66" i="7"/>
  <c r="F27" i="7"/>
  <c r="H5" i="16"/>
  <c r="H5" i="13"/>
  <c r="F5" i="16"/>
  <c r="F5" i="13"/>
  <c r="F6" i="9"/>
  <c r="D5" i="16"/>
  <c r="D5" i="13"/>
  <c r="D10" i="13"/>
  <c r="C8" i="13"/>
  <c r="C10"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2" i="3"/>
  <c r="N12" i="3" s="1"/>
  <c r="H13" i="13"/>
  <c r="E11" i="3"/>
  <c r="D45" i="3" s="1"/>
  <c r="H12" i="13"/>
  <c r="E7" i="4"/>
  <c r="D43" i="4" s="1"/>
  <c r="F8" i="13"/>
  <c r="E12" i="6"/>
  <c r="D46" i="6" s="1"/>
  <c r="L13" i="13"/>
  <c r="E13" i="7"/>
  <c r="N13" i="7" s="1"/>
  <c r="N14"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9" i="7"/>
  <c r="N9" i="7" s="1"/>
  <c r="N10"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N12" i="5"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9" i="10"/>
  <c r="F7" i="10"/>
  <c r="J11" i="1"/>
  <c r="J12" i="16" s="1"/>
  <c r="E11" i="2"/>
  <c r="D44" i="2"/>
  <c r="N8" i="2"/>
  <c r="I4" i="10"/>
  <c r="I10" i="10"/>
  <c r="I7"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7" i="1"/>
  <c r="J8" i="16" s="1"/>
  <c r="C42" i="4"/>
  <c r="Q7" i="4"/>
  <c r="D7" i="10"/>
  <c r="D5" i="10"/>
  <c r="D4" i="10"/>
  <c r="D9" i="10"/>
  <c r="D8" i="10"/>
  <c r="D11" i="10"/>
  <c r="D6"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L52" i="7" s="1"/>
  <c r="E43" i="7"/>
  <c r="L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R7" i="4"/>
  <c r="S7" i="4" s="1"/>
  <c r="E11" i="8"/>
  <c r="D45" i="8" s="1"/>
  <c r="P12" i="13"/>
  <c r="R7" i="7"/>
  <c r="S7" i="7" s="1"/>
  <c r="E14" i="8"/>
  <c r="N14" i="8" s="1"/>
  <c r="P15" i="13"/>
  <c r="D16" i="9"/>
  <c r="E28" i="10" s="1"/>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B52" i="7"/>
  <c r="D52" i="7"/>
  <c r="C45" i="6"/>
  <c r="E45" i="6" s="1"/>
  <c r="P11" i="6"/>
  <c r="P11" i="8"/>
  <c r="C45" i="8"/>
  <c r="L52" i="5"/>
  <c r="B52" i="5"/>
  <c r="D52" i="5"/>
  <c r="C48" i="6"/>
  <c r="E42" i="6"/>
  <c r="R7" i="6"/>
  <c r="S7" i="6" s="1"/>
  <c r="D21" i="10"/>
  <c r="C4" i="10"/>
  <c r="C7" i="10"/>
  <c r="C5" i="10"/>
  <c r="C10" i="10"/>
  <c r="C11" i="10"/>
  <c r="C6" i="10"/>
  <c r="C9"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H24" i="10"/>
  <c r="I24" i="10"/>
  <c r="C24" i="10"/>
  <c r="G24" i="10"/>
  <c r="G25" i="10"/>
  <c r="K7" i="7"/>
  <c r="E42" i="3"/>
  <c r="C48" i="3"/>
  <c r="I20" i="10"/>
  <c r="B52" i="6"/>
  <c r="D52" i="6"/>
  <c r="L52" i="6"/>
  <c r="F24" i="10"/>
  <c r="F22" i="10"/>
  <c r="C45" i="5"/>
  <c r="E45" i="5" s="1"/>
  <c r="P11" i="5"/>
  <c r="C48" i="2"/>
  <c r="E42" i="2"/>
  <c r="C49" i="4"/>
  <c r="L49" i="4"/>
  <c r="B49" i="4"/>
  <c r="D49" i="4"/>
  <c r="K11" i="10"/>
  <c r="J26"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B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1" i="2"/>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C60" i="4"/>
  <c r="E54" i="4"/>
  <c r="C60" i="5"/>
  <c r="E54" i="5"/>
  <c r="E54" i="7"/>
  <c r="C60" i="7"/>
  <c r="B58" i="6"/>
  <c r="D58" i="6"/>
  <c r="C58" i="6"/>
  <c r="L58" i="6"/>
  <c r="E51" i="5"/>
  <c r="E60" i="8"/>
  <c r="C66" i="8"/>
  <c r="C60" i="3"/>
  <c r="E54" i="3"/>
  <c r="E51" i="2"/>
  <c r="E52" i="2"/>
  <c r="C55" i="5" l="1"/>
  <c r="L58" i="8"/>
  <c r="B58" i="8"/>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E58" i="8" l="1"/>
  <c r="L64" i="8" s="1"/>
  <c r="L64" i="3"/>
  <c r="L56" i="8"/>
  <c r="C57" i="8"/>
  <c r="B56" i="8"/>
  <c r="B57" i="8"/>
  <c r="B64" i="8" s="1"/>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C64" i="8"/>
  <c r="E64" i="8" s="1"/>
  <c r="E57" i="8"/>
  <c r="B63" i="8" s="1"/>
  <c r="Q8" i="13"/>
  <c r="I7" i="9"/>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3" i="8" l="1"/>
  <c r="L63" i="8"/>
  <c r="L70" i="8" s="1"/>
  <c r="D63" i="8"/>
  <c r="E63" i="8" s="1"/>
  <c r="D69" i="8" s="1"/>
  <c r="D70" i="6"/>
  <c r="F14" i="6" s="1"/>
  <c r="E63" i="3"/>
  <c r="C69" i="3" s="1"/>
  <c r="D12" i="3" s="1"/>
  <c r="B70" i="3"/>
  <c r="M70" i="3" s="1"/>
  <c r="L69" i="7"/>
  <c r="C70" i="6"/>
  <c r="C70" i="3"/>
  <c r="D14" i="3" s="1"/>
  <c r="C69" i="7"/>
  <c r="D12" i="7" s="1"/>
  <c r="L70" i="3"/>
  <c r="L70" i="6"/>
  <c r="D70" i="3"/>
  <c r="F13" i="3" s="1"/>
  <c r="D69" i="7"/>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69" i="3" l="1"/>
  <c r="E69" i="3" s="1"/>
  <c r="O13" i="6"/>
  <c r="Q13" i="8"/>
  <c r="F13" i="6"/>
  <c r="Q14" i="3"/>
  <c r="E69" i="7"/>
  <c r="F12" i="7"/>
  <c r="B69" i="3"/>
  <c r="M69" i="3" s="1"/>
  <c r="B69" i="6"/>
  <c r="M69" i="6" s="1"/>
  <c r="Q14" i="6"/>
  <c r="E70" i="6"/>
  <c r="O14" i="6"/>
  <c r="D13" i="6"/>
  <c r="D14" i="6"/>
  <c r="Q13" i="6"/>
  <c r="R13" i="6" s="1"/>
  <c r="S13" i="6" s="1"/>
  <c r="O12" i="7"/>
  <c r="F34" i="3"/>
  <c r="F33" i="3"/>
  <c r="Q12" i="7"/>
  <c r="O13" i="3"/>
  <c r="F14" i="3"/>
  <c r="Q13" i="3"/>
  <c r="E70" i="3"/>
  <c r="D13" i="3"/>
  <c r="C69" i="6"/>
  <c r="D12" i="6" s="1"/>
  <c r="O14" i="3"/>
  <c r="D69" i="6"/>
  <c r="F12" i="6" s="1"/>
  <c r="T10" i="3"/>
  <c r="K10" i="4"/>
  <c r="F8" i="7"/>
  <c r="T9" i="4"/>
  <c r="T11" i="4"/>
  <c r="U11" i="4" s="1"/>
  <c r="J11" i="4" s="1"/>
  <c r="K11" i="4"/>
  <c r="R10" i="4"/>
  <c r="S10" i="4" s="1"/>
  <c r="T8" i="3"/>
  <c r="U8" i="3" s="1"/>
  <c r="J8" i="3" s="1"/>
  <c r="F12" i="3"/>
  <c r="T13" i="4"/>
  <c r="T8" i="5"/>
  <c r="U8" i="5" s="1"/>
  <c r="J8" i="5" s="1"/>
  <c r="K8" i="5"/>
  <c r="E67" i="7"/>
  <c r="L69" i="8"/>
  <c r="M67" i="7"/>
  <c r="D8" i="7"/>
  <c r="T10" i="4"/>
  <c r="K8" i="3"/>
  <c r="Q8" i="7"/>
  <c r="R8" i="7" s="1"/>
  <c r="S8" i="7" s="1"/>
  <c r="M69" i="2"/>
  <c r="K14" i="4"/>
  <c r="K13" i="4"/>
  <c r="Q8" i="6"/>
  <c r="O8" i="6"/>
  <c r="B69" i="8"/>
  <c r="M69" i="8" s="1"/>
  <c r="E67" i="6"/>
  <c r="C69" i="8"/>
  <c r="R13" i="4"/>
  <c r="S13" i="4" s="1"/>
  <c r="K9" i="4"/>
  <c r="R9" i="4"/>
  <c r="S9" i="4" s="1"/>
  <c r="F32" i="2"/>
  <c r="O13" i="8"/>
  <c r="R13" i="8" s="1"/>
  <c r="S13" i="8" s="1"/>
  <c r="R10" i="3"/>
  <c r="S10" i="3" s="1"/>
  <c r="F8" i="2"/>
  <c r="O14" i="8"/>
  <c r="F14" i="8"/>
  <c r="T14" i="4"/>
  <c r="B70" i="2"/>
  <c r="F33" i="2" s="1"/>
  <c r="D69" i="5"/>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O12" i="3"/>
  <c r="R12" i="3" s="1"/>
  <c r="S12" i="3" s="1"/>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2" i="2"/>
  <c r="F31" i="6"/>
  <c r="F30" i="6"/>
  <c r="M68" i="6"/>
  <c r="F29" i="6"/>
  <c r="M67" i="8"/>
  <c r="F28" i="8"/>
  <c r="F12" i="8"/>
  <c r="K8" i="4"/>
  <c r="T8" i="4"/>
  <c r="R8" i="4"/>
  <c r="S8" i="4" s="1"/>
  <c r="E69" i="4"/>
  <c r="D12" i="4"/>
  <c r="Q12" i="4"/>
  <c r="Q11" i="2"/>
  <c r="Q10" i="2"/>
  <c r="Q9" i="2"/>
  <c r="E68" i="2"/>
  <c r="D11" i="2"/>
  <c r="D10" i="2"/>
  <c r="D9" i="2"/>
  <c r="R11" i="5"/>
  <c r="S11" i="5" s="1"/>
  <c r="U11" i="5" s="1"/>
  <c r="J11" i="5" s="1"/>
  <c r="T11" i="5"/>
  <c r="K11" i="5"/>
  <c r="D12" i="2"/>
  <c r="E69" i="2"/>
  <c r="Q12" i="2"/>
  <c r="E67" i="8"/>
  <c r="Q8" i="8"/>
  <c r="D8" i="8"/>
  <c r="C68" i="8"/>
  <c r="D68" i="8"/>
  <c r="L68" i="8"/>
  <c r="B68" i="8"/>
  <c r="R14" i="3" l="1"/>
  <c r="S14" i="3" s="1"/>
  <c r="U9" i="4"/>
  <c r="J9" i="4" s="1"/>
  <c r="M9" i="4" s="1"/>
  <c r="U10" i="3"/>
  <c r="J10" i="3" s="1"/>
  <c r="M10" i="3" s="1"/>
  <c r="G10" i="3" s="1"/>
  <c r="I11" i="16" s="1"/>
  <c r="K13" i="6"/>
  <c r="T13" i="6"/>
  <c r="U13" i="6" s="1"/>
  <c r="J13" i="6" s="1"/>
  <c r="M13" i="6" s="1"/>
  <c r="G13" i="6" s="1"/>
  <c r="M14" i="13" s="1"/>
  <c r="U14" i="4"/>
  <c r="J14" i="4" s="1"/>
  <c r="M14" i="4" s="1"/>
  <c r="G14" i="4" s="1"/>
  <c r="G15" i="16" s="1"/>
  <c r="F35" i="3"/>
  <c r="F35" i="6"/>
  <c r="F32" i="3"/>
  <c r="G9" i="4"/>
  <c r="G10" i="16" s="1"/>
  <c r="U13" i="4"/>
  <c r="J13" i="4" s="1"/>
  <c r="L13" i="4" s="1"/>
  <c r="O14" i="16" s="1"/>
  <c r="F32" i="6"/>
  <c r="R14" i="6"/>
  <c r="S14" i="6" s="1"/>
  <c r="G11" i="3"/>
  <c r="I12" i="16" s="1"/>
  <c r="T12" i="7"/>
  <c r="U10" i="4"/>
  <c r="J10" i="4" s="1"/>
  <c r="M10" i="4" s="1"/>
  <c r="G10" i="4" s="1"/>
  <c r="G11" i="16" s="1"/>
  <c r="T14" i="6"/>
  <c r="R12" i="7"/>
  <c r="S12" i="7" s="1"/>
  <c r="K12" i="7"/>
  <c r="O12" i="6"/>
  <c r="K14" i="6"/>
  <c r="T13" i="8"/>
  <c r="U13" i="8" s="1"/>
  <c r="J13" i="8" s="1"/>
  <c r="M13" i="8" s="1"/>
  <c r="E69" i="6"/>
  <c r="R14" i="8"/>
  <c r="S14" i="8" s="1"/>
  <c r="K13" i="3"/>
  <c r="T14" i="3"/>
  <c r="T13" i="3"/>
  <c r="K14" i="3"/>
  <c r="R13" i="3"/>
  <c r="S13" i="3" s="1"/>
  <c r="Q12" i="6"/>
  <c r="L11" i="4"/>
  <c r="O12" i="16" s="1"/>
  <c r="K8" i="7"/>
  <c r="O13" i="2"/>
  <c r="O12" i="8"/>
  <c r="F35" i="8"/>
  <c r="T8" i="7"/>
  <c r="U8" i="7" s="1"/>
  <c r="J8" i="7" s="1"/>
  <c r="M8" i="7" s="1"/>
  <c r="T13" i="7"/>
  <c r="Q12" i="8"/>
  <c r="F32" i="8"/>
  <c r="Q10" i="7"/>
  <c r="F13" i="2"/>
  <c r="Q11" i="7"/>
  <c r="R8" i="6"/>
  <c r="S8" i="6" s="1"/>
  <c r="F14" i="2"/>
  <c r="E69" i="8"/>
  <c r="F10" i="7"/>
  <c r="F30" i="7"/>
  <c r="D12" i="8"/>
  <c r="M68" i="7"/>
  <c r="F29" i="7"/>
  <c r="K14" i="8"/>
  <c r="T8" i="6"/>
  <c r="K8" i="6"/>
  <c r="O12" i="5"/>
  <c r="R12" i="5" s="1"/>
  <c r="S12" i="5" s="1"/>
  <c r="U12" i="5" s="1"/>
  <c r="J12" i="5" s="1"/>
  <c r="F35" i="5"/>
  <c r="F12" i="5"/>
  <c r="M69" i="5"/>
  <c r="K13" i="8"/>
  <c r="K8" i="2"/>
  <c r="M70" i="2"/>
  <c r="F9" i="7"/>
  <c r="O11" i="7"/>
  <c r="F34" i="2"/>
  <c r="O10" i="7"/>
  <c r="F11" i="7"/>
  <c r="O9" i="7"/>
  <c r="R9" i="7" s="1"/>
  <c r="S9" i="7" s="1"/>
  <c r="L11" i="3"/>
  <c r="P12" i="16" s="1"/>
  <c r="E69" i="5"/>
  <c r="K12" i="3"/>
  <c r="T12" i="3"/>
  <c r="U12" i="3" s="1"/>
  <c r="J12" i="3" s="1"/>
  <c r="D12" i="5"/>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M8" i="5"/>
  <c r="L8" i="5"/>
  <c r="Q9" i="16" s="1"/>
  <c r="M8" i="3"/>
  <c r="G8" i="3" s="1"/>
  <c r="I9" i="16" s="1"/>
  <c r="L8" i="3"/>
  <c r="P9" i="16" s="1"/>
  <c r="T9" i="6"/>
  <c r="K9" i="6"/>
  <c r="R9" i="6"/>
  <c r="S9" i="6" s="1"/>
  <c r="D9" i="8"/>
  <c r="Q11" i="8"/>
  <c r="Q9" i="8"/>
  <c r="D11" i="8"/>
  <c r="Q10" i="8"/>
  <c r="E68" i="8"/>
  <c r="D10" i="8"/>
  <c r="R12" i="2"/>
  <c r="S12" i="2" s="1"/>
  <c r="T12" i="2"/>
  <c r="K12" i="2"/>
  <c r="L9" i="5"/>
  <c r="Q10" i="16" s="1"/>
  <c r="M9" i="5"/>
  <c r="R9" i="2"/>
  <c r="S9" i="2" s="1"/>
  <c r="K9" i="2"/>
  <c r="T9" i="2"/>
  <c r="T12" i="4"/>
  <c r="R12" i="4"/>
  <c r="S12" i="4" s="1"/>
  <c r="K12" i="4"/>
  <c r="L10" i="3" l="1"/>
  <c r="P11" i="16" s="1"/>
  <c r="L9" i="4"/>
  <c r="O10" i="16" s="1"/>
  <c r="U14" i="3"/>
  <c r="J14" i="3" s="1"/>
  <c r="N30" i="3" s="1"/>
  <c r="D9" i="9"/>
  <c r="U12" i="7"/>
  <c r="J12" i="7" s="1"/>
  <c r="M12" i="7" s="1"/>
  <c r="L14" i="4"/>
  <c r="O15" i="16" s="1"/>
  <c r="N30" i="4"/>
  <c r="E10" i="9"/>
  <c r="L13" i="6"/>
  <c r="R14" i="16" s="1"/>
  <c r="G13" i="9"/>
  <c r="U14" i="6"/>
  <c r="J14" i="6" s="1"/>
  <c r="M14" i="6" s="1"/>
  <c r="G14" i="6" s="1"/>
  <c r="M15" i="13" s="1"/>
  <c r="M13" i="4"/>
  <c r="G13" i="4" s="1"/>
  <c r="G14" i="16" s="1"/>
  <c r="E11" i="9"/>
  <c r="I12" i="13"/>
  <c r="G10" i="13"/>
  <c r="U13" i="7"/>
  <c r="J13" i="7" s="1"/>
  <c r="M13" i="7" s="1"/>
  <c r="U13" i="3"/>
  <c r="J13" i="3" s="1"/>
  <c r="L13" i="3" s="1"/>
  <c r="P14" i="16" s="1"/>
  <c r="G13" i="8"/>
  <c r="I13" i="9" s="1"/>
  <c r="L13" i="8"/>
  <c r="T14" i="16" s="1"/>
  <c r="R12" i="6"/>
  <c r="S12" i="6" s="1"/>
  <c r="T12" i="6"/>
  <c r="K12" i="6"/>
  <c r="D10" i="9"/>
  <c r="G11" i="13"/>
  <c r="L10" i="4"/>
  <c r="O11" i="16" s="1"/>
  <c r="I11" i="13"/>
  <c r="U14" i="8"/>
  <c r="J14" i="8" s="1"/>
  <c r="N30" i="8" s="1"/>
  <c r="M13" i="9"/>
  <c r="U14" i="13"/>
  <c r="U12" i="13"/>
  <c r="M11" i="9"/>
  <c r="R12" i="8"/>
  <c r="S12" i="8" s="1"/>
  <c r="T13" i="2"/>
  <c r="U8" i="6"/>
  <c r="J8" i="6" s="1"/>
  <c r="M8" i="6" s="1"/>
  <c r="G8" i="6" s="1"/>
  <c r="M9" i="13" s="1"/>
  <c r="R13" i="2"/>
  <c r="S13" i="2" s="1"/>
  <c r="T12" i="8"/>
  <c r="K12" i="8"/>
  <c r="R10" i="7"/>
  <c r="S10" i="7" s="1"/>
  <c r="T11" i="7"/>
  <c r="T10" i="7"/>
  <c r="L8" i="2"/>
  <c r="N9" i="16" s="1"/>
  <c r="K13" i="2"/>
  <c r="K11" i="7"/>
  <c r="T9" i="7"/>
  <c r="U9" i="7" s="1"/>
  <c r="J9" i="7" s="1"/>
  <c r="M9" i="7" s="1"/>
  <c r="N10" i="9"/>
  <c r="R11" i="7"/>
  <c r="S11" i="7" s="1"/>
  <c r="K12" i="5"/>
  <c r="L12" i="5" s="1"/>
  <c r="Q13" i="16" s="1"/>
  <c r="T12" i="5"/>
  <c r="K10" i="7"/>
  <c r="R14" i="2"/>
  <c r="S14" i="2" s="1"/>
  <c r="K9" i="7"/>
  <c r="T14" i="2"/>
  <c r="V12" i="13"/>
  <c r="N11" i="9"/>
  <c r="W14" i="13"/>
  <c r="M9" i="3"/>
  <c r="G9" i="3" s="1"/>
  <c r="I10" i="13" s="1"/>
  <c r="G12" i="13"/>
  <c r="G12" i="16"/>
  <c r="N9" i="9"/>
  <c r="P10" i="16"/>
  <c r="M14" i="7"/>
  <c r="N30" i="7"/>
  <c r="L14" i="7"/>
  <c r="S15" i="16" s="1"/>
  <c r="L8" i="7"/>
  <c r="S9" i="16" s="1"/>
  <c r="O13" i="9"/>
  <c r="O14" i="9"/>
  <c r="V10" i="13"/>
  <c r="W15" i="13"/>
  <c r="U12" i="2"/>
  <c r="J12" i="2" s="1"/>
  <c r="L12" i="2" s="1"/>
  <c r="N13" i="16" s="1"/>
  <c r="D11" i="9"/>
  <c r="M8" i="2"/>
  <c r="G8" i="2" s="1"/>
  <c r="E9"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0" i="6"/>
  <c r="J10" i="6" s="1"/>
  <c r="K11" i="8"/>
  <c r="T11" i="8"/>
  <c r="R11" i="8"/>
  <c r="S11" i="8" s="1"/>
  <c r="L12" i="3"/>
  <c r="P13" i="16" s="1"/>
  <c r="M12" i="3"/>
  <c r="G12" i="3" s="1"/>
  <c r="I13" i="16" s="1"/>
  <c r="K9" i="8"/>
  <c r="T9" i="8"/>
  <c r="L14" i="3" l="1"/>
  <c r="P15" i="16" s="1"/>
  <c r="U10" i="13"/>
  <c r="M14" i="3"/>
  <c r="G14" i="3" s="1"/>
  <c r="I15" i="13" s="1"/>
  <c r="M14" i="9"/>
  <c r="M9" i="9"/>
  <c r="V11" i="13"/>
  <c r="U15" i="13"/>
  <c r="L12" i="7"/>
  <c r="S13" i="16" s="1"/>
  <c r="G14" i="9"/>
  <c r="N30" i="6"/>
  <c r="L14" i="6"/>
  <c r="R15" i="16" s="1"/>
  <c r="V14" i="13"/>
  <c r="N13" i="9"/>
  <c r="M10" i="9"/>
  <c r="X14" i="13"/>
  <c r="P13" i="9"/>
  <c r="G14" i="13"/>
  <c r="M13" i="3"/>
  <c r="G13" i="3" s="1"/>
  <c r="E13" i="9" s="1"/>
  <c r="D13" i="9"/>
  <c r="L13" i="7"/>
  <c r="S14" i="16" s="1"/>
  <c r="U14" i="2"/>
  <c r="J14" i="2" s="1"/>
  <c r="M14" i="2" s="1"/>
  <c r="G14" i="2" s="1"/>
  <c r="E15" i="16" s="1"/>
  <c r="U12" i="6"/>
  <c r="J12" i="6" s="1"/>
  <c r="M12" i="6" s="1"/>
  <c r="G12" i="6" s="1"/>
  <c r="G12" i="9" s="1"/>
  <c r="R13" i="9"/>
  <c r="Z14" i="13"/>
  <c r="U11" i="7"/>
  <c r="J11" i="7" s="1"/>
  <c r="M11" i="7" s="1"/>
  <c r="N14" i="9"/>
  <c r="V15" i="13"/>
  <c r="K14" i="16"/>
  <c r="Q14" i="13"/>
  <c r="U13" i="2"/>
  <c r="J13" i="2" s="1"/>
  <c r="M13" i="2" s="1"/>
  <c r="G13" i="2" s="1"/>
  <c r="E14" i="16" s="1"/>
  <c r="U12" i="8"/>
  <c r="J12" i="8" s="1"/>
  <c r="M12" i="8" s="1"/>
  <c r="G12" i="8" s="1"/>
  <c r="K13" i="16" s="1"/>
  <c r="U10" i="7"/>
  <c r="J10" i="7" s="1"/>
  <c r="L10" i="7" s="1"/>
  <c r="S11" i="16" s="1"/>
  <c r="U11" i="13"/>
  <c r="M14" i="8"/>
  <c r="G14" i="8" s="1"/>
  <c r="K15" i="16" s="1"/>
  <c r="L14" i="8"/>
  <c r="T15" i="16" s="1"/>
  <c r="L8" i="6"/>
  <c r="R9" i="16" s="1"/>
  <c r="T9" i="13"/>
  <c r="L8" i="9"/>
  <c r="G8" i="9"/>
  <c r="Q14" i="9"/>
  <c r="Y15" i="13"/>
  <c r="E9" i="13"/>
  <c r="L10" i="2"/>
  <c r="N11" i="16" s="1"/>
  <c r="L11" i="6"/>
  <c r="R12" i="16" s="1"/>
  <c r="I10" i="16"/>
  <c r="C8" i="9"/>
  <c r="E9" i="9"/>
  <c r="G11" i="9"/>
  <c r="M12" i="13"/>
  <c r="Y9" i="13"/>
  <c r="M12" i="2"/>
  <c r="G12" i="2" s="1"/>
  <c r="C12" i="9" s="1"/>
  <c r="Q8" i="9"/>
  <c r="L11" i="2"/>
  <c r="N12" i="16" s="1"/>
  <c r="M12" i="4"/>
  <c r="G12" i="4" s="1"/>
  <c r="M9" i="2"/>
  <c r="G9" i="2" s="1"/>
  <c r="L9" i="7"/>
  <c r="S10" i="16" s="1"/>
  <c r="L9" i="9"/>
  <c r="T10" i="13"/>
  <c r="C11" i="9"/>
  <c r="E12" i="13"/>
  <c r="M8" i="9"/>
  <c r="U9" i="13"/>
  <c r="O12" i="9"/>
  <c r="W13" i="13"/>
  <c r="M12" i="9"/>
  <c r="U13" i="13"/>
  <c r="E12" i="9"/>
  <c r="I13" i="13"/>
  <c r="D8" i="9"/>
  <c r="G9" i="13"/>
  <c r="U9" i="8"/>
  <c r="J9" i="8" s="1"/>
  <c r="M9" i="8" s="1"/>
  <c r="G9" i="8" s="1"/>
  <c r="K10" i="16" s="1"/>
  <c r="C10" i="9"/>
  <c r="E11" i="13"/>
  <c r="N12" i="9"/>
  <c r="V13" i="13"/>
  <c r="L12" i="9"/>
  <c r="T13" i="13"/>
  <c r="M8" i="8"/>
  <c r="G8" i="8" s="1"/>
  <c r="K9" i="16" s="1"/>
  <c r="L8" i="8"/>
  <c r="T9" i="16" s="1"/>
  <c r="U11" i="8"/>
  <c r="J11" i="8" s="1"/>
  <c r="U10" i="8"/>
  <c r="J10" i="8" s="1"/>
  <c r="L9" i="6"/>
  <c r="R10" i="16" s="1"/>
  <c r="M9" i="6"/>
  <c r="G9" i="6" s="1"/>
  <c r="M10" i="6"/>
  <c r="G10" i="6" s="1"/>
  <c r="L10" i="6"/>
  <c r="R11" i="16" s="1"/>
  <c r="I15" i="16" l="1"/>
  <c r="E14" i="9"/>
  <c r="Q12" i="9"/>
  <c r="Y13" i="13"/>
  <c r="X15" i="13"/>
  <c r="P14" i="9"/>
  <c r="Q13" i="9"/>
  <c r="Y14" i="13"/>
  <c r="E15" i="13"/>
  <c r="M13" i="13"/>
  <c r="I14" i="13"/>
  <c r="I14" i="16"/>
  <c r="L12" i="8"/>
  <c r="T13" i="16" s="1"/>
  <c r="C14" i="9"/>
  <c r="N30" i="2"/>
  <c r="L14" i="2"/>
  <c r="N15" i="16" s="1"/>
  <c r="L12" i="6"/>
  <c r="L11" i="7"/>
  <c r="S12" i="16" s="1"/>
  <c r="M10" i="7"/>
  <c r="C13" i="9"/>
  <c r="E14" i="13"/>
  <c r="L13" i="2"/>
  <c r="N14" i="16" s="1"/>
  <c r="I14" i="9"/>
  <c r="R14" i="9"/>
  <c r="Q15" i="13"/>
  <c r="Z15" i="13"/>
  <c r="P8" i="9"/>
  <c r="X9" i="13"/>
  <c r="Q10" i="9"/>
  <c r="Y11" i="13"/>
  <c r="L10" i="9"/>
  <c r="X12" i="13"/>
  <c r="T11" i="13"/>
  <c r="P11" i="9"/>
  <c r="G10" i="9"/>
  <c r="M11" i="13"/>
  <c r="M10" i="13"/>
  <c r="G9" i="9"/>
  <c r="C9" i="9"/>
  <c r="E10" i="16"/>
  <c r="D12" i="9"/>
  <c r="G13" i="16"/>
  <c r="E13" i="13"/>
  <c r="E13" i="16"/>
  <c r="L11" i="9"/>
  <c r="T12" i="13"/>
  <c r="Q9" i="9"/>
  <c r="G13" i="13"/>
  <c r="E10" i="13"/>
  <c r="L9" i="8"/>
  <c r="T10" i="16" s="1"/>
  <c r="Y10" i="13"/>
  <c r="I12" i="9"/>
  <c r="Q13" i="13"/>
  <c r="P9" i="9"/>
  <c r="X10" i="13"/>
  <c r="R8" i="9"/>
  <c r="Z9" i="13"/>
  <c r="P10" i="9"/>
  <c r="X11" i="13"/>
  <c r="I8" i="9"/>
  <c r="Q9" i="13"/>
  <c r="I9" i="9"/>
  <c r="Q10" i="13"/>
  <c r="M10" i="8"/>
  <c r="G10" i="8" s="1"/>
  <c r="K11" i="16" s="1"/>
  <c r="L10" i="8"/>
  <c r="T11" i="16" s="1"/>
  <c r="L11" i="8"/>
  <c r="T12" i="16" s="1"/>
  <c r="M11" i="8"/>
  <c r="G11" i="8" s="1"/>
  <c r="K12" i="16" s="1"/>
  <c r="T15" i="13" l="1"/>
  <c r="Y12" i="13"/>
  <c r="L14" i="9"/>
  <c r="Q11" i="9"/>
  <c r="Z13" i="13"/>
  <c r="R12" i="9"/>
  <c r="R13" i="16"/>
  <c r="X13" i="13"/>
  <c r="P12" i="9"/>
  <c r="T14" i="13"/>
  <c r="L13" i="9"/>
  <c r="R9" i="9"/>
  <c r="Z10" i="13"/>
  <c r="R10" i="9"/>
  <c r="Z11" i="13"/>
  <c r="I11" i="9"/>
  <c r="Q12" i="13"/>
  <c r="I10" i="9"/>
  <c r="Q11" i="13"/>
  <c r="R11" i="9"/>
  <c r="Z12" i="13"/>
  <c r="G15" i="6"/>
  <c r="G15" i="9" s="1"/>
  <c r="C15" i="8"/>
  <c r="Q15" i="8" s="1"/>
  <c r="C16" i="13"/>
  <c r="C16" i="16"/>
  <c r="J16" i="13"/>
  <c r="C15" i="7"/>
  <c r="Q15" i="7" s="1"/>
  <c r="C15" i="2"/>
  <c r="Q15" i="2" s="1"/>
  <c r="C15" i="4"/>
  <c r="P15" i="4" s="1"/>
  <c r="G12" i="10"/>
  <c r="H16" i="13"/>
  <c r="H16" i="16"/>
  <c r="C15" i="3"/>
  <c r="Q15" i="3" s="1"/>
  <c r="D12" i="10"/>
  <c r="G27" i="10" s="1"/>
  <c r="E12" i="10"/>
  <c r="D16" i="16"/>
  <c r="D16" i="13"/>
  <c r="B7" i="17"/>
  <c r="I12" i="10"/>
  <c r="L16" i="13"/>
  <c r="F16" i="13"/>
  <c r="F12" i="10"/>
  <c r="F16" i="16"/>
  <c r="C15" i="6"/>
  <c r="N16" i="13"/>
  <c r="E15" i="4"/>
  <c r="F15" i="4" s="1"/>
  <c r="E15" i="5"/>
  <c r="F15" i="5" s="1"/>
  <c r="D7" i="17"/>
  <c r="C12" i="10"/>
  <c r="E15" i="6"/>
  <c r="C15" i="5"/>
  <c r="Q15" i="5" s="1"/>
  <c r="E15" i="3"/>
  <c r="F15" i="3" s="1"/>
  <c r="E15" i="7"/>
  <c r="N15" i="7" s="1"/>
  <c r="J15" i="1"/>
  <c r="K12" i="10" s="1"/>
  <c r="E15" i="2"/>
  <c r="J27" i="10" l="1"/>
  <c r="I27" i="10"/>
  <c r="N15" i="3"/>
  <c r="N15" i="4"/>
  <c r="P16" i="13"/>
  <c r="O15" i="3"/>
  <c r="N15" i="5"/>
  <c r="M16" i="13"/>
  <c r="O15" i="5"/>
  <c r="E27" i="10"/>
  <c r="H27" i="10"/>
  <c r="D27" i="10"/>
  <c r="F27" i="10"/>
  <c r="E7" i="17"/>
  <c r="I7" i="17"/>
  <c r="A7" i="17"/>
  <c r="K7" i="17" s="1"/>
  <c r="F7" i="17"/>
  <c r="C27" i="10"/>
  <c r="F15" i="6"/>
  <c r="N15" i="6"/>
  <c r="P15" i="6"/>
  <c r="Q15" i="6"/>
  <c r="F15" i="7"/>
  <c r="F15" i="2"/>
  <c r="N15" i="2"/>
  <c r="O15" i="2"/>
  <c r="E15" i="8"/>
  <c r="J16" i="16"/>
  <c r="D15" i="6"/>
  <c r="D15" i="3"/>
  <c r="P15" i="3"/>
  <c r="P15" i="2"/>
  <c r="D15" i="2"/>
  <c r="O15" i="4"/>
  <c r="P15" i="8"/>
  <c r="D15" i="8"/>
  <c r="P15" i="5"/>
  <c r="D15" i="5"/>
  <c r="O15" i="7"/>
  <c r="Q15" i="4"/>
  <c r="D15" i="4"/>
  <c r="P15" i="7"/>
  <c r="D15" i="7"/>
  <c r="O15" i="6"/>
  <c r="G7" i="17"/>
  <c r="C7" i="17"/>
  <c r="H7" i="17" l="1"/>
  <c r="K15" i="4"/>
  <c r="R15" i="4"/>
  <c r="S15" i="4" s="1"/>
  <c r="K15" i="5"/>
  <c r="T15" i="4"/>
  <c r="K15" i="7"/>
  <c r="T15" i="7"/>
  <c r="T15" i="2"/>
  <c r="R15" i="2"/>
  <c r="S15" i="2" s="1"/>
  <c r="K15" i="2"/>
  <c r="T15" i="3"/>
  <c r="R15" i="3"/>
  <c r="S15" i="3" s="1"/>
  <c r="K15" i="3"/>
  <c r="F15" i="8"/>
  <c r="O15" i="8"/>
  <c r="N15" i="8"/>
  <c r="R15" i="5"/>
  <c r="S15" i="5" s="1"/>
  <c r="U15" i="5" s="1"/>
  <c r="J15" i="5" s="1"/>
  <c r="R15" i="7"/>
  <c r="S15" i="7" s="1"/>
  <c r="T15" i="5"/>
  <c r="T15" i="6"/>
  <c r="R15" i="6"/>
  <c r="S15" i="6" s="1"/>
  <c r="U15" i="6" s="1"/>
  <c r="J15" i="6" s="1"/>
  <c r="K15" i="6"/>
  <c r="U15" i="7" l="1"/>
  <c r="J15" i="7" s="1"/>
  <c r="L15" i="7" s="1"/>
  <c r="U15" i="2"/>
  <c r="J15" i="2" s="1"/>
  <c r="U15" i="3"/>
  <c r="J15" i="3" s="1"/>
  <c r="M15" i="3" s="1"/>
  <c r="G15" i="3" s="1"/>
  <c r="U15" i="4"/>
  <c r="J15" i="4" s="1"/>
  <c r="L15" i="4" s="1"/>
  <c r="O16" i="16" s="1"/>
  <c r="M15" i="6"/>
  <c r="L15" i="6"/>
  <c r="L15" i="5"/>
  <c r="M15" i="5"/>
  <c r="T15" i="8"/>
  <c r="K15" i="8"/>
  <c r="R15" i="8"/>
  <c r="S15" i="8" s="1"/>
  <c r="L15" i="2"/>
  <c r="M15" i="2"/>
  <c r="G15" i="2" s="1"/>
  <c r="M15" i="7" l="1"/>
  <c r="L15" i="3"/>
  <c r="V16" i="13" s="1"/>
  <c r="U16" i="13"/>
  <c r="M15" i="9"/>
  <c r="M15" i="4"/>
  <c r="G15" i="4" s="1"/>
  <c r="D15" i="9" s="1"/>
  <c r="U15" i="8"/>
  <c r="J15" i="8" s="1"/>
  <c r="M15" i="8" s="1"/>
  <c r="G15" i="8" s="1"/>
  <c r="E16" i="13"/>
  <c r="C15" i="9"/>
  <c r="E16" i="16"/>
  <c r="N16" i="16"/>
  <c r="T16" i="13"/>
  <c r="L15" i="9"/>
  <c r="Q16" i="16"/>
  <c r="W16" i="13"/>
  <c r="O15" i="9"/>
  <c r="I16" i="13"/>
  <c r="I16" i="16"/>
  <c r="E15" i="9"/>
  <c r="X16" i="13"/>
  <c r="R16" i="16"/>
  <c r="P15" i="9"/>
  <c r="S16" i="16"/>
  <c r="Q15" i="9"/>
  <c r="Y16" i="13"/>
  <c r="N15" i="9" l="1"/>
  <c r="G16" i="16"/>
  <c r="P16" i="16"/>
  <c r="L15" i="8"/>
  <c r="R15" i="9" s="1"/>
  <c r="G16" i="13"/>
  <c r="Q16" i="13"/>
  <c r="K16" i="16"/>
  <c r="I15" i="9"/>
  <c r="Z16" i="13" l="1"/>
  <c r="T16" i="16"/>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<sst xmlns="http://schemas.openxmlformats.org/spreadsheetml/2006/main" count="654" uniqueCount="141">
  <si>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</si>
  <si>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</si>
  <si>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</si>
  <si>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</si>
  <si>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</si>
  <si>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</si>
  <si>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</si>
  <si>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</si>
  <si>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</si>
  <si>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</si>
  <si>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</si>
  <si>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</si>
  <si>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</si>
  <si>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</si>
  <si>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</si>
  <si>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</si>
  <si>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</si>
  <si>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</si>
  <si>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</si>
  <si>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</si>
  <si>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</si>
  <si>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</si>
  <si>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</si>
  <si>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</si>
  <si>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</si>
  <si>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</si>
  <si>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</si>
  <si>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</si>
  <si>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</si>
  <si>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</si>
  <si>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</si>
  <si>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</si>
  <si>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</si>
  <si>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</si>
  <si>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</si>
  <si>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</si>
  <si>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</si>
  <si>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</si>
  <si>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</si>
  <si>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</si>
  <si>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</si>
  <si>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</si>
  <si>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</si>
  <si>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</si>
  <si>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</si>
  <si>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</si>
  <si>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</si>
  <si>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</si>
  <si>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</si>
  <si>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</si>
  <si>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</si>
  <si>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</si>
  <si>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</si>
  <si>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</si>
  <si>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</si>
  <si>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</si>
  <si>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</si>
  <si>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</si>
  <si>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</si>
  <si>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</si>
  <si>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</si>
  <si>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</si>
  <si>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</si>
  <si>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</si>
  <si>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</si>
  <si>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</si>
  <si>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</si>
  <si>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</si>
  <si>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</si>
  <si>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</si>
  <si>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</si>
  <si>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</si>
  <si>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</si>
  <si>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</si>
  <si>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</si>
  <si>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</si>
  <si>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</si>
  <si>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</si>
  <si>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</si>
  <si>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</si>
  <si>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</si>
  <si>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</si>
  <si>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</si>
  <si>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</si>
  <si>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</si>
  <si>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</si>
  <si>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</si>
  <si>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</si>
  <si>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</si>
  <si>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</si>
  <si>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</si>
  <si>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</si>
  <si>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</si>
  <si>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</si>
  <si>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</si>
  <si>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</si>
  <si>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</si>
  <si>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</si>
  <si>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</si>
  <si>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</si>
  <si>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</si>
  <si>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</si>
  <si>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</si>
  <si>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</si>
  <si>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</si>
  <si>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</si>
  <si>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</si>
  <si>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</si>
  <si>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</si>
  <si>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</si>
  <si>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</si>
  <si>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</si>
  <si>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</si>
  <si>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</si>
  <si>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</si>
  <si>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</si>
  <si>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</si>
  <si>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</si>
  <si>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</si>
  <si>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</si>
  <si>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</si>
  <si>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</si>
  <si>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</si>
  <si>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</si>
  <si>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</si>
  <si>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</si>
  <si>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</si>
  <si>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</si>
  <si>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Kent</t>
  </si>
  <si>
    <t>Item 3.Referral: Kent County Juvenile Court</t>
  </si>
  <si>
    <t>Item 4.Diversion: Kent County Juvenile Court</t>
  </si>
  <si>
    <t>Item 5.Detention: Kent County Juvenile Court</t>
  </si>
  <si>
    <t>Item 6.Petitioned: Kent County Juvenile Court</t>
  </si>
  <si>
    <t>Item 7.Delinquent: Kent County Juvenile Court</t>
  </si>
  <si>
    <t>Item 8.Probation: Kent County Juvenile Court</t>
  </si>
  <si>
    <t>Item 9.Confinement: Kent County Juvenile Court</t>
  </si>
  <si>
    <t>Item 10.Transferred: Kent County Juvenile Court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</si>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</sst>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Kent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N=8</c:v>
                </c:pt>
                <c:pt idx="1">
                  <c:v>Confinement, total N=31</c:v>
                </c:pt>
                <c:pt idx="2">
                  <c:v>Delinquent Findings, total N=433</c:v>
                </c:pt>
                <c:pt idx="3">
                  <c:v>Petitions, total N=1182</c:v>
                </c:pt>
                <c:pt idx="4">
                  <c:v>Detentions, total N=752</c:v>
                </c:pt>
                <c:pt idx="5">
                  <c:v>Referrals, total N=1948</c:v>
                </c:pt>
                <c:pt idx="6">
                  <c:v>Arrests, total N=909</c:v>
                </c:pt>
                <c:pt idx="7">
                  <c:v>Population, total N=70018</c:v>
                </c:pt>
              </c:strCache>
            </c:strRef>
          </c:cat>
          <c:val>
            <c:numRef>
              <c:f>'Stacked 100%'!$B$7:$B$14</c:f>
              <c:numCache>
                <c:formatCode>0%</c:formatCode>
                <c:ptCount val="8"/>
                <c:pt idx="0">
                  <c:v>0.75</c:v>
                </c:pt>
                <c:pt idx="1">
                  <c:v>0.58064516129032262</c:v>
                </c:pt>
                <c:pt idx="2">
                  <c:v>0.43879907621247111</c:v>
                </c:pt>
                <c:pt idx="3">
                  <c:v>0.47123519458544838</c:v>
                </c:pt>
                <c:pt idx="4">
                  <c:v>0.51196808510638303</c:v>
                </c:pt>
                <c:pt idx="5">
                  <c:v>0.41581108829568786</c:v>
                </c:pt>
                <c:pt idx="6">
                  <c:v>0.48294829482948293</c:v>
                </c:pt>
                <c:pt idx="7">
                  <c:v>0.14651946642291983</c:v>
                </c:pt>
              </c:numCache>
            </c:numRef>
          </c:val>
          <c:extLst>
            <c:ext xmlns:c16="http://schemas.microsoft.com/office/drawing/2014/chart" uri="{C3380CC4-5D6E-409C-BE32-E72D297353CC}">
              <c16:uniqueId val="{00000000-FA62-4697-8B61-F2772E37151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N=8</c:v>
                </c:pt>
                <c:pt idx="1">
                  <c:v>Confinement, total N=31</c:v>
                </c:pt>
                <c:pt idx="2">
                  <c:v>Delinquent Findings, total N=433</c:v>
                </c:pt>
                <c:pt idx="3">
                  <c:v>Petitions, total N=1182</c:v>
                </c:pt>
                <c:pt idx="4">
                  <c:v>Detentions, total N=752</c:v>
                </c:pt>
                <c:pt idx="5">
                  <c:v>Referrals, total N=1948</c:v>
                </c:pt>
                <c:pt idx="6">
                  <c:v>Arrests, total N=909</c:v>
                </c:pt>
                <c:pt idx="7">
                  <c:v>Population, total N=70018</c:v>
                </c:pt>
              </c:strCache>
            </c:strRef>
          </c:cat>
          <c:val>
            <c:numRef>
              <c:f>'Stacked 100%'!$C$7:$C$14</c:f>
              <c:numCache>
                <c:formatCode>0%</c:formatCode>
                <c:ptCount val="8"/>
                <c:pt idx="0">
                  <c:v>0.25</c:v>
                </c:pt>
                <c:pt idx="1">
                  <c:v>3.2258064516129031E-2</c:v>
                </c:pt>
                <c:pt idx="2">
                  <c:v>9.9307159353348731E-2</c:v>
                </c:pt>
                <c:pt idx="3">
                  <c:v>7.5296108291032143E-2</c:v>
                </c:pt>
                <c:pt idx="4">
                  <c:v>0.11835106382978723</c:v>
                </c:pt>
                <c:pt idx="5">
                  <c:v>7.1355236139630393E-2</c:v>
                </c:pt>
                <c:pt idx="6">
                  <c:v>6.3806380638063806E-2</c:v>
                </c:pt>
                <c:pt idx="7">
                  <c:v>0.18213887857408095</c:v>
                </c:pt>
              </c:numCache>
            </c:numRef>
          </c:val>
          <c:extLst>
            <c:ext xmlns:c16="http://schemas.microsoft.com/office/drawing/2014/chart" uri="{C3380CC4-5D6E-409C-BE32-E72D297353CC}">
              <c16:uniqueId val="{00000001-FA62-4697-8B61-F2772E37151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N=8</c:v>
                </c:pt>
                <c:pt idx="1">
                  <c:v>Confinement, total N=31</c:v>
                </c:pt>
                <c:pt idx="2">
                  <c:v>Delinquent Findings, total N=433</c:v>
                </c:pt>
                <c:pt idx="3">
                  <c:v>Petitions, total N=1182</c:v>
                </c:pt>
                <c:pt idx="4">
                  <c:v>Detentions, total N=752</c:v>
                </c:pt>
                <c:pt idx="5">
                  <c:v>Referrals, total N=1948</c:v>
                </c:pt>
                <c:pt idx="6">
                  <c:v>Arrests, total N=909</c:v>
                </c:pt>
                <c:pt idx="7">
                  <c:v>Population, total N=70018</c:v>
                </c:pt>
              </c:strCache>
            </c:strRef>
          </c:cat>
          <c:val>
            <c:numRef>
              <c:f>'Stacked 100%'!$H$7:$H$14</c:f>
              <c:numCache>
                <c:formatCode>0%</c:formatCode>
                <c:ptCount val="8"/>
                <c:pt idx="0">
                  <c:v>0</c:v>
                </c:pt>
                <c:pt idx="1">
                  <c:v>0</c:v>
                </c:pt>
                <c:pt idx="2">
                  <c:v>2.1334584962317787E-5</c:v>
                </c:pt>
                <c:pt idx="3">
                  <c:v>4.5808389233883317E-5</c:v>
                </c:pt>
                <c:pt idx="4">
                  <c:v>1.6799173834314171E-4</c:v>
                </c:pt>
                <c:pt idx="5">
                  <c:v>2.0818488082337912E-5</c:v>
                </c:pt>
                <c:pt idx="6">
                  <c:v>7.2614522178290441E-6</c:v>
                </c:pt>
                <c:pt idx="7">
                  <c:v>6.5496923781850285E-7</c:v>
                </c:pt>
              </c:numCache>
            </c:numRef>
          </c:val>
          <c:extLst>
            <c:ext xmlns:c16="http://schemas.microsoft.com/office/drawing/2014/chart" uri="{C3380CC4-5D6E-409C-BE32-E72D297353CC}">
              <c16:uniqueId val="{00000002-FA62-4697-8B61-F2772E37151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N=8</c:v>
                </c:pt>
                <c:pt idx="1">
                  <c:v>Confinement, total N=31</c:v>
                </c:pt>
                <c:pt idx="2">
                  <c:v>Delinquent Findings, total N=433</c:v>
                </c:pt>
                <c:pt idx="3">
                  <c:v>Petitions, total N=1182</c:v>
                </c:pt>
                <c:pt idx="4">
                  <c:v>Detentions, total N=752</c:v>
                </c:pt>
                <c:pt idx="5">
                  <c:v>Referrals, total N=1948</c:v>
                </c:pt>
                <c:pt idx="6">
                  <c:v>Arrests, total N=909</c:v>
                </c:pt>
                <c:pt idx="7">
                  <c:v>Population, total N=70018</c:v>
                </c:pt>
              </c:strCache>
            </c:strRef>
          </c:cat>
          <c:val>
            <c:numRef>
              <c:f>'Stacked 100%'!$I$7:$I$14</c:f>
              <c:numCache>
                <c:formatCode>0%</c:formatCode>
                <c:ptCount val="8"/>
                <c:pt idx="0">
                  <c:v>0</c:v>
                </c:pt>
                <c:pt idx="1">
                  <c:v>0.35483870967741937</c:v>
                </c:pt>
                <c:pt idx="2">
                  <c:v>0.4110854503464203</c:v>
                </c:pt>
                <c:pt idx="3">
                  <c:v>0.3976311336717428</c:v>
                </c:pt>
                <c:pt idx="4">
                  <c:v>0.24202127659574468</c:v>
                </c:pt>
                <c:pt idx="5">
                  <c:v>0.46252566735112938</c:v>
                </c:pt>
                <c:pt idx="6">
                  <c:v>0.41474147414741475</c:v>
                </c:pt>
                <c:pt idx="7">
                  <c:v>0.62548201890942334</c:v>
                </c:pt>
              </c:numCache>
            </c:numRef>
          </c:val>
          <c:extLst>
            <c:ext xmlns:c16="http://schemas.microsoft.com/office/drawing/2014/chart" uri="{C3380CC4-5D6E-409C-BE32-E72D297353CC}">
              <c16:uniqueId val="{00000003-FA62-4697-8B61-F2772E37151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N=8</c:v>
                </c:pt>
                <c:pt idx="1">
                  <c:v>Confinement, total N=31</c:v>
                </c:pt>
                <c:pt idx="2">
                  <c:v>Delinquent Findings, total N=433</c:v>
                </c:pt>
                <c:pt idx="3">
                  <c:v>Petitions, total N=1182</c:v>
                </c:pt>
                <c:pt idx="4">
                  <c:v>Detentions, total N=752</c:v>
                </c:pt>
                <c:pt idx="5">
                  <c:v>Referrals, total N=1948</c:v>
                </c:pt>
                <c:pt idx="6">
                  <c:v>Arrests, total N=909</c:v>
                </c:pt>
                <c:pt idx="7">
                  <c:v>Population, total N=70018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A62-4697-8B61-F2772E37151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137</v>
      </c>
      <c r="B6" s="11">
        <f>SUM(C6:I6)+K6</f>
        <v>70018</v>
      </c>
      <c r="C6" s="11">
        <v>43795</v>
      </c>
      <c r="D6" s="11">
        <v>10259</v>
      </c>
      <c r="E6" s="11">
        <v>12753</v>
      </c>
      <c r="F6" s="11">
        <v>2904</v>
      </c>
      <c r="G6" s="11"/>
      <c r="H6" s="11">
        <v>307</v>
      </c>
      <c r="I6" s="11"/>
      <c r="J6" s="91">
        <f>SUM(D6:I6)</f>
        <v>26223</v>
      </c>
      <c r="K6" s="11"/>
    </row>
    <row r="7" spans="1:11" ht="15.75" customHeight="1" thickBot="1">
      <c r="A7" s="10" t="s">
        <v>8</v>
      </c>
      <c r="B7" s="11">
        <f t="shared" ref="B7:B15" si="0">SUM(C7:I7)+K7</f>
        <v>909</v>
      </c>
      <c r="C7" s="11">
        <v>377</v>
      </c>
      <c r="D7" s="11">
        <v>439</v>
      </c>
      <c r="E7" s="11">
        <v>58</v>
      </c>
      <c r="F7" s="11">
        <v>3</v>
      </c>
      <c r="G7" s="11">
        <v>1</v>
      </c>
      <c r="H7" s="11">
        <v>2</v>
      </c>
      <c r="I7" s="11"/>
      <c r="J7" s="91">
        <f t="shared" ref="J7:J15" si="1">SUM(D7:I7)</f>
        <v>503</v>
      </c>
      <c r="K7" s="92">
        <v>29</v>
      </c>
    </row>
    <row r="8" spans="1:11" ht="15.75" customHeight="1" thickBot="1">
      <c r="A8" s="10" t="s">
        <v>9</v>
      </c>
      <c r="B8" s="11">
        <f t="shared" si="0"/>
        <v>1948</v>
      </c>
      <c r="C8" s="11">
        <v>901</v>
      </c>
      <c r="D8" s="11">
        <v>810</v>
      </c>
      <c r="E8" s="11">
        <v>139</v>
      </c>
      <c r="F8" s="11">
        <v>15</v>
      </c>
      <c r="G8" s="11"/>
      <c r="H8" s="11"/>
      <c r="I8" s="11">
        <v>64</v>
      </c>
      <c r="J8" s="91">
        <f t="shared" si="1"/>
        <v>1028</v>
      </c>
      <c r="K8" s="92">
        <v>19</v>
      </c>
    </row>
    <row r="9" spans="1:11" ht="15.75" customHeight="1" thickBot="1">
      <c r="A9" s="10" t="s">
        <v>10</v>
      </c>
      <c r="B9" s="11">
        <f t="shared" si="0"/>
        <v>630</v>
      </c>
      <c r="C9" s="11">
        <v>352</v>
      </c>
      <c r="D9" s="11">
        <v>203</v>
      </c>
      <c r="E9" s="11">
        <v>43</v>
      </c>
      <c r="F9" s="11">
        <v>4</v>
      </c>
      <c r="G9" s="11"/>
      <c r="H9" s="11">
        <v>2</v>
      </c>
      <c r="I9" s="11">
        <v>22</v>
      </c>
      <c r="J9" s="91">
        <f t="shared" si="1"/>
        <v>274</v>
      </c>
      <c r="K9" s="92">
        <v>4</v>
      </c>
    </row>
    <row r="10" spans="1:11" ht="15.75" customHeight="1" thickBot="1">
      <c r="A10" s="10" t="s">
        <v>11</v>
      </c>
      <c r="B10" s="11">
        <f t="shared" si="0"/>
        <v>752</v>
      </c>
      <c r="C10" s="11">
        <v>182</v>
      </c>
      <c r="D10" s="11">
        <v>385</v>
      </c>
      <c r="E10" s="11">
        <v>89</v>
      </c>
      <c r="F10" s="11">
        <v>3</v>
      </c>
      <c r="G10" s="11"/>
      <c r="H10" s="11">
        <v>1</v>
      </c>
      <c r="I10" s="11">
        <v>91</v>
      </c>
      <c r="J10" s="91">
        <f t="shared" si="1"/>
        <v>569</v>
      </c>
      <c r="K10" s="92">
        <v>1</v>
      </c>
    </row>
    <row r="11" spans="1:11" ht="15.75" customHeight="1" thickBot="1">
      <c r="A11" s="10" t="s">
        <v>12</v>
      </c>
      <c r="B11" s="11">
        <f t="shared" si="0"/>
        <v>1182</v>
      </c>
      <c r="C11" s="11">
        <v>470</v>
      </c>
      <c r="D11" s="11">
        <v>557</v>
      </c>
      <c r="E11" s="11">
        <v>89</v>
      </c>
      <c r="F11" s="11">
        <v>8</v>
      </c>
      <c r="G11" s="11"/>
      <c r="H11" s="11">
        <v>5</v>
      </c>
      <c r="I11" s="11">
        <v>51</v>
      </c>
      <c r="J11" s="91">
        <f t="shared" si="1"/>
        <v>710</v>
      </c>
      <c r="K11" s="92">
        <v>2</v>
      </c>
    </row>
    <row r="12" spans="1:11" ht="15.75" customHeight="1" thickBot="1">
      <c r="A12" s="10" t="s">
        <v>13</v>
      </c>
      <c r="B12" s="11">
        <f t="shared" si="0"/>
        <v>433</v>
      </c>
      <c r="C12" s="11">
        <v>178</v>
      </c>
      <c r="D12" s="11">
        <v>190</v>
      </c>
      <c r="E12" s="11">
        <v>43</v>
      </c>
      <c r="F12" s="11">
        <v>2</v>
      </c>
      <c r="G12" s="11"/>
      <c r="H12" s="11">
        <v>2</v>
      </c>
      <c r="I12" s="11"/>
      <c r="J12" s="91">
        <f t="shared" si="1"/>
        <v>237</v>
      </c>
      <c r="K12" s="92">
        <v>18</v>
      </c>
    </row>
    <row r="13" spans="1:11" ht="15.75" customHeight="1" thickBot="1">
      <c r="A13" s="10" t="s">
        <v>125</v>
      </c>
      <c r="B13" s="11">
        <f t="shared" si="0"/>
        <v>378</v>
      </c>
      <c r="C13" s="11">
        <v>157</v>
      </c>
      <c r="D13" s="11">
        <v>166</v>
      </c>
      <c r="E13" s="11">
        <v>35</v>
      </c>
      <c r="F13" s="11">
        <v>2</v>
      </c>
      <c r="G13" s="11"/>
      <c r="H13" s="11">
        <v>2</v>
      </c>
      <c r="I13" s="11"/>
      <c r="J13" s="91">
        <f t="shared" si="1"/>
        <v>205</v>
      </c>
      <c r="K13" s="92">
        <v>16</v>
      </c>
    </row>
    <row r="14" spans="1:11" ht="26.25" customHeight="1" thickBot="1">
      <c r="A14" s="10" t="s">
        <v>115</v>
      </c>
      <c r="B14" s="11">
        <f t="shared" si="0"/>
        <v>31</v>
      </c>
      <c r="C14" s="11">
        <v>11</v>
      </c>
      <c r="D14" s="11">
        <v>18</v>
      </c>
      <c r="E14" s="11">
        <v>1</v>
      </c>
      <c r="F14" s="11"/>
      <c r="G14" s="11"/>
      <c r="H14" s="11"/>
      <c r="I14" s="11"/>
      <c r="J14" s="91">
        <f t="shared" si="1"/>
        <v>19</v>
      </c>
      <c r="K14" s="92">
        <v>1</v>
      </c>
    </row>
    <row r="15" spans="1:11" ht="15.75" customHeight="1" thickBot="1">
      <c r="A15" s="10" t="s">
        <v>16</v>
      </c>
      <c r="B15" s="11">
        <f t="shared" si="0"/>
        <v>8</v>
      </c>
      <c r="C15" s="11"/>
      <c r="D15" s="11">
        <v>6</v>
      </c>
      <c r="E15" s="11">
        <v>2</v>
      </c>
      <c r="F15" s="11"/>
      <c r="G15" s="11"/>
      <c r="H15" s="11"/>
      <c r="I15" s="11"/>
      <c r="J15" s="91">
        <f t="shared" si="1"/>
        <v>8</v>
      </c>
      <c r="K15" s="11"/>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129</v>
      </c>
      <c r="B20" s="169"/>
      <c r="C20" s="8"/>
      <c r="D20" s="169" t="s">
        <v>130</v>
      </c>
      <c r="E20" s="169"/>
      <c r="F20" s="169"/>
      <c r="G20" s="169"/>
      <c r="H20" s="169"/>
      <c r="I20" s="169"/>
    </row>
    <row r="21" spans="1:9" ht="15" customHeight="1">
      <c r="A21" s="169" t="s">
        <v>131</v>
      </c>
      <c r="B21" s="169"/>
      <c r="C21" s="8"/>
      <c r="D21" s="169" t="s">
        <v>132</v>
      </c>
      <c r="E21" s="169"/>
      <c r="F21" s="169"/>
      <c r="G21" s="169"/>
      <c r="H21" s="169"/>
      <c r="I21" s="169"/>
    </row>
    <row r="22" spans="1:9" ht="15" customHeight="1">
      <c r="A22" s="169" t="s">
        <v>133</v>
      </c>
      <c r="B22" s="169"/>
      <c r="C22" s="8"/>
      <c r="D22" s="169" t="s">
        <v>134</v>
      </c>
      <c r="E22" s="169"/>
      <c r="F22" s="169"/>
      <c r="G22" s="169"/>
      <c r="H22" s="169"/>
      <c r="I22" s="169"/>
    </row>
    <row r="23" spans="1:9" ht="15" customHeight="1">
      <c r="A23" s="169" t="s">
        <v>135</v>
      </c>
      <c r="B23" s="169"/>
      <c r="C23" s="8"/>
      <c r="D23" s="169" t="s">
        <v>136</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43795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377</v>
      </c>
      <c r="D7" s="34">
        <f>IF((AND(C66&gt;0,C7&gt;0)),(C7/C66),0)</f>
        <v>8.6082886174220796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377</v>
      </c>
      <c r="Q7" s="42">
        <f>C6-C7</f>
        <v>43418</v>
      </c>
      <c r="R7" s="42">
        <f t="shared" ref="R7:R15" si="5">SUM(N7:Q7)</f>
        <v>43795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901</v>
      </c>
      <c r="D8" s="34">
        <f>IF((AND(C67&gt;0,C8&gt;0)),(C8/C67),0)</f>
        <v>238.9920424403183</v>
      </c>
      <c r="E8" s="33">
        <f>'Data Entry'!I8</f>
        <v>64</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64</v>
      </c>
      <c r="O8" s="42">
        <f>((D67*L67)-E8)+0.05</f>
        <v>-63.95</v>
      </c>
      <c r="P8" s="42">
        <f t="shared" si="4"/>
        <v>901</v>
      </c>
      <c r="Q8" s="42">
        <f>(C$67*L67)-C8</f>
        <v>-524</v>
      </c>
      <c r="R8" s="42">
        <f t="shared" si="5"/>
        <v>377.04999999999995</v>
      </c>
      <c r="S8" s="30">
        <f t="shared" si="6"/>
        <v>218684656648.87769</v>
      </c>
      <c r="T8" s="30">
        <f t="shared" si="7"/>
        <v>-10694957.487499394</v>
      </c>
      <c r="U8" s="31">
        <f t="shared" si="8"/>
        <v>-20447.454504095342</v>
      </c>
    </row>
    <row r="9" spans="2:21" ht="18" customHeight="1">
      <c r="B9" s="32" t="str">
        <f>'Data Entry'!A9</f>
        <v xml:space="preserve">4. Cases Diverted </v>
      </c>
      <c r="C9" s="33">
        <f>'Data Entry'!C9</f>
        <v>352</v>
      </c>
      <c r="D9" s="34">
        <f>IF((AND(C68&gt;0,C9&gt;0)),((C9/C68)),0)</f>
        <v>39.067702552719204</v>
      </c>
      <c r="E9" s="33">
        <f>'Data Entry'!I9</f>
        <v>22</v>
      </c>
      <c r="F9" s="34">
        <f>IF((AND($E$9&gt;0,$D$68&gt;0)),(($E$9/$D$68)),0)</f>
        <v>34.375</v>
      </c>
      <c r="G9" s="39" t="str">
        <f t="shared" si="0"/>
        <v>*</v>
      </c>
      <c r="H9" s="40"/>
      <c r="I9" s="41"/>
      <c r="J9" s="40">
        <f>IF((ABS($U9)&gt;Defaults!D$7),1,2)</f>
        <v>2</v>
      </c>
      <c r="K9" s="39">
        <f>IF((AND(N9&gt;Defaults!B$12,(N9+O9)&gt;Defaults!B$13, P9 &gt; Defaults!B$12, (P9+Q9) &gt; Defaults!B$13)),1,20)</f>
        <v>1</v>
      </c>
      <c r="L9" s="1">
        <f t="shared" si="1"/>
        <v>101</v>
      </c>
      <c r="M9" s="1" t="b">
        <f t="shared" si="2"/>
        <v>1</v>
      </c>
      <c r="N9" s="42">
        <f t="shared" si="3"/>
        <v>22</v>
      </c>
      <c r="O9" s="42">
        <f>(D$68*L68)-E9</f>
        <v>42</v>
      </c>
      <c r="P9" s="42">
        <f t="shared" si="4"/>
        <v>352</v>
      </c>
      <c r="Q9" s="42">
        <f>(C$68*L68)-C9</f>
        <v>549</v>
      </c>
      <c r="R9" s="42">
        <f t="shared" si="5"/>
        <v>965</v>
      </c>
      <c r="S9" s="30">
        <f t="shared" si="6"/>
        <v>7066150740</v>
      </c>
      <c r="T9" s="30">
        <f t="shared" si="7"/>
        <v>12745704576</v>
      </c>
      <c r="U9" s="31">
        <f t="shared" si="8"/>
        <v>0.55439467452473923</v>
      </c>
    </row>
    <row r="10" spans="2:21" ht="18" customHeight="1">
      <c r="B10" s="32" t="str">
        <f>'Data Entry'!A10</f>
        <v>5. Cases Involving Secure Detention</v>
      </c>
      <c r="C10" s="33">
        <f>'Data Entry'!C10</f>
        <v>182</v>
      </c>
      <c r="D10" s="34">
        <f>IF(((AND(C68&gt;0,C10&gt;0))),(C10/(C68)),0)</f>
        <v>20.199778024417313</v>
      </c>
      <c r="E10" s="33">
        <f>'Data Entry'!I10</f>
        <v>91</v>
      </c>
      <c r="F10" s="34">
        <f>IF(((AND($E$10&gt;0,$D$68&gt;0))),($E$10/($D$68)),0)</f>
        <v>142.1875</v>
      </c>
      <c r="G10" s="39" t="str">
        <f t="shared" si="0"/>
        <v>*</v>
      </c>
      <c r="H10" s="40"/>
      <c r="I10" s="41"/>
      <c r="J10" s="40">
        <f>IF((ABS($U10)&gt;Defaults!D$7),1,2)</f>
        <v>1</v>
      </c>
      <c r="K10" s="39">
        <f>IF((AND(N10&gt;Defaults!B$12,(N10+O10)&gt;Defaults!B$13, P10 &gt; Defaults!B$12, (P10+Q10) &gt; Defaults!B$13)),1,20)</f>
        <v>1</v>
      </c>
      <c r="L10" s="1">
        <f t="shared" si="1"/>
        <v>100</v>
      </c>
      <c r="M10" s="1" t="b">
        <f t="shared" si="2"/>
        <v>1</v>
      </c>
      <c r="N10" s="42">
        <f t="shared" si="3"/>
        <v>91</v>
      </c>
      <c r="O10" s="42">
        <f>(D$68*L68)-E10</f>
        <v>-27</v>
      </c>
      <c r="P10" s="42">
        <f t="shared" si="4"/>
        <v>182</v>
      </c>
      <c r="Q10" s="42">
        <f>(C$68*L68)-C10</f>
        <v>719</v>
      </c>
      <c r="R10" s="42">
        <f t="shared" si="5"/>
        <v>965</v>
      </c>
      <c r="S10" s="30">
        <f t="shared" si="6"/>
        <v>4774952831285</v>
      </c>
      <c r="T10" s="30">
        <f t="shared" si="7"/>
        <v>10893652224</v>
      </c>
      <c r="U10" s="31">
        <f t="shared" si="8"/>
        <v>438.32433173928723</v>
      </c>
    </row>
    <row r="11" spans="2:21" ht="18" customHeight="1">
      <c r="B11" s="32" t="str">
        <f>'Data Entry'!A11</f>
        <v>6. Cases Petitioned (Charge Filed)</v>
      </c>
      <c r="C11" s="33">
        <f>'Data Entry'!C11</f>
        <v>470</v>
      </c>
      <c r="D11" s="34">
        <f>IF(((AND(C68&gt;0,C11&gt;0))),(C11/(C68)),0)</f>
        <v>52.164261931187568</v>
      </c>
      <c r="E11" s="33">
        <f>'Data Entry'!I11</f>
        <v>51</v>
      </c>
      <c r="F11" s="34">
        <f>IF(((AND($E$11&gt;0,$D$68&gt;0))),($E$11/($D$68)),0)</f>
        <v>79.6875</v>
      </c>
      <c r="G11" s="39" t="str">
        <f t="shared" si="0"/>
        <v>*</v>
      </c>
      <c r="H11" s="40"/>
      <c r="I11" s="41"/>
      <c r="J11" s="40">
        <f>IF((ABS($U11)&gt;Defaults!D$7),1,2)</f>
        <v>1</v>
      </c>
      <c r="K11" s="39">
        <f>IF((AND(N11&gt;Defaults!B$12,(N11+O11)&gt;Defaults!B$13, P11 &gt; Defaults!B$12, (P11+Q11) &gt; Defaults!B$13)),1,20)</f>
        <v>1</v>
      </c>
      <c r="L11" s="1">
        <f t="shared" si="1"/>
        <v>100</v>
      </c>
      <c r="M11" s="1" t="b">
        <f t="shared" si="2"/>
        <v>1</v>
      </c>
      <c r="N11" s="42">
        <f t="shared" si="3"/>
        <v>51</v>
      </c>
      <c r="O11" s="42">
        <f>(D$68*L68)-E11</f>
        <v>13</v>
      </c>
      <c r="P11" s="42">
        <f t="shared" si="4"/>
        <v>470</v>
      </c>
      <c r="Q11" s="42">
        <f>(C$68*L68)-C11</f>
        <v>431</v>
      </c>
      <c r="R11" s="42">
        <f t="shared" si="5"/>
        <v>965</v>
      </c>
      <c r="S11" s="30">
        <f t="shared" si="6"/>
        <v>243072538565</v>
      </c>
      <c r="T11" s="30">
        <f t="shared" si="7"/>
        <v>13339067136</v>
      </c>
      <c r="U11" s="31">
        <f t="shared" si="8"/>
        <v>18.222604031205918</v>
      </c>
    </row>
    <row r="12" spans="2:21" ht="18" customHeight="1">
      <c r="B12" s="32" t="str">
        <f>'Data Entry'!A12</f>
        <v>7. Cases Resulting in Delinquent Findings</v>
      </c>
      <c r="C12" s="33">
        <f>'Data Entry'!C12</f>
        <v>178</v>
      </c>
      <c r="D12" s="34">
        <f>IF(((AND(C69&gt;0,C12&gt;0))),(C12/(C69)),0)</f>
        <v>37.872340425531917</v>
      </c>
      <c r="E12" s="33">
        <f>'Data Entry'!I12</f>
        <v>0</v>
      </c>
      <c r="F12" s="34">
        <f>IF(((AND($D$69&gt;0,$E$12&gt;0))),(E12/(D69)),0)</f>
        <v>0</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0</v>
      </c>
      <c r="O12" s="42">
        <f>(D69*L69)-E12</f>
        <v>51</v>
      </c>
      <c r="P12" s="42">
        <f t="shared" si="4"/>
        <v>178</v>
      </c>
      <c r="Q12" s="42">
        <f>(C69*L69)-C12</f>
        <v>292</v>
      </c>
      <c r="R12" s="42">
        <f t="shared" si="5"/>
        <v>521</v>
      </c>
      <c r="S12" s="30">
        <f t="shared" si="6"/>
        <v>42935653764</v>
      </c>
      <c r="T12" s="30">
        <f t="shared" si="7"/>
        <v>1463464380</v>
      </c>
      <c r="U12" s="31">
        <f t="shared" si="8"/>
        <v>29.338366106320947</v>
      </c>
    </row>
    <row r="13" spans="2:21" ht="18" customHeight="1">
      <c r="B13" s="32" t="str">
        <f>'Data Entry'!A13</f>
        <v>8. Cases Resulting in Probation Placement</v>
      </c>
      <c r="C13" s="33">
        <f>'Data Entry'!C13</f>
        <v>157</v>
      </c>
      <c r="D13" s="34">
        <f>IF(((AND(C70&gt;0,C13&gt;0))),(C13/(C70)),0)</f>
        <v>88.202247191011239</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157</v>
      </c>
      <c r="Q13" s="42">
        <f>(C70*L70)-C13</f>
        <v>21</v>
      </c>
      <c r="R13" s="42">
        <f t="shared" si="5"/>
        <v>178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6.179775280898876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11</v>
      </c>
      <c r="Q14" s="42">
        <f>(C70*L70)-C14</f>
        <v>167</v>
      </c>
      <c r="R14" s="42">
        <f t="shared" si="5"/>
        <v>178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51</v>
      </c>
      <c r="P15" s="42">
        <f t="shared" si="4"/>
        <v>0</v>
      </c>
      <c r="Q15" s="42">
        <f>(C69*L69)-C15</f>
        <v>470</v>
      </c>
      <c r="R15" s="42">
        <f t="shared" si="5"/>
        <v>521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43.795000000000002</v>
      </c>
      <c r="D42" s="56">
        <f>E6/1000</f>
        <v>0</v>
      </c>
      <c r="E42" s="56">
        <f>MAX(C42:D42)</f>
        <v>43.795000000000002</v>
      </c>
      <c r="G42" s="1" t="str">
        <f>B42</f>
        <v>per 1000 youth</v>
      </c>
      <c r="L42" s="57">
        <v>1000</v>
      </c>
      <c r="M42" s="57"/>
      <c r="R42" s="49"/>
    </row>
    <row r="43" spans="2:18" ht="15" hidden="1" customHeight="1">
      <c r="B43" s="49" t="s">
        <v>87</v>
      </c>
      <c r="C43" s="56">
        <f>C7/100</f>
        <v>3.77</v>
      </c>
      <c r="D43" s="56">
        <f>E7/100</f>
        <v>0</v>
      </c>
      <c r="E43" s="56">
        <f>MAX(C43:D43,0)</f>
        <v>3.77</v>
      </c>
      <c r="G43" s="1" t="str">
        <f>B43</f>
        <v>per 100 arrests</v>
      </c>
      <c r="L43" s="57">
        <v>100</v>
      </c>
      <c r="M43" s="57"/>
      <c r="R43" s="49"/>
    </row>
    <row r="44" spans="2:18" ht="15" hidden="1" customHeight="1">
      <c r="B44" s="49" t="s">
        <v>88</v>
      </c>
      <c r="C44" s="56">
        <f>C8/100</f>
        <v>9.01</v>
      </c>
      <c r="D44" s="56">
        <f>E8/100</f>
        <v>0.64</v>
      </c>
      <c r="E44" s="56">
        <f>MAX(C44:D44,0)</f>
        <v>9.01</v>
      </c>
      <c r="G44" s="1" t="str">
        <f>B44</f>
        <v>per 100 referrals</v>
      </c>
      <c r="L44" s="57">
        <v>100</v>
      </c>
      <c r="M44" s="57"/>
      <c r="R44" s="49"/>
    </row>
    <row r="45" spans="2:18" ht="15" hidden="1" customHeight="1">
      <c r="B45" s="49" t="s">
        <v>89</v>
      </c>
      <c r="C45" s="49">
        <f>C11/100</f>
        <v>4.7</v>
      </c>
      <c r="D45" s="49">
        <f>E11/100</f>
        <v>0.51</v>
      </c>
      <c r="E45" s="56">
        <f>MAX(C45:D45,0)</f>
        <v>4.7</v>
      </c>
      <c r="G45" s="1" t="str">
        <f>B45</f>
        <v>per 100 youth petitioned</v>
      </c>
      <c r="L45" s="57">
        <v>100</v>
      </c>
      <c r="M45" s="57"/>
      <c r="R45" s="49"/>
    </row>
    <row r="46" spans="2:18" ht="15" hidden="1" customHeight="1">
      <c r="B46" s="49" t="s">
        <v>90</v>
      </c>
      <c r="C46" s="49">
        <f>C12/100</f>
        <v>1.78</v>
      </c>
      <c r="D46" s="49">
        <f>E12/100</f>
        <v>0</v>
      </c>
      <c r="E46" s="56">
        <f>MAX(C46:D46)</f>
        <v>1.78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43.795000000000002</v>
      </c>
      <c r="D48" s="56">
        <f>D42</f>
        <v>0</v>
      </c>
      <c r="E48" s="56">
        <f>MAX(C48:D48)</f>
        <v>43.795000000000002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3.77</v>
      </c>
      <c r="D49" s="49">
        <f t="shared" si="9"/>
        <v>0</v>
      </c>
      <c r="E49" s="49">
        <f>MAX(C49:D49)</f>
        <v>3.77</v>
      </c>
      <c r="G49" s="1" t="str">
        <f>G43</f>
        <v>per 100 arrests</v>
      </c>
      <c r="L49" s="58">
        <f>IF(($E43&gt;0),L43,L42)</f>
        <v>100</v>
      </c>
      <c r="M49" s="58"/>
      <c r="N49" s="21"/>
      <c r="O49" s="21"/>
      <c r="P49" s="21"/>
      <c r="Q49" s="21"/>
      <c r="R49" s="21"/>
    </row>
    <row r="50" spans="2:18" ht="15" hidden="1" customHeight="1">
      <c r="B50" s="49" t="str">
        <f t="shared" si="9"/>
        <v>per 100 referrals</v>
      </c>
      <c r="C50" s="49">
        <f t="shared" si="9"/>
        <v>9.01</v>
      </c>
      <c r="D50" s="49">
        <f t="shared" si="9"/>
        <v>0.64</v>
      </c>
      <c r="E50" s="49">
        <f>MAX(C50:D50)</f>
        <v>9.01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4.7</v>
      </c>
      <c r="D51" s="49">
        <f>IF(($E45&gt;0),D45,D44)</f>
        <v>0.51</v>
      </c>
      <c r="E51" s="49">
        <f>MAX(C51:D51)</f>
        <v>4.7</v>
      </c>
      <c r="G51" s="1" t="str">
        <f>G45</f>
        <v>per 100 youth petitioned</v>
      </c>
      <c r="L51" s="58">
        <f>IF(($E45&gt;0),L45,L44)</f>
        <v>100</v>
      </c>
      <c r="M51" s="58"/>
    </row>
    <row r="52" spans="2:18" ht="15" hidden="1" customHeight="1">
      <c r="B52" s="49" t="str">
        <f>IF(($E46&gt;0),B46,B45)</f>
        <v>per 100 youth found delinquent</v>
      </c>
      <c r="C52" s="49">
        <f>IF(($E46&gt;0),C46,C45)</f>
        <v>1.78</v>
      </c>
      <c r="D52" s="49">
        <f>IF(($E46&gt;0),D46,D45)</f>
        <v>0</v>
      </c>
      <c r="E52" s="56">
        <f>MAX(C52:D52)</f>
        <v>1.78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43.795000000000002</v>
      </c>
      <c r="D54" s="56">
        <f>D48</f>
        <v>0</v>
      </c>
      <c r="E54" s="56">
        <f>MAX(C54:D54)</f>
        <v>43.795000000000002</v>
      </c>
      <c r="G54" s="1" t="str">
        <f>G48</f>
        <v>per 1000 youth</v>
      </c>
      <c r="L54" s="58">
        <f>L48</f>
        <v>1000</v>
      </c>
      <c r="M54" s="58"/>
    </row>
    <row r="55" spans="2:18" ht="15" hidden="1" customHeight="1">
      <c r="B55" s="49" t="str">
        <f t="shared" ref="B55:D56" si="10">IF(($E49&gt;0),B49,B48)</f>
        <v>per 100 arrests</v>
      </c>
      <c r="C55" s="49">
        <f t="shared" si="10"/>
        <v>3.77</v>
      </c>
      <c r="D55" s="49">
        <f t="shared" si="10"/>
        <v>0</v>
      </c>
      <c r="E55" s="49">
        <f>MAX(C55:D55)</f>
        <v>3.77</v>
      </c>
      <c r="G55" s="1" t="str">
        <f>G49</f>
        <v>per 100 arrests</v>
      </c>
      <c r="L55" s="58">
        <f>IF(($E49&gt;0),L49,L48)</f>
        <v>100</v>
      </c>
      <c r="M55" s="58"/>
    </row>
    <row r="56" spans="2:18" ht="15" hidden="1" customHeight="1">
      <c r="B56" s="49" t="str">
        <f t="shared" si="10"/>
        <v>per 100 referrals</v>
      </c>
      <c r="C56" s="49">
        <f t="shared" si="10"/>
        <v>9.01</v>
      </c>
      <c r="D56" s="49">
        <f t="shared" si="10"/>
        <v>0.64</v>
      </c>
      <c r="E56" s="49">
        <f>MAX(C56:D56)</f>
        <v>9.01</v>
      </c>
      <c r="G56" s="1" t="str">
        <f>G50</f>
        <v>per 100 referrals</v>
      </c>
      <c r="L56" s="58">
        <f>IF(($E50&gt;0),L50,L49)</f>
        <v>100</v>
      </c>
      <c r="M56" s="58"/>
    </row>
    <row r="57" spans="2:18" ht="15" hidden="1" customHeight="1">
      <c r="B57" s="49" t="str">
        <f>IF(($E51&gt;0),B51,B49)</f>
        <v>per 100 youth petitioned</v>
      </c>
      <c r="C57" s="49">
        <f>IF(($E51&gt;0),C51,C50)</f>
        <v>4.7</v>
      </c>
      <c r="D57" s="49">
        <f>IF(($E51&gt;0),D51,D50)</f>
        <v>0.51</v>
      </c>
      <c r="E57" s="49">
        <f>MAX(C57:D57)</f>
        <v>4.7</v>
      </c>
      <c r="G57" s="1" t="str">
        <f>G51</f>
        <v>per 100 youth petitioned</v>
      </c>
      <c r="L57" s="58">
        <f>IF(($E51&gt;0),L51,L50)</f>
        <v>100</v>
      </c>
      <c r="M57" s="58"/>
    </row>
    <row r="58" spans="2:18" ht="15" hidden="1" customHeight="1">
      <c r="B58" s="49" t="str">
        <f>IF(($E52&gt;0),B52,B51)</f>
        <v>per 100 youth found delinquent</v>
      </c>
      <c r="C58" s="49">
        <f>IF(($E52&gt;0),C52,C51)</f>
        <v>1.78</v>
      </c>
      <c r="D58" s="49">
        <f>IF(($E52&gt;0),D52,D51)</f>
        <v>0</v>
      </c>
      <c r="E58" s="56">
        <f>MAX(C58:D58)</f>
        <v>1.78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43.795000000000002</v>
      </c>
      <c r="D60" s="56">
        <f>D54</f>
        <v>0</v>
      </c>
      <c r="E60" s="56">
        <f>MAX(C60:D60)</f>
        <v>43.795000000000002</v>
      </c>
      <c r="G60" s="1" t="str">
        <f>G54</f>
        <v>per 1000 youth</v>
      </c>
      <c r="L60" s="58">
        <f>L54</f>
        <v>1000</v>
      </c>
      <c r="M60" s="58"/>
    </row>
    <row r="61" spans="2:18" ht="15" hidden="1" customHeight="1">
      <c r="B61" s="49" t="str">
        <f t="shared" ref="B61:D62" si="11">IF(($E55&gt;0),B55,B54)</f>
        <v>per 100 arrests</v>
      </c>
      <c r="C61" s="49">
        <f t="shared" si="11"/>
        <v>3.77</v>
      </c>
      <c r="D61" s="49">
        <f t="shared" si="11"/>
        <v>0</v>
      </c>
      <c r="E61" s="49">
        <f>MAX(C61:D61)</f>
        <v>3.77</v>
      </c>
      <c r="G61" s="1" t="str">
        <f>G55</f>
        <v>per 100 arrests</v>
      </c>
      <c r="L61" s="58">
        <f>IF(($E55&gt;0),L55,L54)</f>
        <v>100</v>
      </c>
      <c r="M61" s="58"/>
    </row>
    <row r="62" spans="2:18" ht="15" hidden="1" customHeight="1">
      <c r="B62" s="49" t="str">
        <f t="shared" si="11"/>
        <v>per 100 referrals</v>
      </c>
      <c r="C62" s="49">
        <f t="shared" si="11"/>
        <v>9.01</v>
      </c>
      <c r="D62" s="49">
        <f t="shared" si="11"/>
        <v>0.64</v>
      </c>
      <c r="E62" s="49">
        <f>MAX(C62:D62)</f>
        <v>9.01</v>
      </c>
      <c r="G62" s="1" t="str">
        <f>G56</f>
        <v>per 100 referrals</v>
      </c>
      <c r="L62" s="58">
        <f>IF(($E56&gt;0),L56,L55)</f>
        <v>100</v>
      </c>
      <c r="M62" s="58"/>
    </row>
    <row r="63" spans="2:18" ht="15" hidden="1" customHeight="1">
      <c r="B63" s="49" t="str">
        <f>IF(($E57&gt;0),B57,B55)</f>
        <v>per 100 youth petitioned</v>
      </c>
      <c r="C63" s="49">
        <f>IF(($E57&gt;0),C57,C56)</f>
        <v>4.7</v>
      </c>
      <c r="D63" s="49">
        <f>IF(($E57&gt;0),D57,D56)</f>
        <v>0.51</v>
      </c>
      <c r="E63" s="49">
        <f>MAX(C63:D63)</f>
        <v>4.7</v>
      </c>
      <c r="G63" s="1" t="str">
        <f>G57</f>
        <v>per 100 youth petitioned</v>
      </c>
      <c r="L63" s="58">
        <f>IF(($E57&gt;0),L57,L56)</f>
        <v>100</v>
      </c>
      <c r="M63" s="58"/>
    </row>
    <row r="64" spans="2:18" ht="15" hidden="1" customHeight="1">
      <c r="B64" s="49" t="str">
        <f>IF(($E58&gt;0),B58,B57)</f>
        <v>per 100 youth found delinquent</v>
      </c>
      <c r="C64" s="49">
        <f>IF(($E58&gt;0),C58,C57)</f>
        <v>1.78</v>
      </c>
      <c r="D64" s="49">
        <f>IF(($E58&gt;0),D58,D57)</f>
        <v>0</v>
      </c>
      <c r="E64" s="56">
        <f>MAX(C64:D64)</f>
        <v>1.78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43.795000000000002</v>
      </c>
      <c r="D66" s="56">
        <f>D60</f>
        <v>0</v>
      </c>
      <c r="E66" s="56">
        <f>MAX(C66:D66)</f>
        <v>43.795000000000002</v>
      </c>
      <c r="G66" s="1" t="str">
        <f>G60</f>
        <v>per 1000 youth</v>
      </c>
      <c r="L66" s="58">
        <f>L60</f>
        <v>1000</v>
      </c>
      <c r="M66" s="58">
        <f>IF((B66=G66),1,2)</f>
        <v>1</v>
      </c>
    </row>
    <row r="67" spans="2:13" ht="15" hidden="1" customHeight="1">
      <c r="B67" s="49" t="str">
        <f t="shared" ref="B67:D68" si="12">IF(($E61&gt;0),B61,B60)</f>
        <v>per 100 arrests</v>
      </c>
      <c r="C67" s="49">
        <f t="shared" si="12"/>
        <v>3.77</v>
      </c>
      <c r="D67" s="49">
        <f t="shared" si="12"/>
        <v>0</v>
      </c>
      <c r="E67" s="49">
        <f>MAX(C67:D67)</f>
        <v>3.77</v>
      </c>
      <c r="G67" s="1" t="str">
        <f>G61</f>
        <v>per 100 arrests</v>
      </c>
      <c r="L67" s="58">
        <f>IF(($E61&gt;0),L61,L60)</f>
        <v>100</v>
      </c>
      <c r="M67" s="58">
        <f>IF((B67=G67),1,2)</f>
        <v>1</v>
      </c>
    </row>
    <row r="68" spans="2:13" ht="15" hidden="1" customHeight="1">
      <c r="B68" s="49" t="str">
        <f t="shared" si="12"/>
        <v>per 100 referrals</v>
      </c>
      <c r="C68" s="49">
        <f t="shared" si="12"/>
        <v>9.01</v>
      </c>
      <c r="D68" s="49">
        <f t="shared" si="12"/>
        <v>0.64</v>
      </c>
      <c r="E68" s="49">
        <f>MAX(C68:D68)</f>
        <v>9.01</v>
      </c>
      <c r="G68" s="1" t="str">
        <f>G62</f>
        <v>per 100 referrals</v>
      </c>
      <c r="L68" s="58">
        <f>IF(($E62&gt;0),L62,L61)</f>
        <v>100</v>
      </c>
      <c r="M68" s="58">
        <f>IF((B68=G68),1,2)</f>
        <v>1</v>
      </c>
    </row>
    <row r="69" spans="2:13" ht="15" hidden="1" customHeight="1">
      <c r="B69" s="49" t="str">
        <f>IF(($E63&gt;0),B63,B61)</f>
        <v>per 100 youth petitioned</v>
      </c>
      <c r="C69" s="49">
        <f>IF(($E63&gt;0),C63,C62)</f>
        <v>4.7</v>
      </c>
      <c r="D69" s="49">
        <f>IF(($E63&gt;0),D63,D62)</f>
        <v>0.51</v>
      </c>
      <c r="E69" s="49">
        <f>MAX(C69:D69)</f>
        <v>4.7</v>
      </c>
      <c r="G69" s="1" t="str">
        <f>G63</f>
        <v>per 100 youth petitioned</v>
      </c>
      <c r="L69" s="58">
        <f>IF(($E63&gt;0),L63,L62)</f>
        <v>100</v>
      </c>
      <c r="M69" s="58">
        <f>IF((B69=G69),1,2)</f>
        <v>1</v>
      </c>
    </row>
    <row r="70" spans="2:13" ht="15" hidden="1" customHeight="1">
      <c r="B70" s="49" t="str">
        <f>IF(($E64&gt;0),B64,B63)</f>
        <v>per 100 youth found delinquent</v>
      </c>
      <c r="C70" s="49">
        <f>IF(($E64&gt;0),C64,C63)</f>
        <v>1.78</v>
      </c>
      <c r="D70" s="49">
        <f>IF(($E64&gt;0),D64,D63)</f>
        <v>0</v>
      </c>
      <c r="E70" s="56">
        <f>MAX(C70:D70)</f>
        <v>1.78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43795</v>
      </c>
      <c r="D6" s="34"/>
      <c r="E6" s="33">
        <f>'Data Entry'!J6</f>
        <v>26223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377</v>
      </c>
      <c r="D7" s="34">
        <f>IF((AND(C66&gt;0,C7&gt;0)),(C7/C66),0)</f>
        <v>8.6082886174220796</v>
      </c>
      <c r="E7" s="33">
        <f>'Data Entry'!J7</f>
        <v>503</v>
      </c>
      <c r="F7" s="34">
        <f>IF((AND($E$7&gt;0,$D$66&gt;0)),($E$7/$D$66),0)</f>
        <v>19.181634443046182</v>
      </c>
      <c r="G7" s="39">
        <f t="shared" ref="G7:G15" si="0">IF(L$6=100,"*",IF(M7=FALSE,"--",IF(K7=20,"**",($F7/$D7))))</f>
        <v>2.2282750144116914</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503</v>
      </c>
      <c r="O7" s="42">
        <f>E6-E7</f>
        <v>25720</v>
      </c>
      <c r="P7" s="42">
        <f t="shared" ref="P7:P15" si="4">C7</f>
        <v>377</v>
      </c>
      <c r="Q7" s="42">
        <f>C6-C7</f>
        <v>43418</v>
      </c>
      <c r="R7" s="42">
        <f t="shared" ref="R7:R15" si="5">SUM(N7:Q7)</f>
        <v>70018</v>
      </c>
      <c r="S7" s="30">
        <f t="shared" ref="S7:S15" si="6">R7*((((N7*Q7)-(O7*P7))^2))</f>
        <v>1.0324009291474815E+19</v>
      </c>
      <c r="T7" s="30">
        <f t="shared" ref="T7:T15" si="7">(N7+O7)*(P7+Q7)*(N7+P7)*(O7+Q7)</f>
        <v>6.98725173276504E+16</v>
      </c>
      <c r="U7" s="31">
        <f t="shared" ref="U7:U15" si="8">IF((S7&gt;0),S7/T7,"- -")</f>
        <v>147.75493550723027</v>
      </c>
    </row>
    <row r="8" spans="2:21" ht="18" customHeight="1">
      <c r="B8" s="32" t="str">
        <f>'Data Entry'!A8</f>
        <v>3. Refer to Juvenile Court</v>
      </c>
      <c r="C8" s="33">
        <f>'Data Entry'!C8</f>
        <v>901</v>
      </c>
      <c r="D8" s="34">
        <f>IF((AND(C67&gt;0,C8&gt;0)),(C8/C67),0)</f>
        <v>238.9920424403183</v>
      </c>
      <c r="E8" s="33">
        <f>'Data Entry'!J8</f>
        <v>1028</v>
      </c>
      <c r="F8" s="34">
        <f>IF((AND($E$8&gt;0,$D$67&gt;0)),($E8/$D67),0)</f>
        <v>204.37375745526839</v>
      </c>
      <c r="G8" s="39">
        <f t="shared" si="0"/>
        <v>0.8551487964554515</v>
      </c>
      <c r="H8" s="40"/>
      <c r="I8" s="41"/>
      <c r="J8" s="40">
        <f>IF((ABS($U8)&gt;Defaults!D$7),1,2)</f>
        <v>1</v>
      </c>
      <c r="K8" s="39">
        <f>IF((AND(N8&gt;Defaults!B$12,(N8+O8)&gt;Defaults!B$13, P8 &gt; Defaults!B$12, (P8+Q8) &gt; Defaults!B$13)),1,20)</f>
        <v>1</v>
      </c>
      <c r="L8" s="1">
        <f t="shared" si="1"/>
        <v>1</v>
      </c>
      <c r="M8" s="1" t="b">
        <f t="shared" si="2"/>
        <v>1</v>
      </c>
      <c r="N8" s="42">
        <f t="shared" si="3"/>
        <v>1028</v>
      </c>
      <c r="O8" s="42">
        <f>((D67*L67)-E8)+0.05</f>
        <v>-524.95000000000005</v>
      </c>
      <c r="P8" s="42">
        <f t="shared" si="4"/>
        <v>901</v>
      </c>
      <c r="Q8" s="42">
        <f>(C$67*L67)-C8</f>
        <v>-524</v>
      </c>
      <c r="R8" s="42">
        <f t="shared" si="5"/>
        <v>880.05</v>
      </c>
      <c r="S8" s="30">
        <f t="shared" si="6"/>
        <v>3797807753489.8521</v>
      </c>
      <c r="T8" s="30">
        <f t="shared" si="7"/>
        <v>-383742162393.8175</v>
      </c>
      <c r="U8" s="31">
        <f t="shared" si="8"/>
        <v>-9.8967695647483502</v>
      </c>
    </row>
    <row r="9" spans="2:21" ht="18" customHeight="1">
      <c r="B9" s="32" t="str">
        <f>'Data Entry'!A9</f>
        <v xml:space="preserve">4. Cases Diverted </v>
      </c>
      <c r="C9" s="33">
        <f>'Data Entry'!C9</f>
        <v>352</v>
      </c>
      <c r="D9" s="34">
        <f>IF((AND(C68&gt;0,C9&gt;0)),((C9/C68)),0)</f>
        <v>39.067702552719204</v>
      </c>
      <c r="E9" s="33">
        <f>'Data Entry'!J9</f>
        <v>274</v>
      </c>
      <c r="F9" s="34">
        <f>IF((AND($E$9&gt;0,$D$68&gt;0)),(($E$9/$D$68)),0)</f>
        <v>26.653696498054476</v>
      </c>
      <c r="G9" s="39">
        <f t="shared" si="0"/>
        <v>0.68224376547576937</v>
      </c>
      <c r="H9" s="40"/>
      <c r="I9" s="41"/>
      <c r="J9" s="40">
        <f>IF((ABS($U9)&gt;Defaults!D$7),1,2)</f>
        <v>1</v>
      </c>
      <c r="K9" s="39">
        <f>IF((AND(N9&gt;Defaults!B$12,(N9+O9)&gt;Defaults!B$13, P9 &gt; Defaults!B$12, (P9+Q9) &gt; Defaults!B$13)),1,20)</f>
        <v>1</v>
      </c>
      <c r="L9" s="1">
        <f t="shared" si="1"/>
        <v>1</v>
      </c>
      <c r="M9" s="1" t="b">
        <f t="shared" si="2"/>
        <v>1</v>
      </c>
      <c r="N9" s="42">
        <f t="shared" si="3"/>
        <v>274</v>
      </c>
      <c r="O9" s="42">
        <f>(D$68*L68)-E9</f>
        <v>754</v>
      </c>
      <c r="P9" s="42">
        <f t="shared" si="4"/>
        <v>352</v>
      </c>
      <c r="Q9" s="42">
        <f>(C$68*L68)-C9</f>
        <v>549</v>
      </c>
      <c r="R9" s="42">
        <f t="shared" si="5"/>
        <v>1929</v>
      </c>
      <c r="S9" s="30">
        <f t="shared" si="6"/>
        <v>25503039564996</v>
      </c>
      <c r="T9" s="30">
        <f t="shared" si="7"/>
        <v>755503802584</v>
      </c>
      <c r="U9" s="31">
        <f t="shared" si="8"/>
        <v>33.756335147182092</v>
      </c>
    </row>
    <row r="10" spans="2:21" ht="18" customHeight="1">
      <c r="B10" s="32" t="str">
        <f>'Data Entry'!A10</f>
        <v>5. Cases Involving Secure Detention</v>
      </c>
      <c r="C10" s="33">
        <f>'Data Entry'!C10</f>
        <v>182</v>
      </c>
      <c r="D10" s="34">
        <f>IF(((AND(C68&gt;0,C10&gt;0))),(C10/(C68)),0)</f>
        <v>20.199778024417313</v>
      </c>
      <c r="E10" s="33">
        <f>'Data Entry'!J10</f>
        <v>569</v>
      </c>
      <c r="F10" s="34">
        <f>IF(((AND($E$10&gt;0,$D$68&gt;0))),($E$10/($D$68)),0)</f>
        <v>55.350194552529189</v>
      </c>
      <c r="G10" s="39">
        <f t="shared" si="0"/>
        <v>2.7401387522982859</v>
      </c>
      <c r="H10" s="40"/>
      <c r="I10" s="41"/>
      <c r="J10" s="40">
        <f>IF((ABS($U10)&gt;Defaults!D$7),1,2)</f>
        <v>1</v>
      </c>
      <c r="K10" s="39">
        <f>IF((AND(N10&gt;Defaults!B$12,(N10+O10)&gt;Defaults!B$13, P10 &gt; Defaults!B$12, (P10+Q10) &gt; Defaults!B$13)),1,20)</f>
        <v>1</v>
      </c>
      <c r="L10" s="1">
        <f t="shared" si="1"/>
        <v>1</v>
      </c>
      <c r="M10" s="1" t="b">
        <f t="shared" si="2"/>
        <v>1</v>
      </c>
      <c r="N10" s="42">
        <f t="shared" si="3"/>
        <v>569</v>
      </c>
      <c r="O10" s="42">
        <f>(D$68*L68)-E10</f>
        <v>459</v>
      </c>
      <c r="P10" s="42">
        <f t="shared" si="4"/>
        <v>182</v>
      </c>
      <c r="Q10" s="42">
        <f>(C$68*L68)-C10</f>
        <v>719</v>
      </c>
      <c r="R10" s="42">
        <f t="shared" si="5"/>
        <v>1929</v>
      </c>
      <c r="S10" s="30">
        <f t="shared" si="6"/>
        <v>204469714396641</v>
      </c>
      <c r="T10" s="30">
        <f t="shared" si="7"/>
        <v>819413534584</v>
      </c>
      <c r="U10" s="31">
        <f t="shared" si="8"/>
        <v>249.53177579675472</v>
      </c>
    </row>
    <row r="11" spans="2:21" ht="18" customHeight="1">
      <c r="B11" s="32" t="str">
        <f>'Data Entry'!A11</f>
        <v>6. Cases Petitioned (Charge Filed)</v>
      </c>
      <c r="C11" s="33">
        <f>'Data Entry'!C11</f>
        <v>470</v>
      </c>
      <c r="D11" s="34">
        <f>IF(((AND(C68&gt;0,C11&gt;0))),(C11/(C68)),0)</f>
        <v>52.164261931187568</v>
      </c>
      <c r="E11" s="33">
        <f>'Data Entry'!J11</f>
        <v>710</v>
      </c>
      <c r="F11" s="34">
        <f>IF(((AND($E$11&gt;0,$D$68&gt;0))),($E$11/($D$68)),0)</f>
        <v>69.066147859922182</v>
      </c>
      <c r="G11" s="39">
        <f t="shared" si="0"/>
        <v>1.3240127493997849</v>
      </c>
      <c r="H11" s="40"/>
      <c r="I11" s="41"/>
      <c r="J11" s="40">
        <f>IF((ABS($U11)&gt;Defaults!D$7),1,2)</f>
        <v>1</v>
      </c>
      <c r="K11" s="39">
        <f>IF((AND(N11&gt;Defaults!B$12,(N11+O11)&gt;Defaults!B$13, P11 &gt; Defaults!B$12, (P11+Q11) &gt; Defaults!B$13)),1,20)</f>
        <v>1</v>
      </c>
      <c r="L11" s="1">
        <f t="shared" si="1"/>
        <v>1</v>
      </c>
      <c r="M11" s="1" t="b">
        <f t="shared" si="2"/>
        <v>1</v>
      </c>
      <c r="N11" s="42">
        <f t="shared" si="3"/>
        <v>710</v>
      </c>
      <c r="O11" s="42">
        <f>(D$68*L68)-E11</f>
        <v>318</v>
      </c>
      <c r="P11" s="42">
        <f t="shared" si="4"/>
        <v>470</v>
      </c>
      <c r="Q11" s="42">
        <f>(C$68*L68)-C11</f>
        <v>431</v>
      </c>
      <c r="R11" s="42">
        <f t="shared" si="5"/>
        <v>1929</v>
      </c>
      <c r="S11" s="30">
        <f t="shared" si="6"/>
        <v>47275743922500</v>
      </c>
      <c r="T11" s="30">
        <f t="shared" si="7"/>
        <v>818618830960</v>
      </c>
      <c r="U11" s="31">
        <f t="shared" si="8"/>
        <v>57.750618645138431</v>
      </c>
    </row>
    <row r="12" spans="2:21" ht="18" customHeight="1">
      <c r="B12" s="32" t="str">
        <f>'Data Entry'!A12</f>
        <v>7. Cases Resulting in Delinquent Findings</v>
      </c>
      <c r="C12" s="33">
        <f>'Data Entry'!C12</f>
        <v>178</v>
      </c>
      <c r="D12" s="34">
        <f>IF(((AND(C69&gt;0,C12&gt;0))),(C12/(C69)),0)</f>
        <v>37.872340425531917</v>
      </c>
      <c r="E12" s="33">
        <f>'Data Entry'!J12</f>
        <v>237</v>
      </c>
      <c r="F12" s="34">
        <f>IF(((AND($D$69&gt;0,$E$12&gt;0))),(E12/(D69)),0)</f>
        <v>33.380281690140848</v>
      </c>
      <c r="G12" s="39">
        <f t="shared" si="0"/>
        <v>0.88138946035765153</v>
      </c>
      <c r="H12" s="40"/>
      <c r="I12" s="41"/>
      <c r="J12" s="40">
        <f>IF((ABS($U12)&gt;Defaults!D$7),1,2)</f>
        <v>2</v>
      </c>
      <c r="K12" s="39">
        <f>IF((AND(N12&gt;Defaults!B$12,(N12+O12)&gt;Defaults!B$13, P12 &gt; Defaults!B$12, (P12+Q12) &gt; Defaults!B$13)),1,20)</f>
        <v>1</v>
      </c>
      <c r="L12" s="1">
        <f t="shared" si="1"/>
        <v>2</v>
      </c>
      <c r="M12" s="1" t="b">
        <f t="shared" si="2"/>
        <v>1</v>
      </c>
      <c r="N12" s="42">
        <f t="shared" si="3"/>
        <v>237</v>
      </c>
      <c r="O12" s="42">
        <f>(D69*L69)-E12</f>
        <v>473</v>
      </c>
      <c r="P12" s="42">
        <f t="shared" si="4"/>
        <v>178</v>
      </c>
      <c r="Q12" s="42">
        <f>(C69*L69)-C12</f>
        <v>292</v>
      </c>
      <c r="R12" s="42">
        <f t="shared" si="5"/>
        <v>1180</v>
      </c>
      <c r="S12" s="30">
        <f t="shared" si="6"/>
        <v>265146118000</v>
      </c>
      <c r="T12" s="30">
        <f t="shared" si="7"/>
        <v>105941407500</v>
      </c>
      <c r="U12" s="31">
        <f t="shared" si="8"/>
        <v>2.5027618969476122</v>
      </c>
    </row>
    <row r="13" spans="2:21" ht="18" customHeight="1">
      <c r="B13" s="32" t="str">
        <f>'Data Entry'!A13</f>
        <v>8. Cases Resulting in Probation Placement</v>
      </c>
      <c r="C13" s="33">
        <f>'Data Entry'!C13</f>
        <v>157</v>
      </c>
      <c r="D13" s="34">
        <f>IF(((AND(C70&gt;0,C13&gt;0))),(C13/(C70)),0)</f>
        <v>88.202247191011239</v>
      </c>
      <c r="E13" s="33">
        <f>'Data Entry'!J13</f>
        <v>205</v>
      </c>
      <c r="F13" s="34">
        <f>IF(((AND($D$70&gt;0,$E$13&gt;0))),($E$13/($D$70)),0)</f>
        <v>86.497890295358644</v>
      </c>
      <c r="G13" s="39">
        <f t="shared" si="0"/>
        <v>0.98067671799833367</v>
      </c>
      <c r="H13" s="40"/>
      <c r="I13" s="41"/>
      <c r="J13" s="40">
        <f>IF((ABS($U13)&gt;Defaults!D$7),1,2)</f>
        <v>2</v>
      </c>
      <c r="K13" s="39">
        <f>IF((AND(N13&gt;Defaults!B$12,(N13+O13)&gt;Defaults!B$13, P13 &gt; Defaults!B$12, (P13+Q13) &gt; Defaults!B$13)),1,20)</f>
        <v>1</v>
      </c>
      <c r="L13" s="1">
        <f t="shared" si="1"/>
        <v>2</v>
      </c>
      <c r="M13" s="1" t="b">
        <f t="shared" si="2"/>
        <v>1</v>
      </c>
      <c r="N13" s="42">
        <f t="shared" si="3"/>
        <v>205</v>
      </c>
      <c r="O13" s="42">
        <f>(D70*L70)-E13</f>
        <v>32</v>
      </c>
      <c r="P13" s="42">
        <f t="shared" si="4"/>
        <v>157</v>
      </c>
      <c r="Q13" s="42">
        <f>(C70*L70)-C13</f>
        <v>21</v>
      </c>
      <c r="R13" s="42">
        <f t="shared" si="5"/>
        <v>415</v>
      </c>
      <c r="S13" s="30">
        <f t="shared" si="6"/>
        <v>214538815</v>
      </c>
      <c r="T13" s="30">
        <f t="shared" si="7"/>
        <v>809380596</v>
      </c>
      <c r="U13" s="31">
        <f t="shared" si="8"/>
        <v>0.26506542911982534</v>
      </c>
    </row>
    <row r="14" spans="2:21" ht="30.75" customHeight="1">
      <c r="B14" s="32" t="str">
        <f>'Data Entry'!A14</f>
        <v xml:space="preserve">9. Cases Resulting in Confinement in Secure Juvenile Correctional Facilities </v>
      </c>
      <c r="C14" s="33">
        <f>'Data Entry'!C14</f>
        <v>11</v>
      </c>
      <c r="D14" s="34">
        <f>IF(((AND(C70&gt;0,C14&gt;0))), ((C14/(C70))),0)</f>
        <v>6.179775280898876</v>
      </c>
      <c r="E14" s="33">
        <f>'Data Entry'!J14</f>
        <v>19</v>
      </c>
      <c r="F14" s="34">
        <f>IF(((AND($D$70&gt;0,$E$14&gt;0))), (($E$14/($D$70))),0)</f>
        <v>8.0168776371308006</v>
      </c>
      <c r="G14" s="39">
        <f t="shared" si="0"/>
        <v>1.2972765630993479</v>
      </c>
      <c r="H14" s="40"/>
      <c r="I14" s="41"/>
      <c r="J14" s="40">
        <f>IF((ABS($U14)&gt;Defaults!D$7),1,2)</f>
        <v>2</v>
      </c>
      <c r="K14" s="39">
        <f>IF((AND(N14&gt;Defaults!B$12,(N14+O14)&gt;Defaults!B$13, P14 &gt; Defaults!B$12, (P14+Q14) &gt; Defaults!B$13)),1,20)</f>
        <v>1</v>
      </c>
      <c r="L14" s="1">
        <f t="shared" si="1"/>
        <v>2</v>
      </c>
      <c r="M14" s="1" t="b">
        <f t="shared" si="2"/>
        <v>1</v>
      </c>
      <c r="N14" s="42">
        <f t="shared" si="3"/>
        <v>19</v>
      </c>
      <c r="O14" s="42">
        <f>(D70*L70)-E14</f>
        <v>218</v>
      </c>
      <c r="P14" s="42">
        <f t="shared" si="4"/>
        <v>11</v>
      </c>
      <c r="Q14" s="42">
        <f>(C70*L70)-C14</f>
        <v>167</v>
      </c>
      <c r="R14" s="42">
        <f t="shared" si="5"/>
        <v>415</v>
      </c>
      <c r="S14" s="30">
        <f t="shared" si="6"/>
        <v>249259375</v>
      </c>
      <c r="T14" s="30">
        <f t="shared" si="7"/>
        <v>487248300</v>
      </c>
      <c r="U14" s="31">
        <f t="shared" si="8"/>
        <v>0.51156540720614108</v>
      </c>
    </row>
    <row r="15" spans="2:21" ht="15.75" customHeight="1">
      <c r="B15" s="32" t="str">
        <f>'Data Entry'!A15</f>
        <v xml:space="preserve">10. Cases Transferred to Adult Court </v>
      </c>
      <c r="C15" s="33">
        <f>'Data Entry'!C15</f>
        <v>0</v>
      </c>
      <c r="D15" s="34">
        <f>IF(((AND(C69&gt;0,C15&gt;0))),((C15/(C69))),0)</f>
        <v>0</v>
      </c>
      <c r="E15" s="33">
        <f>'Data Entry'!J15</f>
        <v>8</v>
      </c>
      <c r="F15" s="34">
        <f>IF(((AND($D$69&gt;0,$E$15&gt;0))),(($E$15/($D$69))),0)</f>
        <v>1.1267605633802817</v>
      </c>
      <c r="G15" s="39" t="str">
        <f t="shared" si="0"/>
        <v>**</v>
      </c>
      <c r="H15" s="40"/>
      <c r="I15" s="41"/>
      <c r="J15" s="40">
        <f>IF((ABS($U15)&gt;Defaults!D$7),1,2)</f>
        <v>1</v>
      </c>
      <c r="K15" s="39">
        <f>IF((AND(N15&gt;Defaults!B$12,(N15+O15)&gt;Defaults!B$13, P15 &gt; Defaults!B$12, (P15+Q15) &gt; Defaults!B$13)),1,20)</f>
        <v>20</v>
      </c>
      <c r="L15" s="1">
        <f t="shared" si="1"/>
        <v>20</v>
      </c>
      <c r="M15" s="1" t="b">
        <f t="shared" si="2"/>
        <v>1</v>
      </c>
      <c r="N15" s="42">
        <f t="shared" si="3"/>
        <v>8</v>
      </c>
      <c r="O15" s="42">
        <f>(D69*L69)-E15</f>
        <v>702</v>
      </c>
      <c r="P15" s="42">
        <f t="shared" si="4"/>
        <v>0</v>
      </c>
      <c r="Q15" s="42">
        <f>(C69*L69)-C15</f>
        <v>470</v>
      </c>
      <c r="R15" s="42">
        <f t="shared" si="5"/>
        <v>1180</v>
      </c>
      <c r="S15" s="30">
        <f t="shared" si="6"/>
        <v>16682368000</v>
      </c>
      <c r="T15" s="30">
        <f t="shared" si="7"/>
        <v>3128771200</v>
      </c>
      <c r="U15" s="31">
        <f t="shared" si="8"/>
        <v>5.3319232802961114</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43.795000000000002</v>
      </c>
      <c r="D42" s="56">
        <f>E6/1000</f>
        <v>26.222999999999999</v>
      </c>
      <c r="E42" s="56">
        <f>MAX(C42:D42)</f>
        <v>43.795000000000002</v>
      </c>
      <c r="G42" s="1" t="str">
        <f>B42</f>
        <v>per 1000 youth</v>
      </c>
      <c r="L42" s="57">
        <v>1000</v>
      </c>
      <c r="M42" s="57"/>
      <c r="R42" s="49"/>
    </row>
    <row r="43" spans="2:18" ht="15" hidden="1" customHeight="1">
      <c r="B43" s="49" t="s">
        <v>87</v>
      </c>
      <c r="C43" s="56">
        <f>C7/100</f>
        <v>3.77</v>
      </c>
      <c r="D43" s="56">
        <f>E7/100</f>
        <v>5.03</v>
      </c>
      <c r="E43" s="56">
        <f>MAX(C43:D43,0)</f>
        <v>5.03</v>
      </c>
      <c r="G43" s="1" t="str">
        <f>B43</f>
        <v>per 100 arrests</v>
      </c>
      <c r="L43" s="57">
        <v>100</v>
      </c>
      <c r="M43" s="57"/>
      <c r="R43" s="49"/>
    </row>
    <row r="44" spans="2:18" ht="15" hidden="1" customHeight="1">
      <c r="B44" s="49" t="s">
        <v>88</v>
      </c>
      <c r="C44" s="56">
        <f>C8/100</f>
        <v>9.01</v>
      </c>
      <c r="D44" s="56">
        <f>E8/100</f>
        <v>10.28</v>
      </c>
      <c r="E44" s="56">
        <f>MAX(C44:D44,0)</f>
        <v>10.28</v>
      </c>
      <c r="G44" s="1" t="str">
        <f>B44</f>
        <v>per 100 referrals</v>
      </c>
      <c r="L44" s="57">
        <v>100</v>
      </c>
      <c r="M44" s="57"/>
      <c r="R44" s="49"/>
    </row>
    <row r="45" spans="2:18" ht="15" hidden="1" customHeight="1">
      <c r="B45" s="49" t="s">
        <v>89</v>
      </c>
      <c r="C45" s="49">
        <f>C11/100</f>
        <v>4.7</v>
      </c>
      <c r="D45" s="49">
        <f>E11/100</f>
        <v>7.1</v>
      </c>
      <c r="E45" s="56">
        <f>MAX(C45:D45,0)</f>
        <v>7.1</v>
      </c>
      <c r="G45" s="1" t="str">
        <f>B45</f>
        <v>per 100 youth petitioned</v>
      </c>
      <c r="L45" s="57">
        <v>100</v>
      </c>
      <c r="M45" s="57"/>
      <c r="R45" s="49"/>
    </row>
    <row r="46" spans="2:18" ht="15" hidden="1" customHeight="1">
      <c r="B46" s="49" t="s">
        <v>90</v>
      </c>
      <c r="C46" s="49">
        <f>C12/100</f>
        <v>1.78</v>
      </c>
      <c r="D46" s="49">
        <f>E12/100</f>
        <v>2.37</v>
      </c>
      <c r="E46" s="56">
        <f>MAX(C46:D46)</f>
        <v>2.37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43.795000000000002</v>
      </c>
      <c r="D48" s="56">
        <f>D42</f>
        <v>26.222999999999999</v>
      </c>
      <c r="E48" s="56">
        <f>MAX(C48:D48)</f>
        <v>43.795000000000002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3.77</v>
      </c>
      <c r="D49" s="49">
        <f t="shared" si="9"/>
        <v>5.03</v>
      </c>
      <c r="E49" s="49">
        <f>MAX(C49:D49)</f>
        <v>5.03</v>
      </c>
      <c r="G49" s="1" t="str">
        <f>G43</f>
        <v>per 100 arrests</v>
      </c>
      <c r="L49" s="58">
        <f>IF(($E43&gt;0),L43,L42)</f>
        <v>100</v>
      </c>
      <c r="M49" s="58"/>
      <c r="N49" s="21"/>
      <c r="O49" s="21"/>
      <c r="P49" s="21"/>
      <c r="Q49" s="21"/>
      <c r="R49" s="21"/>
    </row>
    <row r="50" spans="2:18" ht="15" hidden="1" customHeight="1">
      <c r="B50" s="49" t="str">
        <f t="shared" si="9"/>
        <v>per 100 referrals</v>
      </c>
      <c r="C50" s="49">
        <f t="shared" si="9"/>
        <v>9.01</v>
      </c>
      <c r="D50" s="49">
        <f t="shared" si="9"/>
        <v>10.28</v>
      </c>
      <c r="E50" s="49">
        <f>MAX(C50:D50)</f>
        <v>10.28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4.7</v>
      </c>
      <c r="D51" s="49">
        <f>IF(($E45&gt;0),D45,D44)</f>
        <v>7.1</v>
      </c>
      <c r="E51" s="49">
        <f>MAX(C51:D51)</f>
        <v>7.1</v>
      </c>
      <c r="G51" s="1" t="str">
        <f>G45</f>
        <v>per 100 youth petitioned</v>
      </c>
      <c r="L51" s="58">
        <f>IF(($E45&gt;0),L45,L44)</f>
        <v>100</v>
      </c>
      <c r="M51" s="58"/>
    </row>
    <row r="52" spans="2:18" ht="15" hidden="1" customHeight="1">
      <c r="B52" s="49" t="str">
        <f>IF(($E46&gt;0),B46,B45)</f>
        <v>per 100 youth found delinquent</v>
      </c>
      <c r="C52" s="49">
        <f>IF(($E46&gt;0),C46,C45)</f>
        <v>1.78</v>
      </c>
      <c r="D52" s="49">
        <f>IF(($E46&gt;0),D46,D45)</f>
        <v>2.37</v>
      </c>
      <c r="E52" s="56">
        <f>MAX(C52:D52)</f>
        <v>2.37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43.795000000000002</v>
      </c>
      <c r="D54" s="56">
        <f>D48</f>
        <v>26.222999999999999</v>
      </c>
      <c r="E54" s="56">
        <f>MAX(C54:D54)</f>
        <v>43.795000000000002</v>
      </c>
      <c r="G54" s="1" t="str">
        <f>G48</f>
        <v>per 1000 youth</v>
      </c>
      <c r="L54" s="58">
        <f>L48</f>
        <v>1000</v>
      </c>
      <c r="M54" s="58"/>
    </row>
    <row r="55" spans="2:18" ht="15" hidden="1" customHeight="1">
      <c r="B55" s="49" t="str">
        <f t="shared" ref="B55:D56" si="10">IF(($E49&gt;0),B49,B48)</f>
        <v>per 100 arrests</v>
      </c>
      <c r="C55" s="49">
        <f t="shared" si="10"/>
        <v>3.77</v>
      </c>
      <c r="D55" s="49">
        <f t="shared" si="10"/>
        <v>5.03</v>
      </c>
      <c r="E55" s="49">
        <f>MAX(C55:D55)</f>
        <v>5.03</v>
      </c>
      <c r="G55" s="1" t="str">
        <f>G49</f>
        <v>per 100 arrests</v>
      </c>
      <c r="L55" s="58">
        <f>IF(($E49&gt;0),L49,L48)</f>
        <v>100</v>
      </c>
      <c r="M55" s="58"/>
    </row>
    <row r="56" spans="2:18" ht="15" hidden="1" customHeight="1">
      <c r="B56" s="49" t="str">
        <f t="shared" si="10"/>
        <v>per 100 referrals</v>
      </c>
      <c r="C56" s="49">
        <f t="shared" si="10"/>
        <v>9.01</v>
      </c>
      <c r="D56" s="49">
        <f t="shared" si="10"/>
        <v>10.28</v>
      </c>
      <c r="E56" s="49">
        <f>MAX(C56:D56)</f>
        <v>10.28</v>
      </c>
      <c r="G56" s="1" t="str">
        <f>G50</f>
        <v>per 100 referrals</v>
      </c>
      <c r="L56" s="58">
        <f>IF(($E50&gt;0),L50,L49)</f>
        <v>100</v>
      </c>
      <c r="M56" s="58"/>
    </row>
    <row r="57" spans="2:18" ht="15" hidden="1" customHeight="1">
      <c r="B57" s="49" t="str">
        <f>IF(($E51&gt;0),B51,B49)</f>
        <v>per 100 youth petitioned</v>
      </c>
      <c r="C57" s="49">
        <f>IF(($E51&gt;0),C51,C50)</f>
        <v>4.7</v>
      </c>
      <c r="D57" s="49">
        <f>IF(($E51&gt;0),D51,D50)</f>
        <v>7.1</v>
      </c>
      <c r="E57" s="49">
        <f>MAX(C57:D57)</f>
        <v>7.1</v>
      </c>
      <c r="G57" s="1" t="str">
        <f>G51</f>
        <v>per 100 youth petitioned</v>
      </c>
      <c r="L57" s="58">
        <f>IF(($E51&gt;0),L51,L50)</f>
        <v>100</v>
      </c>
      <c r="M57" s="58"/>
    </row>
    <row r="58" spans="2:18" ht="15" hidden="1" customHeight="1">
      <c r="B58" s="49" t="str">
        <f>IF(($E52&gt;0),B52,B51)</f>
        <v>per 100 youth found delinquent</v>
      </c>
      <c r="C58" s="49">
        <f>IF(($E52&gt;0),C52,C51)</f>
        <v>1.78</v>
      </c>
      <c r="D58" s="49">
        <f>IF(($E52&gt;0),D52,D51)</f>
        <v>2.37</v>
      </c>
      <c r="E58" s="56">
        <f>MAX(C58:D58)</f>
        <v>2.37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43.795000000000002</v>
      </c>
      <c r="D60" s="56">
        <f>D54</f>
        <v>26.222999999999999</v>
      </c>
      <c r="E60" s="56">
        <f>MAX(C60:D60)</f>
        <v>43.795000000000002</v>
      </c>
      <c r="G60" s="1" t="str">
        <f>G54</f>
        <v>per 1000 youth</v>
      </c>
      <c r="L60" s="58">
        <f>L54</f>
        <v>1000</v>
      </c>
      <c r="M60" s="58"/>
    </row>
    <row r="61" spans="2:18" ht="15" hidden="1" customHeight="1">
      <c r="B61" s="49" t="str">
        <f t="shared" ref="B61:D62" si="11">IF(($E55&gt;0),B55,B54)</f>
        <v>per 100 arrests</v>
      </c>
      <c r="C61" s="49">
        <f t="shared" si="11"/>
        <v>3.77</v>
      </c>
      <c r="D61" s="49">
        <f t="shared" si="11"/>
        <v>5.03</v>
      </c>
      <c r="E61" s="49">
        <f>MAX(C61:D61)</f>
        <v>5.03</v>
      </c>
      <c r="G61" s="1" t="str">
        <f>G55</f>
        <v>per 100 arrests</v>
      </c>
      <c r="L61" s="58">
        <f>IF(($E55&gt;0),L55,L54)</f>
        <v>100</v>
      </c>
      <c r="M61" s="58"/>
    </row>
    <row r="62" spans="2:18" ht="15" hidden="1" customHeight="1">
      <c r="B62" s="49" t="str">
        <f t="shared" si="11"/>
        <v>per 100 referrals</v>
      </c>
      <c r="C62" s="49">
        <f t="shared" si="11"/>
        <v>9.01</v>
      </c>
      <c r="D62" s="49">
        <f t="shared" si="11"/>
        <v>10.28</v>
      </c>
      <c r="E62" s="49">
        <f>MAX(C62:D62)</f>
        <v>10.28</v>
      </c>
      <c r="G62" s="1" t="str">
        <f>G56</f>
        <v>per 100 referrals</v>
      </c>
      <c r="L62" s="58">
        <f>IF(($E56&gt;0),L56,L55)</f>
        <v>100</v>
      </c>
      <c r="M62" s="58"/>
    </row>
    <row r="63" spans="2:18" ht="15" hidden="1" customHeight="1">
      <c r="B63" s="49" t="str">
        <f>IF(($E57&gt;0),B57,B55)</f>
        <v>per 100 youth petitioned</v>
      </c>
      <c r="C63" s="49">
        <f>IF(($E57&gt;0),C57,C56)</f>
        <v>4.7</v>
      </c>
      <c r="D63" s="49">
        <f>IF(($E57&gt;0),D57,D56)</f>
        <v>7.1</v>
      </c>
      <c r="E63" s="49">
        <f>MAX(C63:D63)</f>
        <v>7.1</v>
      </c>
      <c r="G63" s="1" t="str">
        <f>G57</f>
        <v>per 100 youth petitioned</v>
      </c>
      <c r="L63" s="58">
        <f>IF(($E57&gt;0),L57,L56)</f>
        <v>100</v>
      </c>
      <c r="M63" s="58"/>
    </row>
    <row r="64" spans="2:18" ht="15" hidden="1" customHeight="1">
      <c r="B64" s="49" t="str">
        <f>IF(($E58&gt;0),B58,B57)</f>
        <v>per 100 youth found delinquent</v>
      </c>
      <c r="C64" s="49">
        <f>IF(($E58&gt;0),C58,C57)</f>
        <v>1.78</v>
      </c>
      <c r="D64" s="49">
        <f>IF(($E58&gt;0),D58,D57)</f>
        <v>2.37</v>
      </c>
      <c r="E64" s="56">
        <f>MAX(C64:D64)</f>
        <v>2.37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43.795000000000002</v>
      </c>
      <c r="D66" s="56">
        <f>D60</f>
        <v>26.222999999999999</v>
      </c>
      <c r="E66" s="56">
        <f>MAX(C66:D66)</f>
        <v>43.795000000000002</v>
      </c>
      <c r="G66" s="1" t="str">
        <f>G60</f>
        <v>per 1000 youth</v>
      </c>
      <c r="L66" s="58">
        <f>L60</f>
        <v>1000</v>
      </c>
      <c r="M66" s="58">
        <f>IF((B66=G66),1,2)</f>
        <v>1</v>
      </c>
    </row>
    <row r="67" spans="2:13" ht="15" hidden="1" customHeight="1">
      <c r="B67" s="49" t="str">
        <f t="shared" ref="B67:D68" si="12">IF(($E61&gt;0),B61,B60)</f>
        <v>per 100 arrests</v>
      </c>
      <c r="C67" s="49">
        <f t="shared" si="12"/>
        <v>3.77</v>
      </c>
      <c r="D67" s="49">
        <f t="shared" si="12"/>
        <v>5.03</v>
      </c>
      <c r="E67" s="49">
        <f>MAX(C67:D67)</f>
        <v>5.03</v>
      </c>
      <c r="G67" s="1" t="str">
        <f>G61</f>
        <v>per 100 arrests</v>
      </c>
      <c r="L67" s="58">
        <f>IF(($E61&gt;0),L61,L60)</f>
        <v>100</v>
      </c>
      <c r="M67" s="58">
        <f>IF((B67=G67),1,2)</f>
        <v>1</v>
      </c>
    </row>
    <row r="68" spans="2:13" ht="15" hidden="1" customHeight="1">
      <c r="B68" s="49" t="str">
        <f t="shared" si="12"/>
        <v>per 100 referrals</v>
      </c>
      <c r="C68" s="49">
        <f t="shared" si="12"/>
        <v>9.01</v>
      </c>
      <c r="D68" s="49">
        <f t="shared" si="12"/>
        <v>10.28</v>
      </c>
      <c r="E68" s="49">
        <f>MAX(C68:D68)</f>
        <v>10.28</v>
      </c>
      <c r="G68" s="1" t="str">
        <f>G62</f>
        <v>per 100 referrals</v>
      </c>
      <c r="L68" s="58">
        <f>IF(($E62&gt;0),L62,L61)</f>
        <v>100</v>
      </c>
      <c r="M68" s="58">
        <f>IF((B68=G68),1,2)</f>
        <v>1</v>
      </c>
    </row>
    <row r="69" spans="2:13" ht="15" hidden="1" customHeight="1">
      <c r="B69" s="49" t="str">
        <f>IF(($E63&gt;0),B63,B61)</f>
        <v>per 100 youth petitioned</v>
      </c>
      <c r="C69" s="49">
        <f>IF(($E63&gt;0),C63,C62)</f>
        <v>4.7</v>
      </c>
      <c r="D69" s="49">
        <f>IF(($E63&gt;0),D63,D62)</f>
        <v>7.1</v>
      </c>
      <c r="E69" s="49">
        <f>MAX(C69:D69)</f>
        <v>7.1</v>
      </c>
      <c r="G69" s="1" t="str">
        <f>G63</f>
        <v>per 100 youth petitioned</v>
      </c>
      <c r="L69" s="58">
        <f>IF(($E63&gt;0),L63,L62)</f>
        <v>100</v>
      </c>
      <c r="M69" s="58">
        <f>IF((B69=G69),1,2)</f>
        <v>1</v>
      </c>
    </row>
    <row r="70" spans="2:13" ht="15" hidden="1" customHeight="1">
      <c r="B70" s="49" t="str">
        <f>IF(($E64&gt;0),B64,B63)</f>
        <v>per 100 youth found delinquent</v>
      </c>
      <c r="C70" s="49">
        <f>IF(($E64&gt;0),C64,C63)</f>
        <v>1.78</v>
      </c>
      <c r="D70" s="49">
        <f>IF(($E64&gt;0),D64,D63)</f>
        <v>2.37</v>
      </c>
      <c r="E70" s="56">
        <f>MAX(C70:D70)</f>
        <v>2.37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Kent</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4.9709874980705306</v>
      </c>
      <c r="D7" s="72">
        <f>Hispanic!G7</f>
        <v>0.52832214441247616</v>
      </c>
      <c r="E7" s="72" t="str">
        <f>Asian!G7</f>
        <v>**</v>
      </c>
      <c r="F7" s="72" t="str">
        <f>Hawaiian!G7</f>
        <v>*</v>
      </c>
      <c r="G7" s="72" t="str">
        <f>'Am Indian'!G7</f>
        <v>*</v>
      </c>
      <c r="H7" s="72" t="str">
        <f>'Other - Mixed'!G7</f>
        <v>*</v>
      </c>
      <c r="I7" s="73">
        <f>'All Minorities'!G7</f>
        <v>2.2282750144116914</v>
      </c>
      <c r="L7" s="1">
        <f>'Black or African-American'!L7</f>
        <v>1</v>
      </c>
      <c r="M7" s="1">
        <f>Hispanic!L7</f>
        <v>1</v>
      </c>
      <c r="N7" s="1">
        <f>Asian!L7</f>
        <v>20</v>
      </c>
      <c r="O7" s="1" t="e">
        <f>Hawaiian!L7</f>
        <v>#DIV/0!</v>
      </c>
      <c r="P7" s="1">
        <f>'Am Indian'!L7</f>
        <v>139</v>
      </c>
      <c r="Q7" s="1" t="e">
        <f>'Other - Mixed'!L7</f>
        <v>#VALUE!</v>
      </c>
      <c r="R7" s="1">
        <f>'All Minorities'!L7</f>
        <v>1</v>
      </c>
    </row>
    <row r="8" spans="2:18" ht="15" customHeight="1">
      <c r="B8" s="71" t="s">
        <v>9</v>
      </c>
      <c r="C8" s="72">
        <f>'Black or African-American'!$G8</f>
        <v>0.77203512169470012</v>
      </c>
      <c r="D8" s="72">
        <f>Hispanic!G8</f>
        <v>1.0027746947835738</v>
      </c>
      <c r="E8" s="72" t="str">
        <f>Asian!G8</f>
        <v>**</v>
      </c>
      <c r="F8" s="72" t="str">
        <f>Hawaiian!G8</f>
        <v>*</v>
      </c>
      <c r="G8" s="72" t="str">
        <f>'Am Indian'!G8</f>
        <v>*</v>
      </c>
      <c r="H8" s="72" t="str">
        <f>'Other - Mixed'!G8</f>
        <v>*</v>
      </c>
      <c r="I8" s="73">
        <f>'All Minorities'!G8</f>
        <v>0.8551487964554515</v>
      </c>
      <c r="L8" s="1">
        <f>'Black or African-American'!L8</f>
        <v>1</v>
      </c>
      <c r="M8" s="1">
        <f>Hispanic!L8</f>
        <v>2</v>
      </c>
      <c r="N8" s="1">
        <f>Asian!L8</f>
        <v>20</v>
      </c>
      <c r="O8" s="1">
        <f>Hawaiian!L8</f>
        <v>139</v>
      </c>
      <c r="P8" s="1">
        <f>'Am Indian'!L8</f>
        <v>139</v>
      </c>
      <c r="Q8" s="1">
        <f>'Other - Mixed'!L8</f>
        <v>119</v>
      </c>
      <c r="R8" s="1">
        <f>'All Minorities'!L8</f>
        <v>1</v>
      </c>
    </row>
    <row r="9" spans="2:18" ht="15" customHeight="1">
      <c r="B9" s="71" t="s">
        <v>10</v>
      </c>
      <c r="C9" s="72">
        <f>'Black or African-American'!$G9</f>
        <v>0.6414948092031425</v>
      </c>
      <c r="D9" s="72">
        <f>Hispanic!G9</f>
        <v>0.79183698495748855</v>
      </c>
      <c r="E9" s="72" t="str">
        <f>Asian!G9</f>
        <v>**</v>
      </c>
      <c r="F9" s="72" t="str">
        <f>Hawaiian!G9</f>
        <v>*</v>
      </c>
      <c r="G9" s="72" t="str">
        <f>'Am Indian'!G9</f>
        <v>*</v>
      </c>
      <c r="H9" s="72" t="str">
        <f>'Other - Mixed'!G9</f>
        <v>*</v>
      </c>
      <c r="I9" s="73">
        <f>'All Minorities'!G9</f>
        <v>0.68224376547576937</v>
      </c>
      <c r="L9" s="1">
        <f>'Black or African-American'!L9</f>
        <v>1</v>
      </c>
      <c r="M9" s="1">
        <f>Hispanic!L9</f>
        <v>2</v>
      </c>
      <c r="N9" s="1">
        <f>Asian!L9</f>
        <v>40</v>
      </c>
      <c r="O9" s="1" t="e">
        <f>Hawaiian!L9</f>
        <v>#VALUE!</v>
      </c>
      <c r="P9" s="1" t="e">
        <f>'Am Indian'!L9</f>
        <v>#DIV/0!</v>
      </c>
      <c r="Q9" s="1">
        <f>'Other - Mixed'!L9</f>
        <v>101</v>
      </c>
      <c r="R9" s="1">
        <f>'All Minorities'!L9</f>
        <v>1</v>
      </c>
    </row>
    <row r="10" spans="2:18" ht="15" customHeight="1">
      <c r="B10" s="71" t="s">
        <v>11</v>
      </c>
      <c r="C10" s="72">
        <f>'Black or African-American'!$G10</f>
        <v>2.3530389363722701</v>
      </c>
      <c r="D10" s="72">
        <f>Hispanic!G10</f>
        <v>3.1697762668985696</v>
      </c>
      <c r="E10" s="72" t="str">
        <f>Asian!G10</f>
        <v>**</v>
      </c>
      <c r="F10" s="72" t="str">
        <f>Hawaiian!G10</f>
        <v>*</v>
      </c>
      <c r="G10" s="72" t="str">
        <f>'Am Indian'!G10</f>
        <v>*</v>
      </c>
      <c r="H10" s="72" t="str">
        <f>'Other - Mixed'!G10</f>
        <v>*</v>
      </c>
      <c r="I10" s="73">
        <f>'All Minorities'!G10</f>
        <v>2.7401387522982859</v>
      </c>
      <c r="L10" s="1">
        <f>'Black or African-American'!L10</f>
        <v>1</v>
      </c>
      <c r="M10" s="1">
        <f>Hispanic!L10</f>
        <v>1</v>
      </c>
      <c r="N10" s="1">
        <f>Asian!L10</f>
        <v>40</v>
      </c>
      <c r="O10" s="1" t="e">
        <f>Hawaiian!L10</f>
        <v>#VALUE!</v>
      </c>
      <c r="P10" s="1" t="e">
        <f>'Am Indian'!L10</f>
        <v>#DIV/0!</v>
      </c>
      <c r="Q10" s="1">
        <f>'Other - Mixed'!L10</f>
        <v>100</v>
      </c>
      <c r="R10" s="1">
        <f>'All Minorities'!L10</f>
        <v>1</v>
      </c>
    </row>
    <row r="11" spans="2:18" ht="15" customHeight="1">
      <c r="B11" s="71" t="s">
        <v>95</v>
      </c>
      <c r="C11" s="72">
        <f>'Black or African-American'!$G11</f>
        <v>1.3182479642763332</v>
      </c>
      <c r="D11" s="72">
        <f>Hispanic!G11</f>
        <v>1.2274452778202971</v>
      </c>
      <c r="E11" s="72" t="str">
        <f>Asian!G11</f>
        <v>**</v>
      </c>
      <c r="F11" s="72" t="str">
        <f>Hawaiian!G11</f>
        <v>*</v>
      </c>
      <c r="G11" s="72" t="str">
        <f>'Am Indian'!G11</f>
        <v>*</v>
      </c>
      <c r="H11" s="72" t="str">
        <f>'Other - Mixed'!G11</f>
        <v>*</v>
      </c>
      <c r="I11" s="73">
        <f>'All Minorities'!G11</f>
        <v>1.3240127493997849</v>
      </c>
      <c r="L11" s="1">
        <f>'Black or African-American'!L11</f>
        <v>1</v>
      </c>
      <c r="M11" s="1">
        <f>Hispanic!L11</f>
        <v>1</v>
      </c>
      <c r="N11" s="1">
        <f>Asian!L11</f>
        <v>40</v>
      </c>
      <c r="O11" s="1" t="e">
        <f>Hawaiian!L11</f>
        <v>#VALUE!</v>
      </c>
      <c r="P11" s="1" t="e">
        <f>'Am Indian'!L11</f>
        <v>#DIV/0!</v>
      </c>
      <c r="Q11" s="1">
        <f>'Other - Mixed'!L11</f>
        <v>100</v>
      </c>
      <c r="R11" s="1">
        <f>'All Minorities'!L11</f>
        <v>1</v>
      </c>
    </row>
    <row r="12" spans="2:18" ht="15" customHeight="1">
      <c r="B12" s="71" t="s">
        <v>13</v>
      </c>
      <c r="C12" s="72">
        <f>'Black or African-American'!$G12</f>
        <v>0.90069190890202322</v>
      </c>
      <c r="D12" s="72">
        <f>Hispanic!G12</f>
        <v>1.27572276227749</v>
      </c>
      <c r="E12" s="72" t="str">
        <f>Asian!G12</f>
        <v>**</v>
      </c>
      <c r="F12" s="72" t="str">
        <f>Hawaiian!G12</f>
        <v>*</v>
      </c>
      <c r="G12" s="72" t="str">
        <f>'Am Indian'!G12</f>
        <v>*</v>
      </c>
      <c r="H12" s="72" t="str">
        <f>'Other - Mixed'!G12</f>
        <v>*</v>
      </c>
      <c r="I12" s="73">
        <f>'All Minorities'!G12</f>
        <v>0.88138946035765153</v>
      </c>
      <c r="L12" s="1">
        <f>'Black or African-American'!L12</f>
        <v>2</v>
      </c>
      <c r="M12" s="1">
        <f>Hispanic!L12</f>
        <v>2</v>
      </c>
      <c r="N12" s="1">
        <f>Asian!L12</f>
        <v>40</v>
      </c>
      <c r="O12" s="1" t="e">
        <f>Hawaiian!L12</f>
        <v>#VALUE!</v>
      </c>
      <c r="P12" s="1">
        <f>'Am Indian'!L12</f>
        <v>139</v>
      </c>
      <c r="Q12" s="1">
        <f>'Other - Mixed'!L12</f>
        <v>119</v>
      </c>
      <c r="R12" s="1">
        <f>'All Minorities'!L12</f>
        <v>2</v>
      </c>
    </row>
    <row r="13" spans="2:18" ht="15" customHeight="1">
      <c r="B13" s="71" t="s">
        <v>14</v>
      </c>
      <c r="C13" s="72">
        <f>'Black or African-American'!$G13</f>
        <v>0.99054642976868934</v>
      </c>
      <c r="D13" s="72">
        <f>Hispanic!G13</f>
        <v>0.92282624796326462</v>
      </c>
      <c r="E13" s="72" t="str">
        <f>Asian!G13</f>
        <v>**</v>
      </c>
      <c r="F13" s="72" t="str">
        <f>Hawaiian!G13</f>
        <v>*</v>
      </c>
      <c r="G13" s="72" t="str">
        <f>'Am Indian'!G13</f>
        <v>*</v>
      </c>
      <c r="H13" s="72" t="str">
        <f>'Other - Mixed'!G13</f>
        <v>*</v>
      </c>
      <c r="I13" s="73">
        <f>'All Minorities'!G13</f>
        <v>0.98067671799833367</v>
      </c>
      <c r="L13" s="1">
        <f>'Black or African-American'!L13</f>
        <v>2</v>
      </c>
      <c r="M13" s="1">
        <f>Hispanic!L13</f>
        <v>2</v>
      </c>
      <c r="N13" s="1">
        <f>Asian!L13</f>
        <v>40</v>
      </c>
      <c r="O13" s="1" t="e">
        <f>Hawaiian!L13</f>
        <v>#VALUE!</v>
      </c>
      <c r="P13" s="1">
        <f>'Am Indian'!L13</f>
        <v>139</v>
      </c>
      <c r="Q13" s="1" t="e">
        <f>'Other - Mixed'!L13</f>
        <v>#VALUE!</v>
      </c>
      <c r="R13" s="1">
        <f>'All Minorities'!L13</f>
        <v>2</v>
      </c>
    </row>
    <row r="14" spans="2:18" ht="25.5" customHeight="1">
      <c r="B14" s="71" t="s">
        <v>15</v>
      </c>
      <c r="C14" s="72">
        <f>'Black or African-American'!$G14</f>
        <v>1.5330143540669858</v>
      </c>
      <c r="D14" s="72" t="str">
        <f>Hispanic!G14</f>
        <v>**</v>
      </c>
      <c r="E14" s="72" t="str">
        <f>Asian!G14</f>
        <v>**</v>
      </c>
      <c r="F14" s="72" t="str">
        <f>Hawaiian!G14</f>
        <v>*</v>
      </c>
      <c r="G14" s="72" t="str">
        <f>'Am Indian'!G14</f>
        <v>*</v>
      </c>
      <c r="H14" s="72" t="str">
        <f>'Other - Mixed'!G14</f>
        <v>*</v>
      </c>
      <c r="I14" s="73">
        <f>'All Minorities'!G14</f>
        <v>1.2972765630993479</v>
      </c>
      <c r="L14" s="1">
        <f>'Black or African-American'!L14</f>
        <v>2</v>
      </c>
      <c r="M14" s="1">
        <f>Hispanic!L14</f>
        <v>40</v>
      </c>
      <c r="N14" s="1">
        <f>Asian!L14</f>
        <v>40</v>
      </c>
      <c r="O14" s="1" t="e">
        <f>Hawaiian!L14</f>
        <v>#VALUE!</v>
      </c>
      <c r="P14" s="1">
        <f>'Am Indian'!L14</f>
        <v>139</v>
      </c>
      <c r="Q14" s="1" t="e">
        <f>'Other - Mixed'!L14</f>
        <v>#VALUE!</v>
      </c>
      <c r="R14" s="1">
        <f>'All Minorities'!L14</f>
        <v>2</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20</v>
      </c>
      <c r="M15" s="1">
        <f>Hispanic!L15</f>
        <v>20</v>
      </c>
      <c r="N15" s="1" t="e">
        <f>Asian!L15</f>
        <v>#VALUE!</v>
      </c>
      <c r="O15" s="1" t="e">
        <f>Hawaiian!L15</f>
        <v>#VALUE!</v>
      </c>
      <c r="P15" s="1" t="e">
        <f>'Am Indian'!L15</f>
        <v>#VALUE!</v>
      </c>
      <c r="Q15" s="1" t="e">
        <f>'Other - Mixed'!L15</f>
        <v>#VALUE!</v>
      </c>
      <c r="R15" s="1">
        <f>'All Minorities'!L15</f>
        <v>20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70018</v>
      </c>
      <c r="D3" s="57">
        <f>'Data Entry'!C6</f>
        <v>43795</v>
      </c>
      <c r="E3" s="57">
        <f>'Data Entry'!D6</f>
        <v>10259</v>
      </c>
      <c r="F3" s="57">
        <f>'Data Entry'!E6</f>
        <v>12753</v>
      </c>
      <c r="G3" s="57">
        <f>'Data Entry'!F6</f>
        <v>2904</v>
      </c>
      <c r="H3" s="57">
        <f>'Data Entry'!G6</f>
        <v>0</v>
      </c>
      <c r="I3" s="57">
        <f>'Data Entry'!H6</f>
        <v>307</v>
      </c>
      <c r="J3" s="57">
        <f>'Data Entry'!I6</f>
        <v>0</v>
      </c>
      <c r="K3" s="57">
        <f>'Data Entry'!J6</f>
        <v>26223</v>
      </c>
    </row>
    <row r="4" spans="2:11" ht="15" customHeight="1">
      <c r="B4" s="16" t="s">
        <v>8</v>
      </c>
      <c r="C4" s="1">
        <f>IF((C$3&gt;0),(1000*('Data Entry'!B7/'Data Entry'!B$6)), 0)</f>
        <v>12.982375960467309</v>
      </c>
      <c r="D4" s="1">
        <f>IF((D$3&gt;0),(1000*('Data Entry'!C7/'Data Entry'!C$6)), 0)</f>
        <v>8.6082886174220814</v>
      </c>
      <c r="E4" s="1">
        <f>IF((E$3&gt;0),(1000*('Data Entry'!D7/'Data Entry'!D$6)), 0)</f>
        <v>42.791695096988015</v>
      </c>
      <c r="F4" s="1">
        <f>IF((F$3&gt;0),(1000*('Data Entry'!E7/'Data Entry'!E$6)), 0)</f>
        <v>4.5479495020779428</v>
      </c>
      <c r="G4" s="1">
        <f>IF((G$3&gt;0),(1000*('Data Entry'!F7/'Data Entry'!F$6)), 0)</f>
        <v>1.0330578512396695</v>
      </c>
      <c r="H4" s="1">
        <f>IF((H$3&gt;0),(1000*('Data Entry'!G7/'Data Entry'!G$6)), 0)</f>
        <v>0</v>
      </c>
      <c r="I4" s="1">
        <f>IF((I$3&gt;0),(1000*('Data Entry'!H7/'Data Entry'!H$6)), 0)</f>
        <v>6.5146579804560263</v>
      </c>
      <c r="J4" s="1">
        <f>IF((J$3&gt;0),(1000*('Data Entry'!I7/'Data Entry'!I$6)), 0)</f>
        <v>0</v>
      </c>
      <c r="K4" s="1">
        <f>IF((K$3&gt;0),(1000*('Data Entry'!J7/'Data Entry'!J$6)), 0)</f>
        <v>19.181634443046182</v>
      </c>
    </row>
    <row r="5" spans="2:11" ht="15" customHeight="1">
      <c r="B5" s="16" t="s">
        <v>9</v>
      </c>
      <c r="C5" s="1">
        <f>IF((C$3&gt;0),(1000*('Data Entry'!B8/'Data Entry'!B$6)), 0)</f>
        <v>27.82141734982433</v>
      </c>
      <c r="D5" s="1">
        <f>IF((D$3&gt;0),(1000*('Data Entry'!C8/'Data Entry'!C$6)), 0)</f>
        <v>20.573124785934468</v>
      </c>
      <c r="E5" s="1">
        <f>IF((E$3&gt;0),(1000*('Data Entry'!D8/'Data Entry'!D$6)), 0)</f>
        <v>78.955063846378792</v>
      </c>
      <c r="F5" s="1">
        <f>IF((F$3&gt;0),(1000*('Data Entry'!E8/'Data Entry'!E$6)), 0)</f>
        <v>10.899396220497138</v>
      </c>
      <c r="G5" s="1">
        <f>IF((G$3&gt;0),(1000*('Data Entry'!F8/'Data Entry'!F$6)), 0)</f>
        <v>5.1652892561983474</v>
      </c>
      <c r="H5" s="1">
        <f>IF((H$3&gt;0),(1000*('Data Entry'!G8/'Data Entry'!G$6)), 0)</f>
        <v>0</v>
      </c>
      <c r="I5" s="1">
        <f>IF((I$3&gt;0),(1000*('Data Entry'!H8/'Data Entry'!H$6)), 0)</f>
        <v>0</v>
      </c>
      <c r="J5" s="1">
        <f>IF((J$3&gt;0),(1000*('Data Entry'!I8/'Data Entry'!I$6)), 0)</f>
        <v>0</v>
      </c>
      <c r="K5" s="1">
        <f>IF((K$3&gt;0),(1000*('Data Entry'!J8/'Data Entry'!J$6)), 0)</f>
        <v>39.202227052587425</v>
      </c>
    </row>
    <row r="6" spans="2:11" ht="15" customHeight="1">
      <c r="B6" s="16" t="s">
        <v>10</v>
      </c>
      <c r="C6" s="1">
        <f>IF((C$3&gt;0),(1000*('Data Entry'!B9/'Data Entry'!B$6)), 0)</f>
        <v>8.9976863092347674</v>
      </c>
      <c r="D6" s="1">
        <f>IF((D$3&gt;0),(1000*('Data Entry'!C9/'Data Entry'!C$6)), 0)</f>
        <v>8.0374471971686265</v>
      </c>
      <c r="E6" s="1">
        <f>IF((E$3&gt;0),(1000*('Data Entry'!D9/'Data Entry'!D$6)), 0)</f>
        <v>19.787503655327029</v>
      </c>
      <c r="F6" s="1">
        <f>IF((F$3&gt;0),(1000*('Data Entry'!E9/'Data Entry'!E$6)), 0)</f>
        <v>3.3717556653336467</v>
      </c>
      <c r="G6" s="1">
        <f>IF((G$3&gt;0),(1000*('Data Entry'!F9/'Data Entry'!F$6)), 0)</f>
        <v>1.3774104683195594</v>
      </c>
      <c r="H6" s="1">
        <f>IF((H$3&gt;0),(1000*('Data Entry'!G9/'Data Entry'!G$6)), 0)</f>
        <v>0</v>
      </c>
      <c r="I6" s="1">
        <f>IF((I$3&gt;0),(1000*('Data Entry'!H9/'Data Entry'!H$6)), 0)</f>
        <v>6.5146579804560263</v>
      </c>
      <c r="J6" s="1">
        <f>IF((J$3&gt;0),(1000*('Data Entry'!I9/'Data Entry'!I$6)), 0)</f>
        <v>0</v>
      </c>
      <c r="K6" s="1">
        <f>IF((K$3&gt;0),(1000*('Data Entry'!J9/'Data Entry'!J$6)), 0)</f>
        <v>10.448842619074858</v>
      </c>
    </row>
    <row r="7" spans="2:11" ht="15" customHeight="1">
      <c r="B7" s="16" t="s">
        <v>11</v>
      </c>
      <c r="C7" s="1">
        <f>IF((C$3&gt;0),(1000*('Data Entry'!B10/'Data Entry'!B$6)), 0)</f>
        <v>10.740095404038962</v>
      </c>
      <c r="D7" s="1">
        <f>IF((D$3&gt;0),(1000*('Data Entry'!C10/'Data Entry'!C$6)), 0)</f>
        <v>4.1557255394451422</v>
      </c>
      <c r="E7" s="1">
        <f>IF((E$3&gt;0),(1000*('Data Entry'!D10/'Data Entry'!D$6)), 0)</f>
        <v>37.528024173896092</v>
      </c>
      <c r="F7" s="1">
        <f>IF((F$3&gt;0),(1000*('Data Entry'!E10/'Data Entry'!E$6)), 0)</f>
        <v>6.9787500980161532</v>
      </c>
      <c r="G7" s="1">
        <f>IF((G$3&gt;0),(1000*('Data Entry'!F10/'Data Entry'!F$6)), 0)</f>
        <v>1.0330578512396695</v>
      </c>
      <c r="H7" s="1">
        <f>IF((H$3&gt;0),(1000*('Data Entry'!G10/'Data Entry'!G$6)), 0)</f>
        <v>0</v>
      </c>
      <c r="I7" s="1">
        <f>IF((I$3&gt;0),(1000*('Data Entry'!H10/'Data Entry'!H$6)), 0)</f>
        <v>3.2573289902280131</v>
      </c>
      <c r="J7" s="1">
        <f>IF((J$3&gt;0),(1000*('Data Entry'!I10/'Data Entry'!I$6)), 0)</f>
        <v>0</v>
      </c>
      <c r="K7" s="1">
        <f>IF((K$3&gt;0),(1000*('Data Entry'!J10/'Data Entry'!J$6)), 0)</f>
        <v>21.698508942531369</v>
      </c>
    </row>
    <row r="8" spans="2:11" ht="15" customHeight="1">
      <c r="B8" s="16" t="s">
        <v>95</v>
      </c>
      <c r="C8" s="1">
        <f>IF((C$3&gt;0),(1000*('Data Entry'!B11/'Data Entry'!B$6)), 0)</f>
        <v>16.881373361135708</v>
      </c>
      <c r="D8" s="1">
        <f>IF((D$3&gt;0),(1000*('Data Entry'!C11/'Data Entry'!C$6)), 0)</f>
        <v>10.731818700764927</v>
      </c>
      <c r="E8" s="1">
        <f>IF((E$3&gt;0),(1000*('Data Entry'!D11/'Data Entry'!D$6)), 0)</f>
        <v>54.293790817818504</v>
      </c>
      <c r="F8" s="1">
        <f>IF((F$3&gt;0),(1000*('Data Entry'!E11/'Data Entry'!E$6)), 0)</f>
        <v>6.9787500980161532</v>
      </c>
      <c r="G8" s="1">
        <f>IF((G$3&gt;0),(1000*('Data Entry'!F11/'Data Entry'!F$6)), 0)</f>
        <v>2.7548209366391188</v>
      </c>
      <c r="H8" s="1">
        <f>IF((H$3&gt;0),(1000*('Data Entry'!G11/'Data Entry'!G$6)), 0)</f>
        <v>0</v>
      </c>
      <c r="I8" s="1">
        <f>IF((I$3&gt;0),(1000*('Data Entry'!H11/'Data Entry'!H$6)), 0)</f>
        <v>16.286644951140065</v>
      </c>
      <c r="J8" s="1">
        <f>IF((J$3&gt;0),(1000*('Data Entry'!I11/'Data Entry'!I$6)), 0)</f>
        <v>0</v>
      </c>
      <c r="K8" s="1">
        <f>IF((K$3&gt;0),(1000*('Data Entry'!J11/'Data Entry'!J$6)), 0)</f>
        <v>27.075468100522443</v>
      </c>
    </row>
    <row r="9" spans="2:11" ht="15" customHeight="1">
      <c r="B9" s="16" t="s">
        <v>13</v>
      </c>
      <c r="C9" s="1">
        <f>IF((C$3&gt;0),(1000*('Data Entry'!B12/'Data Entry'!B$6)), 0)</f>
        <v>6.1841240823788164</v>
      </c>
      <c r="D9" s="1">
        <f>IF((D$3&gt;0),(1000*('Data Entry'!C12/'Data Entry'!C$6)), 0)</f>
        <v>4.0643909122045896</v>
      </c>
      <c r="E9" s="1">
        <f>IF((E$3&gt;0),(1000*('Data Entry'!D12/'Data Entry'!D$6)), 0)</f>
        <v>18.520323618286383</v>
      </c>
      <c r="F9" s="1">
        <f>IF((F$3&gt;0),(1000*('Data Entry'!E12/'Data Entry'!E$6)), 0)</f>
        <v>3.3717556653336467</v>
      </c>
      <c r="G9" s="1">
        <f>IF((G$3&gt;0),(1000*('Data Entry'!F12/'Data Entry'!F$6)), 0)</f>
        <v>0.68870523415977969</v>
      </c>
      <c r="H9" s="1">
        <f>IF((H$3&gt;0),(1000*('Data Entry'!G12/'Data Entry'!G$6)), 0)</f>
        <v>0</v>
      </c>
      <c r="I9" s="1">
        <f>IF((I$3&gt;0),(1000*('Data Entry'!H12/'Data Entry'!H$6)), 0)</f>
        <v>6.5146579804560263</v>
      </c>
      <c r="J9" s="1">
        <f>IF((J$3&gt;0),(1000*('Data Entry'!I12/'Data Entry'!I$6)), 0)</f>
        <v>0</v>
      </c>
      <c r="K9" s="1">
        <f>IF((K$3&gt;0),(1000*('Data Entry'!J12/'Data Entry'!J$6)), 0)</f>
        <v>9.037867520878617</v>
      </c>
    </row>
    <row r="10" spans="2:11" ht="15" customHeight="1">
      <c r="B10" s="16" t="s">
        <v>14</v>
      </c>
      <c r="C10" s="1">
        <f>IF((C$3&gt;0),(1000*('Data Entry'!B13/'Data Entry'!B$6)), 0)</f>
        <v>5.3986117855408606</v>
      </c>
      <c r="D10" s="1">
        <f>IF((D$3&gt;0),(1000*('Data Entry'!C13/'Data Entry'!C$6)), 0)</f>
        <v>3.5848841191916887</v>
      </c>
      <c r="E10" s="1">
        <f>IF((E$3&gt;0),(1000*('Data Entry'!D13/'Data Entry'!D$6)), 0)</f>
        <v>16.180914319134416</v>
      </c>
      <c r="F10" s="1">
        <f>IF((F$3&gt;0),(1000*('Data Entry'!E13/'Data Entry'!E$6)), 0)</f>
        <v>2.7444522857366898</v>
      </c>
      <c r="G10" s="1">
        <f>IF((G$3&gt;0),(1000*('Data Entry'!F13/'Data Entry'!F$6)), 0)</f>
        <v>0.68870523415977969</v>
      </c>
      <c r="H10" s="1">
        <f>IF((H$3&gt;0),(1000*('Data Entry'!G13/'Data Entry'!G$6)), 0)</f>
        <v>0</v>
      </c>
      <c r="I10" s="1">
        <f>IF((I$3&gt;0),(1000*('Data Entry'!H13/'Data Entry'!H$6)), 0)</f>
        <v>6.5146579804560263</v>
      </c>
      <c r="J10" s="1">
        <f>IF((J$3&gt;0),(1000*('Data Entry'!I13/'Data Entry'!I$6)), 0)</f>
        <v>0</v>
      </c>
      <c r="K10" s="1">
        <f>IF((K$3&gt;0),(1000*('Data Entry'!J13/'Data Entry'!J$6)), 0)</f>
        <v>7.817564733249438</v>
      </c>
    </row>
    <row r="11" spans="2:11" ht="25.5" customHeight="1">
      <c r="B11" s="16" t="s">
        <v>15</v>
      </c>
      <c r="C11" s="1">
        <f>IF((C$3&gt;0),(1000*('Data Entry'!B14/'Data Entry'!B$6)), 0)</f>
        <v>0.44274329458139333</v>
      </c>
      <c r="D11" s="1">
        <f>IF((D$3&gt;0),(1000*('Data Entry'!C14/'Data Entry'!C$6)), 0)</f>
        <v>0.25117022491151958</v>
      </c>
      <c r="E11" s="1">
        <f>IF((E$3&gt;0),(1000*('Data Entry'!D14/'Data Entry'!D$6)), 0)</f>
        <v>1.7545569743639733</v>
      </c>
      <c r="F11" s="1">
        <f>IF((F$3&gt;0),(1000*('Data Entry'!E14/'Data Entry'!E$6)), 0)</f>
        <v>7.8412922449619699E-2</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0.72455478015482588</v>
      </c>
    </row>
    <row r="12" spans="2:11" ht="15" customHeight="1">
      <c r="B12" s="16" t="s">
        <v>16</v>
      </c>
      <c r="C12" s="1">
        <f>IF((C$3&gt;0),(1000*('Data Entry'!B15/'Data Entry'!B$6)), 0)</f>
        <v>0.11425633408552087</v>
      </c>
      <c r="D12" s="1">
        <f>IF((D$3&gt;0),(1000*('Data Entry'!C15/'Data Entry'!C$6)), 0)</f>
        <v>0</v>
      </c>
      <c r="E12" s="1">
        <f>IF((E$3&gt;0),(1000*('Data Entry'!D15/'Data Entry'!D$6)), 0)</f>
        <v>0.5848523247879911</v>
      </c>
      <c r="F12" s="1">
        <f>IF((F$3&gt;0),(1000*('Data Entry'!E15/'Data Entry'!E$6)), 0)</f>
        <v>0.1568258448992394</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0.30507569690729514</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Kent</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4.9709874980705298</v>
      </c>
      <c r="E19" s="72">
        <f t="shared" si="1"/>
        <v>0.52832214441247605</v>
      </c>
      <c r="F19" s="72">
        <f t="shared" si="1"/>
        <v>0.12000734375342526</v>
      </c>
      <c r="G19" s="72" t="str">
        <f t="shared" si="1"/>
        <v>--</v>
      </c>
      <c r="H19" s="72">
        <f t="shared" si="1"/>
        <v>0.75678898210629075</v>
      </c>
      <c r="I19" s="72" t="str">
        <f t="shared" si="1"/>
        <v>--</v>
      </c>
      <c r="J19" s="73">
        <f t="shared" si="1"/>
        <v>2.228275014411691</v>
      </c>
    </row>
    <row r="20" spans="2:10" ht="15" customHeight="1">
      <c r="B20" s="71" t="s">
        <v>9</v>
      </c>
      <c r="C20" s="72">
        <f t="shared" ref="C20:J27" si="2">IF(AND(($D5&gt;0),(D5&gt;0)), (D5/$D5),"--")</f>
        <v>1</v>
      </c>
      <c r="D20" s="72">
        <f t="shared" si="2"/>
        <v>3.8377769380157147</v>
      </c>
      <c r="E20" s="72">
        <f t="shared" si="2"/>
        <v>0.52978807711062392</v>
      </c>
      <c r="F20" s="72">
        <f t="shared" si="2"/>
        <v>0.25106974803019605</v>
      </c>
      <c r="G20" s="72" t="str">
        <f t="shared" si="2"/>
        <v>--</v>
      </c>
      <c r="H20" s="72" t="str">
        <f t="shared" si="2"/>
        <v>--</v>
      </c>
      <c r="I20" s="72" t="str">
        <f t="shared" si="2"/>
        <v>--</v>
      </c>
      <c r="J20" s="73">
        <f t="shared" si="2"/>
        <v>1.9055066967459116</v>
      </c>
    </row>
    <row r="21" spans="2:10" ht="15" customHeight="1">
      <c r="B21" s="71" t="s">
        <v>10</v>
      </c>
      <c r="C21" s="72">
        <f t="shared" si="2"/>
        <v>1</v>
      </c>
      <c r="D21" s="72">
        <f t="shared" si="2"/>
        <v>2.4619139846166114</v>
      </c>
      <c r="E21" s="72">
        <f t="shared" si="2"/>
        <v>0.41950579364570184</v>
      </c>
      <c r="F21" s="72">
        <f t="shared" si="2"/>
        <v>0.17137412346606562</v>
      </c>
      <c r="G21" s="72" t="str">
        <f t="shared" si="2"/>
        <v>--</v>
      </c>
      <c r="H21" s="72">
        <f t="shared" si="2"/>
        <v>0.81053819958543094</v>
      </c>
      <c r="I21" s="72" t="str">
        <f t="shared" si="2"/>
        <v>--</v>
      </c>
      <c r="J21" s="73">
        <f t="shared" si="2"/>
        <v>1.3000200639272257</v>
      </c>
    </row>
    <row r="22" spans="2:10" ht="15" customHeight="1">
      <c r="B22" s="71" t="s">
        <v>11</v>
      </c>
      <c r="C22" s="72">
        <f t="shared" si="2"/>
        <v>1</v>
      </c>
      <c r="D22" s="72">
        <f t="shared" si="2"/>
        <v>9.0304385642625231</v>
      </c>
      <c r="E22" s="72">
        <f t="shared" si="2"/>
        <v>1.6793096733110848</v>
      </c>
      <c r="F22" s="72">
        <f t="shared" si="2"/>
        <v>0.24858664063209521</v>
      </c>
      <c r="G22" s="72" t="str">
        <f t="shared" si="2"/>
        <v>--</v>
      </c>
      <c r="H22" s="72">
        <f t="shared" si="2"/>
        <v>0.78381716003865842</v>
      </c>
      <c r="I22" s="72" t="str">
        <f t="shared" si="2"/>
        <v>--</v>
      </c>
      <c r="J22" s="73">
        <f t="shared" si="2"/>
        <v>5.2213527425173698</v>
      </c>
    </row>
    <row r="23" spans="2:10" ht="15" customHeight="1">
      <c r="B23" s="71" t="s">
        <v>95</v>
      </c>
      <c r="C23" s="72">
        <f t="shared" si="2"/>
        <v>1</v>
      </c>
      <c r="D23" s="72">
        <f t="shared" si="2"/>
        <v>5.059141635885875</v>
      </c>
      <c r="E23" s="72">
        <f t="shared" si="2"/>
        <v>0.65028587349493072</v>
      </c>
      <c r="F23" s="72">
        <f t="shared" si="2"/>
        <v>0.25669655940448982</v>
      </c>
      <c r="G23" s="72" t="str">
        <f t="shared" si="2"/>
        <v>--</v>
      </c>
      <c r="H23" s="72">
        <f t="shared" si="2"/>
        <v>1.5176034375216578</v>
      </c>
      <c r="I23" s="72" t="str">
        <f t="shared" si="2"/>
        <v>--</v>
      </c>
      <c r="J23" s="73">
        <f t="shared" si="2"/>
        <v>2.5229151605582563</v>
      </c>
    </row>
    <row r="24" spans="2:10" ht="15" customHeight="1">
      <c r="B24" s="71" t="s">
        <v>13</v>
      </c>
      <c r="C24" s="72">
        <f t="shared" si="2"/>
        <v>1</v>
      </c>
      <c r="D24" s="72">
        <f t="shared" si="2"/>
        <v>4.556727937431754</v>
      </c>
      <c r="E24" s="72">
        <f t="shared" si="2"/>
        <v>0.82958449080498342</v>
      </c>
      <c r="F24" s="72">
        <f t="shared" si="2"/>
        <v>0.16944857151700871</v>
      </c>
      <c r="G24" s="72" t="str">
        <f t="shared" si="2"/>
        <v>--</v>
      </c>
      <c r="H24" s="72">
        <f t="shared" si="2"/>
        <v>1.6028620576071442</v>
      </c>
      <c r="I24" s="72" t="str">
        <f t="shared" si="2"/>
        <v>--</v>
      </c>
      <c r="J24" s="73">
        <f t="shared" si="2"/>
        <v>2.2236708318925786</v>
      </c>
    </row>
    <row r="25" spans="2:10" ht="15" customHeight="1">
      <c r="B25" s="71" t="s">
        <v>14</v>
      </c>
      <c r="C25" s="72">
        <f t="shared" si="2"/>
        <v>1</v>
      </c>
      <c r="D25" s="72">
        <f t="shared" si="2"/>
        <v>4.5136505898502657</v>
      </c>
      <c r="E25" s="72">
        <f t="shared" si="2"/>
        <v>0.76556234301807846</v>
      </c>
      <c r="F25" s="72">
        <f t="shared" si="2"/>
        <v>0.19211366707023916</v>
      </c>
      <c r="G25" s="72" t="str">
        <f t="shared" si="2"/>
        <v>--</v>
      </c>
      <c r="H25" s="72">
        <f t="shared" si="2"/>
        <v>1.8172576194526857</v>
      </c>
      <c r="I25" s="72" t="str">
        <f t="shared" si="2"/>
        <v>--</v>
      </c>
      <c r="J25" s="73">
        <f t="shared" si="2"/>
        <v>2.180702213329039</v>
      </c>
    </row>
    <row r="26" spans="2:10" ht="25.5" customHeight="1">
      <c r="B26" s="71" t="s">
        <v>15</v>
      </c>
      <c r="C26" s="72">
        <f t="shared" si="2"/>
        <v>1</v>
      </c>
      <c r="D26" s="72">
        <f t="shared" si="2"/>
        <v>6.985529335660928</v>
      </c>
      <c r="E26" s="72">
        <f t="shared" si="2"/>
        <v>0.31219035806191769</v>
      </c>
      <c r="F26" s="72" t="str">
        <f t="shared" si="2"/>
        <v>--</v>
      </c>
      <c r="G26" s="72" t="str">
        <f t="shared" si="2"/>
        <v>--</v>
      </c>
      <c r="H26" s="72" t="str">
        <f t="shared" si="2"/>
        <v>--</v>
      </c>
      <c r="I26" s="72" t="str">
        <f t="shared" si="2"/>
        <v>--</v>
      </c>
      <c r="J26" s="73">
        <f t="shared" si="2"/>
        <v>2.8847160542618728</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Kent</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43795</v>
      </c>
      <c r="D7" s="104">
        <f>'Data Entry'!D6</f>
        <v>10259</v>
      </c>
      <c r="E7" s="105"/>
      <c r="F7" s="106">
        <f>'Data Entry'!E6</f>
        <v>12753</v>
      </c>
      <c r="G7" s="105"/>
      <c r="H7" s="106">
        <f>'Data Entry'!F6</f>
        <v>2904</v>
      </c>
      <c r="I7" s="105"/>
      <c r="J7" s="106">
        <f>'Data Entry'!G6</f>
        <v>0</v>
      </c>
      <c r="K7" s="105"/>
      <c r="L7" s="106">
        <f>'Data Entry'!H6</f>
        <v>307</v>
      </c>
      <c r="M7" s="105"/>
      <c r="N7" s="106">
        <f>'Data Entry'!I6</f>
        <v>0</v>
      </c>
      <c r="O7" s="105"/>
      <c r="P7" s="106">
        <f>'Data Entry'!J6</f>
        <v>26223</v>
      </c>
      <c r="Q7" s="107"/>
    </row>
    <row r="8" spans="2:26" s="1" customFormat="1" ht="15" customHeight="1">
      <c r="B8" s="142" t="s">
        <v>8</v>
      </c>
      <c r="C8" s="103">
        <f>'Data Entry'!C7</f>
        <v>377</v>
      </c>
      <c r="D8" s="104">
        <f>'Data Entry'!D7</f>
        <v>439</v>
      </c>
      <c r="E8" s="105">
        <f>'Black or African-American'!$G7</f>
        <v>4.9709874980705306</v>
      </c>
      <c r="F8" s="106">
        <f>'Data Entry'!E7</f>
        <v>58</v>
      </c>
      <c r="G8" s="105">
        <f>Hispanic!G7</f>
        <v>0.52832214441247616</v>
      </c>
      <c r="H8" s="106">
        <f>'Data Entry'!F7</f>
        <v>3</v>
      </c>
      <c r="I8" s="105" t="str">
        <f>Asian!G7</f>
        <v>**</v>
      </c>
      <c r="J8" s="106">
        <f>'Data Entry'!G7</f>
        <v>1</v>
      </c>
      <c r="K8" s="105" t="str">
        <f>Hawaiian!G7</f>
        <v>*</v>
      </c>
      <c r="L8" s="106">
        <f>'Data Entry'!H7</f>
        <v>2</v>
      </c>
      <c r="M8" s="105" t="str">
        <f>'Am Indian'!G7</f>
        <v>*</v>
      </c>
      <c r="N8" s="106">
        <f>'Data Entry'!I7</f>
        <v>0</v>
      </c>
      <c r="O8" s="105" t="str">
        <f>'Other - Mixed'!G7</f>
        <v>*</v>
      </c>
      <c r="P8" s="106">
        <f>'Data Entry'!J7</f>
        <v>503</v>
      </c>
      <c r="Q8" s="107">
        <f>'All Minorities'!G7</f>
        <v>2.2282750144116914</v>
      </c>
      <c r="R8"/>
      <c r="T8" s="1">
        <f>'Black or African-American'!L7</f>
        <v>1</v>
      </c>
      <c r="U8" s="1">
        <f>Hispanic!L7</f>
        <v>1</v>
      </c>
      <c r="V8" s="1">
        <f>Asian!L7</f>
        <v>20</v>
      </c>
      <c r="W8" s="1" t="e">
        <f>Hawaiian!L7</f>
        <v>#DIV/0!</v>
      </c>
      <c r="X8" s="1">
        <f>'Am Indian'!L7</f>
        <v>139</v>
      </c>
      <c r="Y8" s="1" t="e">
        <f>'Other - Mixed'!L7</f>
        <v>#VALUE!</v>
      </c>
      <c r="Z8" s="1">
        <f>'All Minorities'!L7</f>
        <v>1</v>
      </c>
    </row>
    <row r="9" spans="2:26" s="1" customFormat="1" ht="15" customHeight="1">
      <c r="B9" s="142" t="s">
        <v>126</v>
      </c>
      <c r="C9" s="103">
        <f>'Data Entry'!C8</f>
        <v>901</v>
      </c>
      <c r="D9" s="108">
        <f>'Data Entry'!D8</f>
        <v>810</v>
      </c>
      <c r="E9" s="109">
        <f>'Black or African-American'!$G8</f>
        <v>0.77203512169470012</v>
      </c>
      <c r="F9" s="110">
        <f>'Data Entry'!E8</f>
        <v>139</v>
      </c>
      <c r="G9" s="109">
        <f>Hispanic!G8</f>
        <v>1.0027746947835738</v>
      </c>
      <c r="H9" s="110">
        <f>'Data Entry'!F8</f>
        <v>15</v>
      </c>
      <c r="I9" s="109" t="str">
        <f>Asian!G8</f>
        <v>**</v>
      </c>
      <c r="J9" s="110">
        <f>'Data Entry'!G8</f>
        <v>0</v>
      </c>
      <c r="K9" s="109" t="str">
        <f>Hawaiian!G8</f>
        <v>*</v>
      </c>
      <c r="L9" s="110">
        <f>'Data Entry'!H8</f>
        <v>0</v>
      </c>
      <c r="M9" s="109" t="str">
        <f>'Am Indian'!G8</f>
        <v>*</v>
      </c>
      <c r="N9" s="110">
        <f>'Data Entry'!I8</f>
        <v>64</v>
      </c>
      <c r="O9" s="109" t="str">
        <f>'Other - Mixed'!G8</f>
        <v>*</v>
      </c>
      <c r="P9" s="110">
        <f>'Data Entry'!J8</f>
        <v>1028</v>
      </c>
      <c r="Q9" s="111">
        <f>'All Minorities'!G8</f>
        <v>0.8551487964554515</v>
      </c>
      <c r="R9"/>
      <c r="T9" s="1">
        <f>'Black or African-American'!L8</f>
        <v>1</v>
      </c>
      <c r="U9" s="1">
        <f>Hispanic!L8</f>
        <v>2</v>
      </c>
      <c r="V9" s="1">
        <f>Asian!L8</f>
        <v>20</v>
      </c>
      <c r="W9" s="1">
        <f>Hawaiian!L8</f>
        <v>139</v>
      </c>
      <c r="X9" s="1">
        <f>'Am Indian'!L8</f>
        <v>139</v>
      </c>
      <c r="Y9" s="1">
        <f>'Other - Mixed'!L8</f>
        <v>119</v>
      </c>
      <c r="Z9" s="1">
        <f>'All Minorities'!L8</f>
        <v>1</v>
      </c>
    </row>
    <row r="10" spans="2:26" s="1" customFormat="1" ht="15" customHeight="1">
      <c r="B10" s="142" t="s">
        <v>10</v>
      </c>
      <c r="C10" s="103">
        <f>'Data Entry'!C9</f>
        <v>352</v>
      </c>
      <c r="D10" s="112">
        <f>'Data Entry'!D9</f>
        <v>203</v>
      </c>
      <c r="E10" s="113">
        <f>'Black or African-American'!$G9</f>
        <v>0.6414948092031425</v>
      </c>
      <c r="F10" s="114">
        <f>'Data Entry'!E9</f>
        <v>43</v>
      </c>
      <c r="G10" s="113">
        <f>Hispanic!G9</f>
        <v>0.79183698495748855</v>
      </c>
      <c r="H10" s="114">
        <f>'Data Entry'!F9</f>
        <v>4</v>
      </c>
      <c r="I10" s="113" t="str">
        <f>Asian!G9</f>
        <v>**</v>
      </c>
      <c r="J10" s="114">
        <f>'Data Entry'!G9</f>
        <v>0</v>
      </c>
      <c r="K10" s="113" t="str">
        <f>Hawaiian!G9</f>
        <v>*</v>
      </c>
      <c r="L10" s="114">
        <f>'Data Entry'!H9</f>
        <v>2</v>
      </c>
      <c r="M10" s="113" t="str">
        <f>'Am Indian'!G9</f>
        <v>*</v>
      </c>
      <c r="N10" s="114">
        <f>'Data Entry'!I9</f>
        <v>22</v>
      </c>
      <c r="O10" s="113" t="str">
        <f>'Other - Mixed'!G9</f>
        <v>*</v>
      </c>
      <c r="P10" s="114">
        <f>'Data Entry'!J9</f>
        <v>274</v>
      </c>
      <c r="Q10" s="115">
        <f>'All Minorities'!G9</f>
        <v>0.68224376547576937</v>
      </c>
      <c r="R10"/>
      <c r="T10" s="1">
        <f>'Black or African-American'!L9</f>
        <v>1</v>
      </c>
      <c r="U10" s="1">
        <f>Hispanic!L9</f>
        <v>2</v>
      </c>
      <c r="V10" s="1">
        <f>Asian!L9</f>
        <v>40</v>
      </c>
      <c r="W10" s="1" t="e">
        <f>Hawaiian!L9</f>
        <v>#VALUE!</v>
      </c>
      <c r="X10" s="1" t="e">
        <f>'Am Indian'!L9</f>
        <v>#DIV/0!</v>
      </c>
      <c r="Y10" s="1">
        <f>'Other - Mixed'!L9</f>
        <v>101</v>
      </c>
      <c r="Z10" s="1">
        <f>'All Minorities'!L9</f>
        <v>1</v>
      </c>
    </row>
    <row r="11" spans="2:26" s="1" customFormat="1" ht="15" customHeight="1">
      <c r="B11" s="142" t="s">
        <v>11</v>
      </c>
      <c r="C11" s="103">
        <f>'Data Entry'!C10</f>
        <v>182</v>
      </c>
      <c r="D11" s="108">
        <f>'Data Entry'!D10</f>
        <v>385</v>
      </c>
      <c r="E11" s="109">
        <f>'Black or African-American'!$G10</f>
        <v>2.3530389363722701</v>
      </c>
      <c r="F11" s="110">
        <f>'Data Entry'!E10</f>
        <v>89</v>
      </c>
      <c r="G11" s="109">
        <f>Hispanic!G10</f>
        <v>3.1697762668985696</v>
      </c>
      <c r="H11" s="110">
        <f>'Data Entry'!F10</f>
        <v>3</v>
      </c>
      <c r="I11" s="109" t="str">
        <f>Asian!G10</f>
        <v>**</v>
      </c>
      <c r="J11" s="110">
        <f>'Data Entry'!G10</f>
        <v>0</v>
      </c>
      <c r="K11" s="109" t="str">
        <f>Hawaiian!G10</f>
        <v>*</v>
      </c>
      <c r="L11" s="110">
        <f>'Data Entry'!H10</f>
        <v>1</v>
      </c>
      <c r="M11" s="109" t="str">
        <f>'Am Indian'!G10</f>
        <v>*</v>
      </c>
      <c r="N11" s="110">
        <f>'Data Entry'!I10</f>
        <v>91</v>
      </c>
      <c r="O11" s="109" t="str">
        <f>'Other - Mixed'!G10</f>
        <v>*</v>
      </c>
      <c r="P11" s="110">
        <f>'Data Entry'!J10</f>
        <v>569</v>
      </c>
      <c r="Q11" s="111">
        <f>'All Minorities'!G10</f>
        <v>2.7401387522982859</v>
      </c>
      <c r="R11"/>
      <c r="T11" s="1">
        <f>'Black or African-American'!L10</f>
        <v>1</v>
      </c>
      <c r="U11" s="1">
        <f>Hispanic!L10</f>
        <v>1</v>
      </c>
      <c r="V11" s="1">
        <f>Asian!L10</f>
        <v>40</v>
      </c>
      <c r="W11" s="1" t="e">
        <f>Hawaiian!L10</f>
        <v>#VALUE!</v>
      </c>
      <c r="X11" s="1" t="e">
        <f>'Am Indian'!L10</f>
        <v>#DIV/0!</v>
      </c>
      <c r="Y11" s="1">
        <f>'Other - Mixed'!L10</f>
        <v>100</v>
      </c>
      <c r="Z11" s="1">
        <f>'All Minorities'!L10</f>
        <v>1</v>
      </c>
    </row>
    <row r="12" spans="2:26" s="1" customFormat="1" ht="15" customHeight="1">
      <c r="B12" s="142" t="s">
        <v>95</v>
      </c>
      <c r="C12" s="103">
        <f>'Data Entry'!C11</f>
        <v>470</v>
      </c>
      <c r="D12" s="112">
        <f>'Data Entry'!D11</f>
        <v>557</v>
      </c>
      <c r="E12" s="113">
        <f>'Black or African-American'!$G11</f>
        <v>1.3182479642763332</v>
      </c>
      <c r="F12" s="114">
        <f>'Data Entry'!E11</f>
        <v>89</v>
      </c>
      <c r="G12" s="113">
        <f>Hispanic!G11</f>
        <v>1.2274452778202971</v>
      </c>
      <c r="H12" s="114">
        <f>'Data Entry'!F11</f>
        <v>8</v>
      </c>
      <c r="I12" s="113" t="str">
        <f>Asian!G11</f>
        <v>**</v>
      </c>
      <c r="J12" s="114">
        <f>'Data Entry'!G11</f>
        <v>0</v>
      </c>
      <c r="K12" s="113" t="str">
        <f>Hawaiian!G11</f>
        <v>*</v>
      </c>
      <c r="L12" s="114">
        <f>'Data Entry'!H11</f>
        <v>5</v>
      </c>
      <c r="M12" s="113" t="str">
        <f>'Am Indian'!G11</f>
        <v>*</v>
      </c>
      <c r="N12" s="114">
        <f>'Data Entry'!I11</f>
        <v>51</v>
      </c>
      <c r="O12" s="113" t="str">
        <f>'Other - Mixed'!G11</f>
        <v>*</v>
      </c>
      <c r="P12" s="114">
        <f>'Data Entry'!J11</f>
        <v>710</v>
      </c>
      <c r="Q12" s="115">
        <f>'All Minorities'!G11</f>
        <v>1.3240127493997849</v>
      </c>
      <c r="R12"/>
      <c r="T12" s="1">
        <f>'Black or African-American'!L11</f>
        <v>1</v>
      </c>
      <c r="U12" s="1">
        <f>Hispanic!L11</f>
        <v>1</v>
      </c>
      <c r="V12" s="1">
        <f>Asian!L11</f>
        <v>40</v>
      </c>
      <c r="W12" s="1" t="e">
        <f>Hawaiian!L11</f>
        <v>#VALUE!</v>
      </c>
      <c r="X12" s="1" t="e">
        <f>'Am Indian'!L11</f>
        <v>#DIV/0!</v>
      </c>
      <c r="Y12" s="1">
        <f>'Other - Mixed'!L11</f>
        <v>100</v>
      </c>
      <c r="Z12" s="1">
        <f>'All Minorities'!L11</f>
        <v>1</v>
      </c>
    </row>
    <row r="13" spans="2:26" s="1" customFormat="1" ht="15" customHeight="1">
      <c r="B13" s="142" t="s">
        <v>13</v>
      </c>
      <c r="C13" s="103">
        <f>'Data Entry'!C12</f>
        <v>178</v>
      </c>
      <c r="D13" s="108">
        <f>'Data Entry'!D12</f>
        <v>190</v>
      </c>
      <c r="E13" s="109">
        <f>'Black or African-American'!$G12</f>
        <v>0.90069190890202322</v>
      </c>
      <c r="F13" s="110">
        <f>'Data Entry'!E12</f>
        <v>43</v>
      </c>
      <c r="G13" s="109">
        <f>Hispanic!G12</f>
        <v>1.27572276227749</v>
      </c>
      <c r="H13" s="110">
        <f>'Data Entry'!F12</f>
        <v>2</v>
      </c>
      <c r="I13" s="109" t="str">
        <f>Asian!G12</f>
        <v>**</v>
      </c>
      <c r="J13" s="110">
        <f>'Data Entry'!G12</f>
        <v>0</v>
      </c>
      <c r="K13" s="109" t="str">
        <f>Hawaiian!G12</f>
        <v>*</v>
      </c>
      <c r="L13" s="110">
        <f>'Data Entry'!H12</f>
        <v>2</v>
      </c>
      <c r="M13" s="109" t="str">
        <f>'Am Indian'!G12</f>
        <v>*</v>
      </c>
      <c r="N13" s="110">
        <f>'Data Entry'!I12</f>
        <v>0</v>
      </c>
      <c r="O13" s="109" t="str">
        <f>'Other - Mixed'!G12</f>
        <v>*</v>
      </c>
      <c r="P13" s="110">
        <f>'Data Entry'!J12</f>
        <v>237</v>
      </c>
      <c r="Q13" s="111">
        <f>'All Minorities'!G12</f>
        <v>0.88138946035765153</v>
      </c>
      <c r="R13"/>
      <c r="T13" s="1">
        <f>'Black or African-American'!L12</f>
        <v>2</v>
      </c>
      <c r="U13" s="1">
        <f>Hispanic!L12</f>
        <v>2</v>
      </c>
      <c r="V13" s="1">
        <f>Asian!L12</f>
        <v>40</v>
      </c>
      <c r="W13" s="1" t="e">
        <f>Hawaiian!L12</f>
        <v>#VALUE!</v>
      </c>
      <c r="X13" s="1">
        <f>'Am Indian'!L12</f>
        <v>139</v>
      </c>
      <c r="Y13" s="1">
        <f>'Other - Mixed'!L12</f>
        <v>119</v>
      </c>
      <c r="Z13" s="1">
        <f>'All Minorities'!L12</f>
        <v>2</v>
      </c>
    </row>
    <row r="14" spans="2:26" s="1" customFormat="1" ht="15" customHeight="1">
      <c r="B14" s="142" t="s">
        <v>125</v>
      </c>
      <c r="C14" s="103">
        <f>'Data Entry'!C13</f>
        <v>157</v>
      </c>
      <c r="D14" s="112">
        <f>'Data Entry'!D13</f>
        <v>166</v>
      </c>
      <c r="E14" s="113">
        <f>'Black or African-American'!$G13</f>
        <v>0.99054642976868934</v>
      </c>
      <c r="F14" s="114">
        <f>'Data Entry'!E13</f>
        <v>35</v>
      </c>
      <c r="G14" s="113">
        <f>Hispanic!G13</f>
        <v>0.92282624796326462</v>
      </c>
      <c r="H14" s="114">
        <f>'Data Entry'!F13</f>
        <v>2</v>
      </c>
      <c r="I14" s="113" t="str">
        <f>Asian!G13</f>
        <v>**</v>
      </c>
      <c r="J14" s="114">
        <f>'Data Entry'!G13</f>
        <v>0</v>
      </c>
      <c r="K14" s="113" t="str">
        <f>Hawaiian!G13</f>
        <v>*</v>
      </c>
      <c r="L14" s="114">
        <f>'Data Entry'!H13</f>
        <v>2</v>
      </c>
      <c r="M14" s="113" t="str">
        <f>'Am Indian'!G13</f>
        <v>*</v>
      </c>
      <c r="N14" s="114">
        <f>'Data Entry'!I13</f>
        <v>0</v>
      </c>
      <c r="O14" s="113" t="str">
        <f>'Other - Mixed'!G13</f>
        <v>*</v>
      </c>
      <c r="P14" s="114">
        <f>'Data Entry'!J13</f>
        <v>205</v>
      </c>
      <c r="Q14" s="115">
        <f>'All Minorities'!G13</f>
        <v>0.98067671799833367</v>
      </c>
      <c r="R14"/>
      <c r="T14" s="1">
        <f>'Black or African-American'!L13</f>
        <v>2</v>
      </c>
      <c r="U14" s="1">
        <f>Hispanic!L13</f>
        <v>2</v>
      </c>
      <c r="V14" s="1">
        <f>Asian!L13</f>
        <v>40</v>
      </c>
      <c r="W14" s="1" t="e">
        <f>Hawaiian!L13</f>
        <v>#VALUE!</v>
      </c>
      <c r="X14" s="1">
        <f>'Am Indian'!L13</f>
        <v>139</v>
      </c>
      <c r="Y14" s="1" t="e">
        <f>'Other - Mixed'!L13</f>
        <v>#VALUE!</v>
      </c>
      <c r="Z14" s="1">
        <f>'All Minorities'!L13</f>
        <v>2</v>
      </c>
    </row>
    <row r="15" spans="2:26" s="1" customFormat="1" ht="33">
      <c r="B15" s="144" t="s">
        <v>115</v>
      </c>
      <c r="C15" s="103">
        <f>'Data Entry'!C14</f>
        <v>11</v>
      </c>
      <c r="D15" s="108">
        <f>'Data Entry'!D14</f>
        <v>18</v>
      </c>
      <c r="E15" s="109">
        <f>'Black or African-American'!$G14</f>
        <v>1.5330143540669858</v>
      </c>
      <c r="F15" s="110">
        <f>'Data Entry'!E14</f>
        <v>1</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19</v>
      </c>
      <c r="Q15" s="111">
        <f>'All Minorities'!G14</f>
        <v>1.2972765630993479</v>
      </c>
      <c r="R15"/>
      <c r="T15" s="1">
        <f>'Black or African-American'!L14</f>
        <v>2</v>
      </c>
      <c r="U15" s="1">
        <f>Hispanic!L14</f>
        <v>40</v>
      </c>
      <c r="V15" s="1">
        <f>Asian!L14</f>
        <v>40</v>
      </c>
      <c r="W15" s="1" t="e">
        <f>Hawaiian!L14</f>
        <v>#VALUE!</v>
      </c>
      <c r="X15" s="1">
        <f>'Am Indian'!L14</f>
        <v>139</v>
      </c>
      <c r="Y15" s="1" t="e">
        <f>'Other - Mixed'!L14</f>
        <v>#VALUE!</v>
      </c>
      <c r="Z15" s="1">
        <f>'All Minorities'!L14</f>
        <v>2</v>
      </c>
    </row>
    <row r="16" spans="2:26" s="1" customFormat="1" ht="15" customHeight="1">
      <c r="B16" s="142" t="s">
        <v>16</v>
      </c>
      <c r="C16" s="103">
        <f>'Data Entry'!C15</f>
        <v>0</v>
      </c>
      <c r="D16" s="116">
        <f>'Data Entry'!D15</f>
        <v>6</v>
      </c>
      <c r="E16" s="117" t="str">
        <f>'Black or African-American'!$G15</f>
        <v>**</v>
      </c>
      <c r="F16" s="118">
        <f>'Data Entry'!E15</f>
        <v>2</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8</v>
      </c>
      <c r="Q16" s="119" t="str">
        <f>'All Minorities'!G15</f>
        <v>**</v>
      </c>
      <c r="R16"/>
      <c r="T16" s="1">
        <f>'Black or African-American'!L15</f>
        <v>20</v>
      </c>
      <c r="U16" s="1">
        <f>Hispanic!L15</f>
        <v>20</v>
      </c>
      <c r="V16" s="1" t="e">
        <f>Asian!L15</f>
        <v>#VALUE!</v>
      </c>
      <c r="W16" s="1" t="e">
        <f>Hawaiian!L15</f>
        <v>#VALUE!</v>
      </c>
      <c r="X16" s="1" t="e">
        <f>'Am Indian'!L15</f>
        <v>#VALUE!</v>
      </c>
      <c r="Y16" s="1" t="e">
        <f>'Other - Mixed'!L15</f>
        <v>#VALUE!</v>
      </c>
      <c r="Z16" s="1">
        <f>'All Minorities'!L15</f>
        <v>20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Kent County Juvenile Court</v>
      </c>
      <c r="E27" s="1" t="str">
        <f>'Data Entry'!D20</f>
        <v>Item 4.Diversion: Kent County Juvenile Court</v>
      </c>
      <c r="I27" s="96"/>
      <c r="J27" s="96"/>
    </row>
    <row r="28" spans="2:18" ht="12.75" customHeight="1">
      <c r="B28" s="1" t="str">
        <f>'Data Entry'!A21</f>
        <v>Item 5.Detention: Kent County Juvenile Court</v>
      </c>
      <c r="E28" s="1" t="str">
        <f>'Data Entry'!D21</f>
        <v>Item 6.Petitioned: Kent County Juvenile Court</v>
      </c>
      <c r="I28" s="96"/>
      <c r="J28" s="96"/>
    </row>
    <row r="29" spans="2:18" ht="12.75" customHeight="1">
      <c r="B29" s="1" t="str">
        <f>'Data Entry'!A22</f>
        <v>Item 7.Delinquent: Kent County Juvenile Court</v>
      </c>
      <c r="E29" s="1" t="str">
        <f>'Data Entry'!D22</f>
        <v>Item 8.Probation: Kent County Juvenile Court</v>
      </c>
      <c r="I29" s="96"/>
      <c r="J29" s="96"/>
    </row>
    <row r="30" spans="2:18" ht="12.75" customHeight="1">
      <c r="B30" s="1" t="str">
        <f>'Data Entry'!A23</f>
        <v>Item 9.Confinement: Kent County Juvenile Court</v>
      </c>
      <c r="E30" s="1" t="str">
        <f>'Data Entry'!D23</f>
        <v>Item 10.Transferred: Kent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Kent</v>
      </c>
    </row>
    <row r="6" spans="1:12">
      <c r="A6" s="135" t="str">
        <f>CONCATENATE("Percentage of Minorities at Stages of the Juvenile Justice System, ", A5, " 2024")</f>
        <v>Percentage of Minorities at Stages of the Juvenile Justice System, County: Kent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N=8</v>
      </c>
      <c r="B7" s="150">
        <f>'Data Entry'!D15/'Data Entry'!B15</f>
        <v>0.75</v>
      </c>
      <c r="C7" s="150">
        <f>'Data Entry'!E15/'Data Entry'!B15</f>
        <v>0.25</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N=8</v>
      </c>
      <c r="L7">
        <f>I14/(SUM(B14:G14))</f>
        <v>1.6700987682568738</v>
      </c>
    </row>
    <row r="8" spans="1:12" ht="25.5" customHeight="1">
      <c r="A8" s="151" t="str">
        <f>CONCATENATE("Confinement, total N=", 'Data Entry'!B14)</f>
        <v>Confinement, total N=31</v>
      </c>
      <c r="B8" s="150">
        <f>'Data Entry'!D14/'Data Entry'!B14</f>
        <v>0.58064516129032262</v>
      </c>
      <c r="C8" s="150">
        <f>'Data Entry'!E14/'Data Entry'!B14</f>
        <v>3.2258064516129031E-2</v>
      </c>
      <c r="D8" s="150">
        <f>'Data Entry'!F14/'Data Entry'!B14</f>
        <v>0</v>
      </c>
      <c r="E8" s="150">
        <f>'Data Entry'!G14/'Data Entry'!B14</f>
        <v>0</v>
      </c>
      <c r="F8" s="150">
        <f>'Data Entry'!H14/'Data Entry'!B14</f>
        <v>0</v>
      </c>
      <c r="G8" s="150">
        <f>'Data Entry'!I14/'Data Entry'!B14</f>
        <v>0</v>
      </c>
      <c r="H8" s="150">
        <f>SUM(D8:G8)/'Data Entry'!B14</f>
        <v>0</v>
      </c>
      <c r="I8" s="150">
        <f>'Data Entry'!C14/'Data Entry'!B14</f>
        <v>0.35483870967741937</v>
      </c>
      <c r="K8" s="96" t="str">
        <f>A8</f>
        <v>Confinement, total N=31</v>
      </c>
      <c r="L8">
        <f>I14/(SUM(B14:G14))</f>
        <v>1.6700987682568738</v>
      </c>
    </row>
    <row r="9" spans="1:12">
      <c r="A9" s="128" t="str">
        <f>CONCATENATE("Delinquent Findings, total N=", 'Data Entry'!B12)</f>
        <v>Delinquent Findings, total N=433</v>
      </c>
      <c r="B9" s="150">
        <f>'Data Entry'!D12/'Data Entry'!B12</f>
        <v>0.43879907621247111</v>
      </c>
      <c r="C9" s="150">
        <f>'Data Entry'!E12/'Data Entry'!B12</f>
        <v>9.9307159353348731E-2</v>
      </c>
      <c r="D9" s="150">
        <f>'Data Entry'!F12/'Data Entry'!B12</f>
        <v>4.6189376443418013E-3</v>
      </c>
      <c r="E9" s="150">
        <f>'Data Entry'!G12/'Data Entry'!B12</f>
        <v>0</v>
      </c>
      <c r="F9" s="150">
        <f>'Data Entry'!H12/'Data Entry'!B12</f>
        <v>4.6189376443418013E-3</v>
      </c>
      <c r="G9" s="150">
        <f>'Data Entry'!I12/'Data Entry'!B12</f>
        <v>0</v>
      </c>
      <c r="H9" s="150">
        <f>SUM(D9:G9)/'Data Entry'!B12</f>
        <v>2.1334584962317787E-5</v>
      </c>
      <c r="I9" s="150">
        <f>'Data Entry'!C12/'Data Entry'!B12</f>
        <v>0.4110854503464203</v>
      </c>
      <c r="K9" s="96" t="str">
        <f t="shared" si="0"/>
        <v>Delinquent Findings, total N=433</v>
      </c>
      <c r="L9">
        <f>I14/(SUM(B14:G14))</f>
        <v>1.6700987682568738</v>
      </c>
    </row>
    <row r="10" spans="1:12">
      <c r="A10" s="128" t="str">
        <f>CONCATENATE("Petitions, total N=", 'Data Entry'!B11)</f>
        <v>Petitions, total N=1182</v>
      </c>
      <c r="B10" s="150">
        <f>'Data Entry'!D11/'Data Entry'!B11</f>
        <v>0.47123519458544838</v>
      </c>
      <c r="C10" s="150">
        <f>'Data Entry'!E11/'Data Entry'!B11</f>
        <v>7.5296108291032143E-2</v>
      </c>
      <c r="D10" s="150">
        <f>'Data Entry'!F11/'Data Entry'!B11</f>
        <v>6.7681895093062603E-3</v>
      </c>
      <c r="E10" s="150">
        <f>'Data Entry'!G11/'Data Entry'!B11</f>
        <v>0</v>
      </c>
      <c r="F10" s="150">
        <f>'Data Entry'!H11/'Data Entry'!B11</f>
        <v>4.2301184433164128E-3</v>
      </c>
      <c r="G10" s="150">
        <f>'Data Entry'!I11/'Data Entry'!B11</f>
        <v>4.3147208121827409E-2</v>
      </c>
      <c r="H10" s="150">
        <f>SUM(D10:G10)/'Data Entry'!B11</f>
        <v>4.5808389233883317E-5</v>
      </c>
      <c r="I10" s="150">
        <f>'Data Entry'!C11/'Data Entry'!B11</f>
        <v>0.3976311336717428</v>
      </c>
      <c r="K10" s="96" t="str">
        <f t="shared" si="0"/>
        <v>Petitions, total N=1182</v>
      </c>
      <c r="L10">
        <f>I14/(SUM(B14:G14))</f>
        <v>1.6700987682568738</v>
      </c>
    </row>
    <row r="11" spans="1:12">
      <c r="A11" s="128" t="str">
        <f>CONCATENATE("Detentions, total N=", 'Data Entry'!B10)</f>
        <v>Detentions, total N=752</v>
      </c>
      <c r="B11" s="150">
        <f>'Data Entry'!D10/'Data Entry'!B10</f>
        <v>0.51196808510638303</v>
      </c>
      <c r="C11" s="150">
        <f>'Data Entry'!E10/'Data Entry'!B10</f>
        <v>0.11835106382978723</v>
      </c>
      <c r="D11" s="150">
        <f>'Data Entry'!F10/'Data Entry'!B10</f>
        <v>3.9893617021276593E-3</v>
      </c>
      <c r="E11" s="150">
        <f>'Data Entry'!G10/'Data Entry'!B10</f>
        <v>0</v>
      </c>
      <c r="F11" s="150">
        <f>'Data Entry'!H10/'Data Entry'!B10</f>
        <v>1.3297872340425532E-3</v>
      </c>
      <c r="G11" s="150">
        <f>'Data Entry'!I10/'Data Entry'!B10</f>
        <v>0.12101063829787234</v>
      </c>
      <c r="H11" s="150">
        <f>SUM(D11:G11)/'Data Entry'!B10</f>
        <v>1.6799173834314171E-4</v>
      </c>
      <c r="I11" s="150">
        <f>'Data Entry'!C10/'Data Entry'!B10</f>
        <v>0.24202127659574468</v>
      </c>
      <c r="K11" s="96" t="str">
        <f t="shared" si="0"/>
        <v>Detentions, total N=752</v>
      </c>
      <c r="L11">
        <f>I14/(SUM(B14:G14))</f>
        <v>1.6700987682568738</v>
      </c>
    </row>
    <row r="12" spans="1:12">
      <c r="A12" s="128" t="str">
        <f>CONCATENATE("Referrals, total N=", 'Data Entry'!B8)</f>
        <v>Referrals, total N=1948</v>
      </c>
      <c r="B12" s="150">
        <f>'Data Entry'!D8/'Data Entry'!B8</f>
        <v>0.41581108829568786</v>
      </c>
      <c r="C12" s="150">
        <f>'Data Entry'!E8/'Data Entry'!B8</f>
        <v>7.1355236139630393E-2</v>
      </c>
      <c r="D12" s="150">
        <f>'Data Entry'!F8/'Data Entry'!B8</f>
        <v>7.7002053388090345E-3</v>
      </c>
      <c r="E12" s="150">
        <f>'Data Entry'!G8/'Data Entry'!B8</f>
        <v>0</v>
      </c>
      <c r="F12" s="150">
        <f>'Data Entry'!H8/'Data Entry'!B8</f>
        <v>0</v>
      </c>
      <c r="G12" s="150">
        <f>'Data Entry'!I8/'Data Entry'!B8</f>
        <v>3.2854209445585217E-2</v>
      </c>
      <c r="H12" s="150">
        <f>SUM(D12:G12)/'Data Entry'!B8</f>
        <v>2.0818488082337912E-5</v>
      </c>
      <c r="I12" s="150">
        <f>'Data Entry'!C8/'Data Entry'!B8</f>
        <v>0.46252566735112938</v>
      </c>
      <c r="K12" s="96" t="str">
        <f t="shared" si="0"/>
        <v>Referrals, total N=1948</v>
      </c>
      <c r="L12">
        <f>I14/(SUM(B14:G14))</f>
        <v>1.6700987682568738</v>
      </c>
    </row>
    <row r="13" spans="1:12">
      <c r="A13" s="128" t="str">
        <f>CONCATENATE("Arrests, total N=", 'Data Entry'!B7)</f>
        <v>Arrests, total N=909</v>
      </c>
      <c r="B13" s="150">
        <f>'Data Entry'!D7/'Data Entry'!B7</f>
        <v>0.48294829482948293</v>
      </c>
      <c r="C13" s="150">
        <f>'Data Entry'!E7/'Data Entry'!B7</f>
        <v>6.3806380638063806E-2</v>
      </c>
      <c r="D13" s="150">
        <f>'Data Entry'!F7/'Data Entry'!B7</f>
        <v>3.3003300330033004E-3</v>
      </c>
      <c r="E13" s="150">
        <f>'Data Entry'!G7/'Data Entry'!B7</f>
        <v>1.1001100110011001E-3</v>
      </c>
      <c r="F13" s="150">
        <f>'Data Entry'!H7/'Data Entry'!B7</f>
        <v>2.2002200220022001E-3</v>
      </c>
      <c r="G13" s="150">
        <f>'Data Entry'!I7/'Data Entry'!B7</f>
        <v>0</v>
      </c>
      <c r="H13" s="150">
        <f>SUM(D13:G13)/'Data Entry'!B7</f>
        <v>7.2614522178290441E-6</v>
      </c>
      <c r="I13" s="150">
        <f>'Data Entry'!C7/'Data Entry'!B7</f>
        <v>0.41474147414741475</v>
      </c>
      <c r="K13" s="96" t="str">
        <f t="shared" si="0"/>
        <v>Arrests, total N=909</v>
      </c>
      <c r="L13">
        <f>I14/(SUM(B14:G14))</f>
        <v>1.6700987682568738</v>
      </c>
    </row>
    <row r="14" spans="1:12">
      <c r="A14" s="128" t="str">
        <f>CONCATENATE("Population, total N=", 'Data Entry'!B6)</f>
        <v>Population, total N=70018</v>
      </c>
      <c r="B14" s="150">
        <f>'Data Entry'!D6/'Data Entry'!B6</f>
        <v>0.14651946642291983</v>
      </c>
      <c r="C14" s="150">
        <f>'Data Entry'!E6/'Data Entry'!B6</f>
        <v>0.18213887857408095</v>
      </c>
      <c r="D14" s="150">
        <f>'Data Entry'!F6/'Data Entry'!B6</f>
        <v>4.1475049273044073E-2</v>
      </c>
      <c r="E14" s="150">
        <f>'Data Entry'!G6/'Data Entry'!B6</f>
        <v>0</v>
      </c>
      <c r="F14" s="150">
        <f>'Data Entry'!H6/'Data Entry'!B6</f>
        <v>4.3845868205318632E-3</v>
      </c>
      <c r="G14" s="150">
        <f>'Data Entry'!I6/'Data Entry'!B6</f>
        <v>0</v>
      </c>
      <c r="H14" s="150">
        <f>SUM(D14:G14)/'Data Entry'!B6</f>
        <v>6.5496923781850285E-7</v>
      </c>
      <c r="I14" s="150">
        <f>'Data Entry'!C6/'Data Entry'!B6</f>
        <v>0.62548201890942334</v>
      </c>
      <c r="K14" s="96" t="str">
        <f t="shared" si="0"/>
        <v>Population, total N=70018</v>
      </c>
      <c r="L14">
        <f>I14/(SUM(B14:G14))</f>
        <v>1.6700987682568738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Kent</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43795</v>
      </c>
      <c r="D7" s="104">
        <f>'Data Entry'!D6</f>
        <v>10259</v>
      </c>
      <c r="E7" s="105"/>
      <c r="F7" s="106">
        <f>'Data Entry'!E6</f>
        <v>12753</v>
      </c>
      <c r="G7" s="105"/>
      <c r="H7" s="106">
        <f>'Data Entry'!F6</f>
        <v>2904</v>
      </c>
      <c r="I7" s="105"/>
      <c r="J7" s="106">
        <f>'Data Entry'!J6</f>
        <v>26223</v>
      </c>
      <c r="K7" s="107"/>
    </row>
    <row r="8" spans="2:30" s="1" customFormat="1" ht="15" customHeight="1">
      <c r="B8" s="121" t="s">
        <v>8</v>
      </c>
      <c r="C8" s="103">
        <f>'Data Entry'!C7</f>
        <v>377</v>
      </c>
      <c r="D8" s="104">
        <f>'Data Entry'!D7</f>
        <v>439</v>
      </c>
      <c r="E8" s="105">
        <f>'Black or African-American'!$G7</f>
        <v>4.9709874980705306</v>
      </c>
      <c r="F8" s="106">
        <f>'Data Entry'!E7</f>
        <v>58</v>
      </c>
      <c r="G8" s="105">
        <f>Hispanic!G7</f>
        <v>0.52832214441247616</v>
      </c>
      <c r="H8" s="106">
        <f>'Data Entry'!F7</f>
        <v>3</v>
      </c>
      <c r="I8" s="105" t="str">
        <f>Asian!G7</f>
        <v>**</v>
      </c>
      <c r="J8" s="106">
        <f>'Data Entry'!J7</f>
        <v>503</v>
      </c>
      <c r="K8" s="107">
        <f>'All Minorities'!G7</f>
        <v>2.2282750144116914</v>
      </c>
      <c r="L8"/>
      <c r="N8" s="1">
        <f>'Black or African-American'!L7</f>
        <v>1</v>
      </c>
      <c r="O8" s="1">
        <f>Hispanic!L7</f>
        <v>1</v>
      </c>
      <c r="P8" s="1">
        <f>Asian!L7</f>
        <v>20</v>
      </c>
      <c r="Q8" s="1" t="e">
        <f>Hawaiian!L7</f>
        <v>#DIV/0!</v>
      </c>
      <c r="R8" s="1">
        <f>'Am Indian'!L7</f>
        <v>139</v>
      </c>
      <c r="S8" s="1" t="e">
        <f>'Other - Mixed'!L7</f>
        <v>#VALUE!</v>
      </c>
      <c r="T8" s="1">
        <f>'All Minorities'!L7</f>
        <v>1</v>
      </c>
    </row>
    <row r="9" spans="2:30" s="1" customFormat="1" ht="15" customHeight="1">
      <c r="B9" s="121" t="s">
        <v>126</v>
      </c>
      <c r="C9" s="103">
        <f>'Data Entry'!C8</f>
        <v>901</v>
      </c>
      <c r="D9" s="108">
        <f>'Data Entry'!D8</f>
        <v>810</v>
      </c>
      <c r="E9" s="109">
        <f>'Black or African-American'!$G8</f>
        <v>0.77203512169470012</v>
      </c>
      <c r="F9" s="110">
        <f>'Data Entry'!E8</f>
        <v>139</v>
      </c>
      <c r="G9" s="109">
        <f>Hispanic!G8</f>
        <v>1.0027746947835738</v>
      </c>
      <c r="H9" s="110">
        <f>'Data Entry'!F8</f>
        <v>15</v>
      </c>
      <c r="I9" s="109" t="str">
        <f>Asian!G8</f>
        <v>**</v>
      </c>
      <c r="J9" s="110">
        <f>'Data Entry'!J8</f>
        <v>1028</v>
      </c>
      <c r="K9" s="111">
        <f>'All Minorities'!G8</f>
        <v>0.8551487964554515</v>
      </c>
      <c r="L9"/>
      <c r="N9" s="1">
        <f>'Black or African-American'!L8</f>
        <v>1</v>
      </c>
      <c r="O9" s="1">
        <f>Hispanic!L8</f>
        <v>2</v>
      </c>
      <c r="P9" s="1">
        <f>Asian!L8</f>
        <v>20</v>
      </c>
      <c r="Q9" s="1">
        <f>Hawaiian!L8</f>
        <v>139</v>
      </c>
      <c r="R9" s="1">
        <f>'Am Indian'!L8</f>
        <v>139</v>
      </c>
      <c r="S9" s="1">
        <f>'Other - Mixed'!L8</f>
        <v>119</v>
      </c>
      <c r="T9" s="1">
        <f>'All Minorities'!L8</f>
        <v>1</v>
      </c>
    </row>
    <row r="10" spans="2:30" s="1" customFormat="1" ht="15" customHeight="1">
      <c r="B10" s="121" t="s">
        <v>10</v>
      </c>
      <c r="C10" s="103">
        <f>'Data Entry'!C9</f>
        <v>352</v>
      </c>
      <c r="D10" s="112">
        <f>'Data Entry'!D9</f>
        <v>203</v>
      </c>
      <c r="E10" s="113">
        <f>'Black or African-American'!$G9</f>
        <v>0.6414948092031425</v>
      </c>
      <c r="F10" s="114">
        <f>'Data Entry'!E9</f>
        <v>43</v>
      </c>
      <c r="G10" s="113">
        <f>Hispanic!G9</f>
        <v>0.79183698495748855</v>
      </c>
      <c r="H10" s="114">
        <f>'Data Entry'!F9</f>
        <v>4</v>
      </c>
      <c r="I10" s="113" t="str">
        <f>Asian!G9</f>
        <v>**</v>
      </c>
      <c r="J10" s="114">
        <f>'Data Entry'!J9</f>
        <v>274</v>
      </c>
      <c r="K10" s="115">
        <f>'All Minorities'!G9</f>
        <v>0.68224376547576937</v>
      </c>
      <c r="L10"/>
      <c r="N10" s="1">
        <f>'Black or African-American'!L9</f>
        <v>1</v>
      </c>
      <c r="O10" s="1">
        <f>Hispanic!L9</f>
        <v>2</v>
      </c>
      <c r="P10" s="1">
        <f>Asian!L9</f>
        <v>40</v>
      </c>
      <c r="Q10" s="1" t="e">
        <f>Hawaiian!L9</f>
        <v>#VALUE!</v>
      </c>
      <c r="R10" s="1" t="e">
        <f>'Am Indian'!L9</f>
        <v>#DIV/0!</v>
      </c>
      <c r="S10" s="1">
        <f>'Other - Mixed'!L9</f>
        <v>101</v>
      </c>
      <c r="T10" s="1">
        <f>'All Minorities'!L9</f>
        <v>1</v>
      </c>
    </row>
    <row r="11" spans="2:30" s="1" customFormat="1" ht="15" customHeight="1">
      <c r="B11" s="121" t="s">
        <v>11</v>
      </c>
      <c r="C11" s="103">
        <f>'Data Entry'!C10</f>
        <v>182</v>
      </c>
      <c r="D11" s="108">
        <f>'Data Entry'!D10</f>
        <v>385</v>
      </c>
      <c r="E11" s="109">
        <f>'Black or African-American'!$G10</f>
        <v>2.3530389363722701</v>
      </c>
      <c r="F11" s="110">
        <f>'Data Entry'!E10</f>
        <v>89</v>
      </c>
      <c r="G11" s="109">
        <f>Hispanic!G10</f>
        <v>3.1697762668985696</v>
      </c>
      <c r="H11" s="110">
        <f>'Data Entry'!F10</f>
        <v>3</v>
      </c>
      <c r="I11" s="109" t="str">
        <f>Asian!G10</f>
        <v>**</v>
      </c>
      <c r="J11" s="110">
        <f>'Data Entry'!J10</f>
        <v>569</v>
      </c>
      <c r="K11" s="111">
        <f>'All Minorities'!G10</f>
        <v>2.7401387522982859</v>
      </c>
      <c r="L11"/>
      <c r="N11" s="1">
        <f>'Black or African-American'!L10</f>
        <v>1</v>
      </c>
      <c r="O11" s="1">
        <f>Hispanic!L10</f>
        <v>1</v>
      </c>
      <c r="P11" s="1">
        <f>Asian!L10</f>
        <v>40</v>
      </c>
      <c r="Q11" s="1" t="e">
        <f>Hawaiian!L10</f>
        <v>#VALUE!</v>
      </c>
      <c r="R11" s="1" t="e">
        <f>'Am Indian'!L10</f>
        <v>#DIV/0!</v>
      </c>
      <c r="S11" s="1">
        <f>'Other - Mixed'!L10</f>
        <v>100</v>
      </c>
      <c r="T11" s="1">
        <f>'All Minorities'!L10</f>
        <v>1</v>
      </c>
    </row>
    <row r="12" spans="2:30" s="1" customFormat="1" ht="15" customHeight="1">
      <c r="B12" s="121" t="s">
        <v>95</v>
      </c>
      <c r="C12" s="103">
        <f>'Data Entry'!C11</f>
        <v>470</v>
      </c>
      <c r="D12" s="112">
        <f>'Data Entry'!D11</f>
        <v>557</v>
      </c>
      <c r="E12" s="113">
        <f>'Black or African-American'!$G11</f>
        <v>1.3182479642763332</v>
      </c>
      <c r="F12" s="114">
        <f>'Data Entry'!E11</f>
        <v>89</v>
      </c>
      <c r="G12" s="113">
        <f>Hispanic!G11</f>
        <v>1.2274452778202971</v>
      </c>
      <c r="H12" s="114">
        <f>'Data Entry'!F11</f>
        <v>8</v>
      </c>
      <c r="I12" s="113" t="str">
        <f>Asian!G11</f>
        <v>**</v>
      </c>
      <c r="J12" s="114">
        <f>'Data Entry'!J11</f>
        <v>710</v>
      </c>
      <c r="K12" s="115">
        <f>'All Minorities'!G11</f>
        <v>1.3240127493997849</v>
      </c>
      <c r="L12"/>
      <c r="N12" s="1">
        <f>'Black or African-American'!L11</f>
        <v>1</v>
      </c>
      <c r="O12" s="1">
        <f>Hispanic!L11</f>
        <v>1</v>
      </c>
      <c r="P12" s="1">
        <f>Asian!L11</f>
        <v>40</v>
      </c>
      <c r="Q12" s="1" t="e">
        <f>Hawaiian!L11</f>
        <v>#VALUE!</v>
      </c>
      <c r="R12" s="1" t="e">
        <f>'Am Indian'!L11</f>
        <v>#DIV/0!</v>
      </c>
      <c r="S12" s="1">
        <f>'Other - Mixed'!L11</f>
        <v>100</v>
      </c>
      <c r="T12" s="1">
        <f>'All Minorities'!L11</f>
        <v>1</v>
      </c>
    </row>
    <row r="13" spans="2:30" s="1" customFormat="1" ht="15" customHeight="1">
      <c r="B13" s="121" t="s">
        <v>13</v>
      </c>
      <c r="C13" s="103">
        <f>'Data Entry'!C12</f>
        <v>178</v>
      </c>
      <c r="D13" s="108">
        <f>'Data Entry'!D12</f>
        <v>190</v>
      </c>
      <c r="E13" s="109">
        <f>'Black or African-American'!$G12</f>
        <v>0.90069190890202322</v>
      </c>
      <c r="F13" s="110">
        <f>'Data Entry'!E12</f>
        <v>43</v>
      </c>
      <c r="G13" s="109">
        <f>Hispanic!G12</f>
        <v>1.27572276227749</v>
      </c>
      <c r="H13" s="110">
        <f>'Data Entry'!F12</f>
        <v>2</v>
      </c>
      <c r="I13" s="109" t="str">
        <f>Asian!G12</f>
        <v>**</v>
      </c>
      <c r="J13" s="110">
        <f>'Data Entry'!J12</f>
        <v>237</v>
      </c>
      <c r="K13" s="111">
        <f>'All Minorities'!G12</f>
        <v>0.88138946035765153</v>
      </c>
      <c r="L13"/>
      <c r="N13" s="1">
        <f>'Black or African-American'!L12</f>
        <v>2</v>
      </c>
      <c r="O13" s="1">
        <f>Hispanic!L12</f>
        <v>2</v>
      </c>
      <c r="P13" s="1">
        <f>Asian!L12</f>
        <v>40</v>
      </c>
      <c r="Q13" s="1" t="e">
        <f>Hawaiian!L12</f>
        <v>#VALUE!</v>
      </c>
      <c r="R13" s="1">
        <f>'Am Indian'!L12</f>
        <v>139</v>
      </c>
      <c r="S13" s="1">
        <f>'Other - Mixed'!L12</f>
        <v>119</v>
      </c>
      <c r="T13" s="1">
        <f>'All Minorities'!L12</f>
        <v>2</v>
      </c>
      <c r="W13" s="8"/>
      <c r="X13" s="8"/>
      <c r="Y13" s="8"/>
      <c r="Z13" s="8"/>
      <c r="AA13" s="8"/>
      <c r="AB13" s="8"/>
      <c r="AC13" s="8"/>
      <c r="AD13" s="8"/>
    </row>
    <row r="14" spans="2:30" s="1" customFormat="1" ht="15" customHeight="1">
      <c r="B14" s="121" t="s">
        <v>14</v>
      </c>
      <c r="C14" s="103">
        <f>'Data Entry'!C13</f>
        <v>157</v>
      </c>
      <c r="D14" s="112">
        <f>'Data Entry'!D13</f>
        <v>166</v>
      </c>
      <c r="E14" s="113">
        <f>'Black or African-American'!$G13</f>
        <v>0.99054642976868934</v>
      </c>
      <c r="F14" s="114">
        <f>'Data Entry'!E13</f>
        <v>35</v>
      </c>
      <c r="G14" s="113">
        <f>Hispanic!G13</f>
        <v>0.92282624796326462</v>
      </c>
      <c r="H14" s="114">
        <f>'Data Entry'!F13</f>
        <v>2</v>
      </c>
      <c r="I14" s="113" t="str">
        <f>Asian!G13</f>
        <v>**</v>
      </c>
      <c r="J14" s="114">
        <f>'Data Entry'!J13</f>
        <v>205</v>
      </c>
      <c r="K14" s="115">
        <f>'All Minorities'!G13</f>
        <v>0.98067671799833367</v>
      </c>
      <c r="L14"/>
      <c r="N14" s="1">
        <f>'Black or African-American'!L13</f>
        <v>2</v>
      </c>
      <c r="O14" s="1">
        <f>Hispanic!L13</f>
        <v>2</v>
      </c>
      <c r="P14" s="1">
        <f>Asian!L13</f>
        <v>40</v>
      </c>
      <c r="Q14" s="1" t="e">
        <f>Hawaiian!L13</f>
        <v>#VALUE!</v>
      </c>
      <c r="R14" s="1">
        <f>'Am Indian'!L13</f>
        <v>139</v>
      </c>
      <c r="S14" s="1" t="e">
        <f>'Other - Mixed'!L13</f>
        <v>#VALUE!</v>
      </c>
      <c r="T14" s="1">
        <f>'All Minorities'!L13</f>
        <v>2</v>
      </c>
      <c r="W14" s="8"/>
      <c r="X14" s="8"/>
      <c r="Y14" s="8"/>
      <c r="Z14" s="8"/>
      <c r="AA14" s="8"/>
      <c r="AB14" s="8"/>
      <c r="AC14" s="8"/>
      <c r="AD14" s="8"/>
    </row>
    <row r="15" spans="2:30" s="1" customFormat="1" ht="33">
      <c r="B15" s="126" t="s">
        <v>115</v>
      </c>
      <c r="C15" s="103">
        <f>'Data Entry'!C14</f>
        <v>11</v>
      </c>
      <c r="D15" s="108">
        <f>'Data Entry'!D14</f>
        <v>18</v>
      </c>
      <c r="E15" s="109">
        <f>'Black or African-American'!$G14</f>
        <v>1.5330143540669858</v>
      </c>
      <c r="F15" s="110">
        <f>'Data Entry'!E14</f>
        <v>1</v>
      </c>
      <c r="G15" s="109" t="str">
        <f>Hispanic!G14</f>
        <v>**</v>
      </c>
      <c r="H15" s="110">
        <f>'Data Entry'!F14</f>
        <v>0</v>
      </c>
      <c r="I15" s="109" t="str">
        <f>Asian!G14</f>
        <v>**</v>
      </c>
      <c r="J15" s="110">
        <f>'Data Entry'!J14</f>
        <v>19</v>
      </c>
      <c r="K15" s="111">
        <f>'All Minorities'!G14</f>
        <v>1.2972765630993479</v>
      </c>
      <c r="L15"/>
      <c r="N15" s="1">
        <f>'Black or African-American'!L14</f>
        <v>2</v>
      </c>
      <c r="O15" s="1">
        <f>Hispanic!L14</f>
        <v>40</v>
      </c>
      <c r="P15" s="1">
        <f>Asian!L14</f>
        <v>40</v>
      </c>
      <c r="Q15" s="1" t="e">
        <f>Hawaiian!L14</f>
        <v>#VALUE!</v>
      </c>
      <c r="R15" s="1">
        <f>'Am Indian'!L14</f>
        <v>139</v>
      </c>
      <c r="S15" s="1" t="e">
        <f>'Other - Mixed'!L14</f>
        <v>#VALUE!</v>
      </c>
      <c r="T15" s="1">
        <f>'All Minorities'!L14</f>
        <v>2</v>
      </c>
      <c r="W15" s="8"/>
      <c r="X15" s="8"/>
      <c r="Y15" s="8"/>
      <c r="Z15" s="8"/>
      <c r="AA15" s="8"/>
      <c r="AB15" s="8"/>
      <c r="AC15" s="8"/>
      <c r="AD15" s="8"/>
    </row>
    <row r="16" spans="2:30" s="1" customFormat="1" ht="15" customHeight="1">
      <c r="B16" s="121" t="s">
        <v>16</v>
      </c>
      <c r="C16" s="103">
        <f>'Data Entry'!C15</f>
        <v>0</v>
      </c>
      <c r="D16" s="116">
        <f>'Data Entry'!D15</f>
        <v>6</v>
      </c>
      <c r="E16" s="117" t="str">
        <f>'Black or African-American'!$G15</f>
        <v>**</v>
      </c>
      <c r="F16" s="118">
        <f>'Data Entry'!E15</f>
        <v>2</v>
      </c>
      <c r="G16" s="117" t="str">
        <f>Hispanic!G15</f>
        <v>**</v>
      </c>
      <c r="H16" s="118">
        <f>'Data Entry'!F15</f>
        <v>0</v>
      </c>
      <c r="I16" s="117" t="str">
        <f>Asian!G15</f>
        <v>--</v>
      </c>
      <c r="J16" s="118">
        <f>'Data Entry'!J15</f>
        <v>8</v>
      </c>
      <c r="K16" s="119" t="str">
        <f>'All Minorities'!G15</f>
        <v>**</v>
      </c>
      <c r="L16"/>
      <c r="N16" s="1">
        <f>'Black or African-American'!L15</f>
        <v>20</v>
      </c>
      <c r="O16" s="1">
        <f>Hispanic!L15</f>
        <v>20</v>
      </c>
      <c r="P16" s="1" t="e">
        <f>Asian!L15</f>
        <v>#VALUE!</v>
      </c>
      <c r="Q16" s="1" t="e">
        <f>Hawaiian!L15</f>
        <v>#VALUE!</v>
      </c>
      <c r="R16" s="1" t="e">
        <f>'Am Indian'!L15</f>
        <v>#VALUE!</v>
      </c>
      <c r="S16" s="1" t="e">
        <f>'Other - Mixed'!L15</f>
        <v>#VALUE!</v>
      </c>
      <c r="T16" s="1">
        <f>'All Minorities'!L15</f>
        <v>20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112</v>
      </c>
      <c r="C19" s="193"/>
      <c r="D19" s="193"/>
      <c r="E19" s="193"/>
      <c r="F19" s="193"/>
      <c r="G19" s="193"/>
      <c r="H19" s="193"/>
      <c r="I19" s="194"/>
      <c r="J19" s="195"/>
      <c r="K19" s="196"/>
    </row>
    <row r="20" spans="2:30" ht="15.75">
      <c r="B20" s="153" t="s">
        <v>117</v>
      </c>
      <c r="C20" s="200" t="s">
        <v>53</v>
      </c>
      <c r="D20" s="201"/>
      <c r="E20" s="184" t="s">
        <v>56</v>
      </c>
      <c r="F20" s="185"/>
      <c r="G20" s="185"/>
      <c r="H20" s="185"/>
      <c r="I20" s="185"/>
      <c r="J20" s="185"/>
      <c r="K20" s="154" t="s">
        <v>57</v>
      </c>
    </row>
    <row r="21" spans="2:30" ht="15" customHeight="1">
      <c r="B21" s="155" t="s">
        <v>118</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Kent County Juvenile Court</v>
      </c>
      <c r="E27" s="1" t="str">
        <f>'Data Entry'!D20</f>
        <v>Item 4.Diversion: Kent County Juvenile Court</v>
      </c>
      <c r="I27" s="96"/>
    </row>
    <row r="28" spans="2:30" ht="12.75" customHeight="1">
      <c r="B28" s="1" t="str">
        <f>'Data Entry'!A21</f>
        <v>Item 5.Detention: Kent County Juvenile Court</v>
      </c>
      <c r="E28" s="1" t="str">
        <f>'Data Entry'!D21</f>
        <v>Item 6.Petitioned: Kent County Juvenile Court</v>
      </c>
      <c r="I28" s="96"/>
    </row>
    <row r="29" spans="2:30" ht="12.75" customHeight="1">
      <c r="B29" s="1" t="str">
        <f>'Data Entry'!A22</f>
        <v>Item 7.Delinquent: Kent County Juvenile Court</v>
      </c>
      <c r="E29" s="1" t="str">
        <f>'Data Entry'!D22</f>
        <v>Item 8.Probation: Kent County Juvenile Court</v>
      </c>
      <c r="I29" s="96"/>
    </row>
    <row r="30" spans="2:30" ht="12.75" customHeight="1">
      <c r="B30" s="1" t="str">
        <f>'Data Entry'!A23</f>
        <v>Item 9.Confinement: Kent County Juvenile Court</v>
      </c>
      <c r="E30" s="1" t="str">
        <f>'Data Entry'!D23</f>
        <v>Item 10.Transferred: Kent County Juvenile Court</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43795</v>
      </c>
      <c r="D6" s="34"/>
      <c r="E6" s="33">
        <f>'Data Entry'!D6</f>
        <v>10259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377</v>
      </c>
      <c r="D7" s="34">
        <f>IF((AND(C66&gt;0,C7&gt;0)),(C7/C66),0)</f>
        <v>8.6082886174220796</v>
      </c>
      <c r="E7" s="33">
        <f>'Data Entry'!D7</f>
        <v>439</v>
      </c>
      <c r="F7" s="34">
        <f>IF((AND($E$7&gt;0,$D$66&gt;0)),($E$7/$D$66),0)</f>
        <v>42.791695096988008</v>
      </c>
      <c r="G7" s="39">
        <f>IF(L$6=100,"*",IF(M7=FALSE,"--",IF(K7=20,"**",($F7/$D7))))</f>
        <v>4.9709874980705306</v>
      </c>
      <c r="H7" s="40"/>
      <c r="I7" s="41"/>
      <c r="J7" s="40">
        <f>IF((ABS($U7)&gt;Defaults!D$7),1,2)</f>
        <v>1</v>
      </c>
      <c r="K7" s="39">
        <f>IF((AND(N7&gt;Defaults!B$12,(N7+O7)&gt;Defaults!B$13, P7 &gt; Defaults!B$12, (P7+Q7) &gt; Defaults!B$13)),1,20)</f>
        <v>1</v>
      </c>
      <c r="L7" s="1">
        <f>(J7*K7+L$6)-1</f>
        <v>1</v>
      </c>
      <c r="M7" s="1" t="b">
        <f t="shared" ref="M7:M15" si="0">(ISNUMBER(J7))</f>
        <v>1</v>
      </c>
      <c r="N7" s="42">
        <f t="shared" ref="N7:N15" si="1">E7</f>
        <v>439</v>
      </c>
      <c r="O7" s="42">
        <f>E6-E7</f>
        <v>9820</v>
      </c>
      <c r="P7" s="42">
        <f t="shared" ref="P7:P15" si="2">C7</f>
        <v>377</v>
      </c>
      <c r="Q7" s="42">
        <f>C6-C7</f>
        <v>43418</v>
      </c>
      <c r="R7" s="42">
        <f t="shared" ref="R7:R15" si="3">SUM(N7:Q7)</f>
        <v>54054</v>
      </c>
      <c r="S7" s="30">
        <f t="shared" ref="S7:S15" si="4">R7*((((N7*Q7)-(O7*P7))^2))</f>
        <v>1.2750218780743821E+19</v>
      </c>
      <c r="T7" s="30">
        <f t="shared" ref="T7:T15" si="5">(N7+O7)*(P7+Q7)*(N7+P7)*(O7+Q7)</f>
        <v>1.951827583193424E+16</v>
      </c>
      <c r="U7" s="31">
        <f t="shared" ref="U7:U15" si="6">IF((S7&gt;0),S7/T7,"- -")</f>
        <v>653.24513755886846</v>
      </c>
    </row>
    <row r="8" spans="2:21" ht="18" customHeight="1">
      <c r="B8" s="32" t="str">
        <f>'Data Entry'!A8</f>
        <v>3. Refer to Juvenile Court</v>
      </c>
      <c r="C8" s="33">
        <f>'Data Entry'!C8</f>
        <v>901</v>
      </c>
      <c r="D8" s="34">
        <f>IF((AND(C67&gt;0,C8&gt;0)),(C8/C67),0)</f>
        <v>238.9920424403183</v>
      </c>
      <c r="E8" s="33">
        <f>'Data Entry'!D8</f>
        <v>810</v>
      </c>
      <c r="F8" s="34">
        <f>IF((AND($E$8&gt;0,$D$67&gt;0)),($E8/$D67),0)</f>
        <v>184.51025056947609</v>
      </c>
      <c r="G8" s="39">
        <f t="shared" ref="G8:G15" si="7">IF(L$6=100,"*",IF(M8=FALSE,"--",IF(K8=20,"**",($F8/$D8))))</f>
        <v>0.77203512169470012</v>
      </c>
      <c r="H8" s="40"/>
      <c r="I8" s="41"/>
      <c r="J8" s="40">
        <f>IF((ABS($U8)&gt;Defaults!D$7),1,2)</f>
        <v>1</v>
      </c>
      <c r="K8" s="39">
        <f>IF((AND(N8&gt;Defaults!B$12,(N8+O8)&gt;Defaults!B$13, P8 &gt; Defaults!B$12, (P8+Q8) &gt; Defaults!B$13)),1,20)</f>
        <v>1</v>
      </c>
      <c r="L8" s="1">
        <f t="shared" ref="L8:L15" si="8">(J8*K8+L$6)-1</f>
        <v>1</v>
      </c>
      <c r="M8" s="1" t="b">
        <f t="shared" si="0"/>
        <v>1</v>
      </c>
      <c r="N8" s="42">
        <f t="shared" si="1"/>
        <v>810</v>
      </c>
      <c r="O8" s="42">
        <f>((D67*L67)-E8)+0.05</f>
        <v>-370.95000000000005</v>
      </c>
      <c r="P8" s="42">
        <f t="shared" si="2"/>
        <v>901</v>
      </c>
      <c r="Q8" s="42">
        <f>(C$67*L67)-C8</f>
        <v>-524</v>
      </c>
      <c r="R8" s="42">
        <f t="shared" si="3"/>
        <v>816.05</v>
      </c>
      <c r="S8" s="30">
        <f t="shared" si="4"/>
        <v>6641483979741.2998</v>
      </c>
      <c r="T8" s="30">
        <f t="shared" si="5"/>
        <v>-253456896993.98248</v>
      </c>
      <c r="U8" s="31">
        <f t="shared" si="6"/>
        <v>-26.203603289197453</v>
      </c>
    </row>
    <row r="9" spans="2:21" ht="18" customHeight="1">
      <c r="B9" s="32" t="str">
        <f>'Data Entry'!A9</f>
        <v xml:space="preserve">4. Cases Diverted </v>
      </c>
      <c r="C9" s="33">
        <f>'Data Entry'!C9</f>
        <v>352</v>
      </c>
      <c r="D9" s="34">
        <f>IF((AND(C68&gt;0,C9&gt;0)),((C9/C68)),0)</f>
        <v>39.067702552719204</v>
      </c>
      <c r="E9" s="33">
        <f>'Data Entry'!D9</f>
        <v>203</v>
      </c>
      <c r="F9" s="34">
        <f>IF((AND($E$9&gt;0,$D$68&gt;0)),(($E$9/$D$68)),0)</f>
        <v>25.061728395061728</v>
      </c>
      <c r="G9" s="39">
        <f t="shared" si="7"/>
        <v>0.6414948092031425</v>
      </c>
      <c r="H9" s="40"/>
      <c r="I9" s="41"/>
      <c r="J9" s="40">
        <f>IF((ABS($U9)&gt;Defaults!D$7),1,2)</f>
        <v>1</v>
      </c>
      <c r="K9" s="39">
        <f>IF((AND(N9&gt;Defaults!B$12,(N9+O9)&gt;Defaults!B$13, P9 &gt; Defaults!B$12, (P9+Q9) &gt; Defaults!B$13)),1,20)</f>
        <v>1</v>
      </c>
      <c r="L9" s="1">
        <f t="shared" si="8"/>
        <v>1</v>
      </c>
      <c r="M9" s="1" t="b">
        <f t="shared" si="0"/>
        <v>1</v>
      </c>
      <c r="N9" s="42">
        <f t="shared" si="1"/>
        <v>203</v>
      </c>
      <c r="O9" s="42">
        <f>(D$68*L68)-E9</f>
        <v>607</v>
      </c>
      <c r="P9" s="42">
        <f t="shared" si="2"/>
        <v>352</v>
      </c>
      <c r="Q9" s="42">
        <f>(C$68*L68)-C9</f>
        <v>549</v>
      </c>
      <c r="R9" s="42">
        <f t="shared" si="3"/>
        <v>1711</v>
      </c>
      <c r="S9" s="30">
        <f t="shared" si="4"/>
        <v>17877067117279</v>
      </c>
      <c r="T9" s="30">
        <f t="shared" si="5"/>
        <v>468231499800</v>
      </c>
      <c r="U9" s="31">
        <f t="shared" si="6"/>
        <v>38.17997534321163</v>
      </c>
    </row>
    <row r="10" spans="2:21" ht="18" customHeight="1">
      <c r="B10" s="32" t="str">
        <f>'Data Entry'!A10</f>
        <v>5. Cases Involving Secure Detention</v>
      </c>
      <c r="C10" s="33">
        <f>'Data Entry'!C10</f>
        <v>182</v>
      </c>
      <c r="D10" s="34">
        <f>IF(((AND(C68&gt;0,C10&gt;0))),(C10/(C68)),0)</f>
        <v>20.199778024417313</v>
      </c>
      <c r="E10" s="33">
        <f>'Data Entry'!D10</f>
        <v>385</v>
      </c>
      <c r="F10" s="34">
        <f>IF(((AND($E$10&gt;0,$D$68&gt;0))),($E$10/($D$68)),0)</f>
        <v>47.530864197530867</v>
      </c>
      <c r="G10" s="39">
        <f t="shared" si="7"/>
        <v>2.3530389363722701</v>
      </c>
      <c r="H10" s="40"/>
      <c r="I10" s="41"/>
      <c r="J10" s="40">
        <f>IF((ABS($U10)&gt;Defaults!D$7),1,2)</f>
        <v>1</v>
      </c>
      <c r="K10" s="39">
        <f>IF((AND(N10&gt;Defaults!B$12,(N10+O10)&gt;Defaults!B$13, P10 &gt; Defaults!B$12, (P10+Q10) &gt; Defaults!B$13)),1,20)</f>
        <v>1</v>
      </c>
      <c r="L10" s="1">
        <f t="shared" si="8"/>
        <v>1</v>
      </c>
      <c r="M10" s="1" t="b">
        <f t="shared" si="0"/>
        <v>1</v>
      </c>
      <c r="N10" s="42">
        <f t="shared" si="1"/>
        <v>385</v>
      </c>
      <c r="O10" s="42">
        <f>(D$68*L68)-E10</f>
        <v>425</v>
      </c>
      <c r="P10" s="42">
        <f t="shared" si="2"/>
        <v>182</v>
      </c>
      <c r="Q10" s="42">
        <f>(C$68*L68)-C10</f>
        <v>719</v>
      </c>
      <c r="R10" s="42">
        <f t="shared" si="3"/>
        <v>1711</v>
      </c>
      <c r="S10" s="30">
        <f t="shared" si="4"/>
        <v>68074335730975</v>
      </c>
      <c r="T10" s="30">
        <f t="shared" si="5"/>
        <v>473389796880</v>
      </c>
      <c r="U10" s="31">
        <f t="shared" si="6"/>
        <v>143.80186514292623</v>
      </c>
    </row>
    <row r="11" spans="2:21" ht="18" customHeight="1">
      <c r="B11" s="32" t="str">
        <f>'Data Entry'!A11</f>
        <v>6. Cases Petitioned (Charge Filed)</v>
      </c>
      <c r="C11" s="33">
        <f>'Data Entry'!C11</f>
        <v>470</v>
      </c>
      <c r="D11" s="34">
        <f>IF(((AND(C68&gt;0,C11&gt;0))),(C11/(C68)),0)</f>
        <v>52.164261931187568</v>
      </c>
      <c r="E11" s="33">
        <f>'Data Entry'!D11</f>
        <v>557</v>
      </c>
      <c r="F11" s="34">
        <f>IF(((AND($E$11&gt;0,$D$68&gt;0))),($E$11/($D$68)),0)</f>
        <v>68.76543209876543</v>
      </c>
      <c r="G11" s="39">
        <f t="shared" si="7"/>
        <v>1.3182479642763332</v>
      </c>
      <c r="H11" s="40"/>
      <c r="I11" s="41"/>
      <c r="J11" s="40">
        <f>IF((ABS($U11)&gt;Defaults!D$7),1,2)</f>
        <v>1</v>
      </c>
      <c r="K11" s="39">
        <f>IF((AND(N11&gt;Defaults!B$12,(N11+O11)&gt;Defaults!B$13, P11 &gt; Defaults!B$12, (P11+Q11) &gt; Defaults!B$13)),1,20)</f>
        <v>1</v>
      </c>
      <c r="L11" s="1">
        <f t="shared" si="8"/>
        <v>1</v>
      </c>
      <c r="M11" s="1" t="b">
        <f t="shared" si="0"/>
        <v>1</v>
      </c>
      <c r="N11" s="42">
        <f t="shared" si="1"/>
        <v>557</v>
      </c>
      <c r="O11" s="42">
        <f>(D$68*L68)-E11</f>
        <v>253</v>
      </c>
      <c r="P11" s="42">
        <f t="shared" si="2"/>
        <v>470</v>
      </c>
      <c r="Q11" s="42">
        <f>(C$68*L68)-C11</f>
        <v>431</v>
      </c>
      <c r="R11" s="42">
        <f t="shared" si="3"/>
        <v>1711</v>
      </c>
      <c r="S11" s="30">
        <f t="shared" si="4"/>
        <v>25115800908439</v>
      </c>
      <c r="T11" s="30">
        <f t="shared" si="5"/>
        <v>512668171080</v>
      </c>
      <c r="U11" s="31">
        <f t="shared" si="6"/>
        <v>48.990365162575642</v>
      </c>
    </row>
    <row r="12" spans="2:21" ht="18" customHeight="1">
      <c r="B12" s="32" t="str">
        <f>'Data Entry'!A12</f>
        <v>7. Cases Resulting in Delinquent Findings</v>
      </c>
      <c r="C12" s="33">
        <f>'Data Entry'!C12</f>
        <v>178</v>
      </c>
      <c r="D12" s="34">
        <f>IF(((AND(C69&gt;0,C12&gt;0))),(C12/(C69)),0)</f>
        <v>37.872340425531917</v>
      </c>
      <c r="E12" s="33">
        <f>'Data Entry'!D12</f>
        <v>190</v>
      </c>
      <c r="F12" s="34">
        <f>IF(((AND($D$69&gt;0,$E$12&gt;0))),(E12/(D69)),0)</f>
        <v>34.111310592459603</v>
      </c>
      <c r="G12" s="39">
        <f t="shared" si="7"/>
        <v>0.90069190890202322</v>
      </c>
      <c r="H12" s="40"/>
      <c r="I12" s="41"/>
      <c r="J12" s="40">
        <f>IF((ABS($U12)&gt;Defaults!D$7),1,2)</f>
        <v>2</v>
      </c>
      <c r="K12" s="39">
        <f>IF((AND(N12&gt;Defaults!B$12,(N12+O12)&gt;Defaults!B$13, P12 &gt; Defaults!B$12, (P12+Q12) &gt; Defaults!B$13)),1,20)</f>
        <v>1</v>
      </c>
      <c r="L12" s="1">
        <f t="shared" si="8"/>
        <v>2</v>
      </c>
      <c r="M12" s="1" t="b">
        <f t="shared" si="0"/>
        <v>1</v>
      </c>
      <c r="N12" s="42">
        <f t="shared" si="1"/>
        <v>190</v>
      </c>
      <c r="O12" s="42">
        <f>(D69*L69)-E12</f>
        <v>367</v>
      </c>
      <c r="P12" s="42">
        <f t="shared" si="2"/>
        <v>178</v>
      </c>
      <c r="Q12" s="42">
        <f>(C69*L69)-C12</f>
        <v>292</v>
      </c>
      <c r="R12" s="42">
        <f t="shared" si="3"/>
        <v>1027</v>
      </c>
      <c r="S12" s="30">
        <f t="shared" si="4"/>
        <v>99561196332</v>
      </c>
      <c r="T12" s="30">
        <f t="shared" si="5"/>
        <v>63487216480</v>
      </c>
      <c r="U12" s="31">
        <f t="shared" si="6"/>
        <v>1.5682085599604791</v>
      </c>
    </row>
    <row r="13" spans="2:21" ht="18" customHeight="1">
      <c r="B13" s="32" t="str">
        <f>'Data Entry'!A13</f>
        <v>8. Cases Resulting in Probation Placement</v>
      </c>
      <c r="C13" s="33">
        <f>'Data Entry'!C13</f>
        <v>157</v>
      </c>
      <c r="D13" s="34">
        <f>IF(((AND(C70&gt;0,C13&gt;0))),(C13/(C70)),0)</f>
        <v>88.202247191011239</v>
      </c>
      <c r="E13" s="33">
        <f>'Data Entry'!D13</f>
        <v>166</v>
      </c>
      <c r="F13" s="34">
        <f>IF(((AND($D$70&gt;0,$E$13&gt;0))),($E$13/($D$70)),0)</f>
        <v>87.368421052631589</v>
      </c>
      <c r="G13" s="39">
        <f t="shared" si="7"/>
        <v>0.99054642976868934</v>
      </c>
      <c r="H13" s="40"/>
      <c r="I13" s="41"/>
      <c r="J13" s="40">
        <f>IF((ABS($U13)&gt;Defaults!D$7),1,2)</f>
        <v>2</v>
      </c>
      <c r="K13" s="39">
        <f>IF((AND(N13&gt;Defaults!B$12,(N13+O13)&gt;Defaults!B$13, P13 &gt; Defaults!B$12, (P13+Q13) &gt; Defaults!B$13)),1,20)</f>
        <v>1</v>
      </c>
      <c r="L13" s="1">
        <f t="shared" si="8"/>
        <v>2</v>
      </c>
      <c r="M13" s="1" t="b">
        <f t="shared" si="0"/>
        <v>1</v>
      </c>
      <c r="N13" s="42">
        <f t="shared" si="1"/>
        <v>166</v>
      </c>
      <c r="O13" s="42">
        <f>(D70*L70)-E13</f>
        <v>24</v>
      </c>
      <c r="P13" s="42">
        <f t="shared" si="2"/>
        <v>157</v>
      </c>
      <c r="Q13" s="42">
        <f>(C70*L70)-C13</f>
        <v>21</v>
      </c>
      <c r="R13" s="42">
        <f t="shared" si="3"/>
        <v>368</v>
      </c>
      <c r="S13" s="30">
        <f t="shared" si="4"/>
        <v>29264832</v>
      </c>
      <c r="T13" s="30">
        <f t="shared" si="5"/>
        <v>491573700</v>
      </c>
      <c r="U13" s="31">
        <f t="shared" si="6"/>
        <v>5.9532948975911444E-2</v>
      </c>
    </row>
    <row r="14" spans="2:21" ht="30.75" customHeight="1">
      <c r="B14" s="32" t="str">
        <f>'Data Entry'!A14</f>
        <v xml:space="preserve">9. Cases Resulting in Confinement in Secure Juvenile Correctional Facilities </v>
      </c>
      <c r="C14" s="33">
        <f>'Data Entry'!C14</f>
        <v>11</v>
      </c>
      <c r="D14" s="34">
        <f>IF(((AND(C70&gt;0,C14&gt;0))), ((C14/(C70))),0)</f>
        <v>6.179775280898876</v>
      </c>
      <c r="E14" s="33">
        <f>'Data Entry'!D14</f>
        <v>18</v>
      </c>
      <c r="F14" s="34">
        <f>IF(((AND($D$70&gt;0,$E$14&gt;0))), (($E$14/($D$70))),0)</f>
        <v>9.4736842105263168</v>
      </c>
      <c r="G14" s="39">
        <f t="shared" si="7"/>
        <v>1.5330143540669858</v>
      </c>
      <c r="H14" s="40"/>
      <c r="I14" s="41"/>
      <c r="J14" s="40">
        <f>IF((ABS($U14)&gt;Defaults!D$7),1,2)</f>
        <v>2</v>
      </c>
      <c r="K14" s="39">
        <f>IF((AND(N14&gt;Defaults!B$12,(N14+O14)&gt;Defaults!B$13, P14 &gt; Defaults!B$12, (P14+Q14) &gt; Defaults!B$13)),1,20)</f>
        <v>1</v>
      </c>
      <c r="L14" s="1">
        <f t="shared" si="8"/>
        <v>2</v>
      </c>
      <c r="M14" s="1" t="b">
        <f t="shared" si="0"/>
        <v>1</v>
      </c>
      <c r="N14" s="42">
        <f t="shared" si="1"/>
        <v>18</v>
      </c>
      <c r="O14" s="42">
        <f>(D70*L70)-E14</f>
        <v>172</v>
      </c>
      <c r="P14" s="42">
        <f t="shared" si="2"/>
        <v>11</v>
      </c>
      <c r="Q14" s="42">
        <f>(C70*L70)-C14</f>
        <v>167</v>
      </c>
      <c r="R14" s="42">
        <f t="shared" si="3"/>
        <v>368</v>
      </c>
      <c r="S14" s="30">
        <f t="shared" si="4"/>
        <v>456686528</v>
      </c>
      <c r="T14" s="30">
        <f t="shared" si="5"/>
        <v>332484420</v>
      </c>
      <c r="U14" s="31">
        <f t="shared" si="6"/>
        <v>1.3735576782815868</v>
      </c>
    </row>
    <row r="15" spans="2:21" ht="15.75" customHeight="1">
      <c r="B15" s="32" t="str">
        <f>'Data Entry'!A15</f>
        <v xml:space="preserve">10. Cases Transferred to Adult Court </v>
      </c>
      <c r="C15" s="33">
        <f>'Data Entry'!C15</f>
        <v>0</v>
      </c>
      <c r="D15" s="34">
        <f>IF(((AND(C69&gt;0,C15&gt;0))),((C15/(C69))),0)</f>
        <v>0</v>
      </c>
      <c r="E15" s="33">
        <f>'Data Entry'!D15</f>
        <v>6</v>
      </c>
      <c r="F15" s="34">
        <f>IF(((AND($D$69&gt;0,$E$15&gt;0))),(($E$15/($D$69))),0)</f>
        <v>1.0771992818671454</v>
      </c>
      <c r="G15" s="39" t="str">
        <f t="shared" si="7"/>
        <v>**</v>
      </c>
      <c r="H15" s="40"/>
      <c r="I15" s="41"/>
      <c r="J15" s="40">
        <f>IF((ABS($U15)&gt;Defaults!D$7),1,2)</f>
        <v>1</v>
      </c>
      <c r="K15" s="39">
        <f>IF((AND(N15&gt;Defaults!B$12,(N15+O15)&gt;Defaults!B$13, P15 &gt; Defaults!B$12, (P15+Q15) &gt; Defaults!B$13)),1,20)</f>
        <v>20</v>
      </c>
      <c r="L15" s="1">
        <f t="shared" si="8"/>
        <v>20</v>
      </c>
      <c r="M15" s="1" t="b">
        <f t="shared" si="0"/>
        <v>1</v>
      </c>
      <c r="N15" s="42">
        <f t="shared" si="1"/>
        <v>6</v>
      </c>
      <c r="O15" s="42">
        <f>(D69*L69)-E15</f>
        <v>551</v>
      </c>
      <c r="P15" s="42">
        <f t="shared" si="2"/>
        <v>0</v>
      </c>
      <c r="Q15" s="42">
        <f>(C69*L69)-C15</f>
        <v>470</v>
      </c>
      <c r="R15" s="42">
        <f t="shared" si="3"/>
        <v>1027</v>
      </c>
      <c r="S15" s="30">
        <f t="shared" si="4"/>
        <v>8167114800</v>
      </c>
      <c r="T15" s="30">
        <f t="shared" si="5"/>
        <v>1603725540</v>
      </c>
      <c r="U15" s="31">
        <f t="shared" si="6"/>
        <v>5.0925888478398864</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43.795000000000002</v>
      </c>
      <c r="D42" s="56">
        <f>E6/1000</f>
        <v>10.259</v>
      </c>
      <c r="E42" s="56">
        <f>MAX(C42:D42)</f>
        <v>43.795000000000002</v>
      </c>
      <c r="G42" s="1" t="str">
        <f>B42</f>
        <v>per 1000 youth</v>
      </c>
      <c r="L42" s="57">
        <v>1000</v>
      </c>
      <c r="M42" s="57"/>
      <c r="R42" s="49"/>
    </row>
    <row r="43" spans="2:18" ht="15" hidden="1" customHeight="1">
      <c r="B43" s="49" t="s">
        <v>87</v>
      </c>
      <c r="C43" s="56">
        <f>C7/100</f>
        <v>3.77</v>
      </c>
      <c r="D43" s="56">
        <f>E7/100</f>
        <v>4.3899999999999997</v>
      </c>
      <c r="E43" s="56">
        <f>MAX(C43:D43,0)</f>
        <v>4.3899999999999997</v>
      </c>
      <c r="G43" s="1" t="str">
        <f>B43</f>
        <v>per 100 arrests</v>
      </c>
      <c r="L43" s="57">
        <v>100</v>
      </c>
      <c r="M43" s="57"/>
      <c r="R43" s="49"/>
    </row>
    <row r="44" spans="2:18" ht="15" hidden="1" customHeight="1">
      <c r="B44" s="49" t="s">
        <v>88</v>
      </c>
      <c r="C44" s="56">
        <f>C8/100</f>
        <v>9.01</v>
      </c>
      <c r="D44" s="56">
        <f>E8/100</f>
        <v>8.1</v>
      </c>
      <c r="E44" s="56">
        <f>MAX(C44:D44,0)</f>
        <v>9.01</v>
      </c>
      <c r="G44" s="1" t="str">
        <f>B44</f>
        <v>per 100 referrals</v>
      </c>
      <c r="L44" s="57">
        <v>100</v>
      </c>
      <c r="M44" s="57"/>
      <c r="R44" s="49"/>
    </row>
    <row r="45" spans="2:18" ht="15" hidden="1" customHeight="1">
      <c r="B45" s="49" t="s">
        <v>89</v>
      </c>
      <c r="C45" s="49">
        <f>C11/100</f>
        <v>4.7</v>
      </c>
      <c r="D45" s="49">
        <f>E11/100</f>
        <v>5.57</v>
      </c>
      <c r="E45" s="56">
        <f>MAX(C45:D45,0)</f>
        <v>5.57</v>
      </c>
      <c r="G45" s="1" t="str">
        <f>B45</f>
        <v>per 100 youth petitioned</v>
      </c>
      <c r="L45" s="57">
        <v>100</v>
      </c>
      <c r="M45" s="57"/>
      <c r="R45" s="49"/>
    </row>
    <row r="46" spans="2:18" ht="15" hidden="1" customHeight="1">
      <c r="B46" s="49" t="s">
        <v>90</v>
      </c>
      <c r="C46" s="49">
        <f>C12/100</f>
        <v>1.78</v>
      </c>
      <c r="D46" s="49">
        <f>E12/100</f>
        <v>1.9</v>
      </c>
      <c r="E46" s="56">
        <f>MAX(C46:D46)</f>
        <v>1.9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43.795000000000002</v>
      </c>
      <c r="D48" s="56">
        <f>D42</f>
        <v>10.259</v>
      </c>
      <c r="E48" s="56">
        <f>MAX(C48:D48)</f>
        <v>43.795000000000002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3.77</v>
      </c>
      <c r="D49" s="49">
        <f t="shared" si="9"/>
        <v>4.3899999999999997</v>
      </c>
      <c r="E49" s="49">
        <f>MAX(C49:D49)</f>
        <v>4.3899999999999997</v>
      </c>
      <c r="G49" s="1" t="str">
        <f>G43</f>
        <v>per 100 arrests</v>
      </c>
      <c r="L49" s="58">
        <f>IF(($E43&gt;0),L43,L42)</f>
        <v>100</v>
      </c>
      <c r="M49" s="58"/>
      <c r="N49" s="21"/>
      <c r="O49" s="21"/>
      <c r="P49" s="21"/>
      <c r="Q49" s="21"/>
      <c r="R49" s="21"/>
    </row>
    <row r="50" spans="2:18" ht="15" hidden="1" customHeight="1">
      <c r="B50" s="49" t="str">
        <f t="shared" si="9"/>
        <v>per 100 referrals</v>
      </c>
      <c r="C50" s="49">
        <f t="shared" si="9"/>
        <v>9.01</v>
      </c>
      <c r="D50" s="49">
        <f t="shared" si="9"/>
        <v>8.1</v>
      </c>
      <c r="E50" s="49">
        <f>MAX(C50:D50)</f>
        <v>9.01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4.7</v>
      </c>
      <c r="D51" s="49">
        <f>IF(($E45&gt;0),D45,D44)</f>
        <v>5.57</v>
      </c>
      <c r="E51" s="49">
        <f>MAX(C51:D51)</f>
        <v>5.57</v>
      </c>
      <c r="G51" s="1" t="str">
        <f>G45</f>
        <v>per 100 youth petitioned</v>
      </c>
      <c r="L51" s="58">
        <f>IF(($E45&gt;0),L45,L44)</f>
        <v>100</v>
      </c>
      <c r="M51" s="58"/>
    </row>
    <row r="52" spans="2:18" ht="15" hidden="1" customHeight="1">
      <c r="B52" s="49" t="str">
        <f>IF(($E46&gt;0),B46,B45)</f>
        <v>per 100 youth found delinquent</v>
      </c>
      <c r="C52" s="49">
        <f>IF(($E46&gt;0),C46,C45)</f>
        <v>1.78</v>
      </c>
      <c r="D52" s="49">
        <f>IF(($E46&gt;0),D46,D45)</f>
        <v>1.9</v>
      </c>
      <c r="E52" s="56">
        <f>MAX(C52:D52)</f>
        <v>1.9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43.795000000000002</v>
      </c>
      <c r="D54" s="56">
        <f>D48</f>
        <v>10.259</v>
      </c>
      <c r="E54" s="56">
        <f>MAX(C54:D54)</f>
        <v>43.795000000000002</v>
      </c>
      <c r="G54" s="1" t="str">
        <f>G48</f>
        <v>per 1000 youth</v>
      </c>
      <c r="L54" s="58">
        <f>L48</f>
        <v>1000</v>
      </c>
      <c r="M54" s="58"/>
    </row>
    <row r="55" spans="2:18" ht="15" hidden="1" customHeight="1">
      <c r="B55" s="49" t="str">
        <f t="shared" ref="B55:D56" si="10">IF(($E49&gt;0),B49,B48)</f>
        <v>per 100 arrests</v>
      </c>
      <c r="C55" s="49">
        <f t="shared" si="10"/>
        <v>3.77</v>
      </c>
      <c r="D55" s="49">
        <f t="shared" si="10"/>
        <v>4.3899999999999997</v>
      </c>
      <c r="E55" s="49">
        <f>MAX(C55:D55)</f>
        <v>4.3899999999999997</v>
      </c>
      <c r="G55" s="1" t="str">
        <f>G49</f>
        <v>per 100 arrests</v>
      </c>
      <c r="L55" s="58">
        <f>IF(($E49&gt;0),L49,L48)</f>
        <v>100</v>
      </c>
      <c r="M55" s="58"/>
    </row>
    <row r="56" spans="2:18" ht="15" hidden="1" customHeight="1">
      <c r="B56" s="49" t="str">
        <f t="shared" si="10"/>
        <v>per 100 referrals</v>
      </c>
      <c r="C56" s="49">
        <f t="shared" si="10"/>
        <v>9.01</v>
      </c>
      <c r="D56" s="49">
        <f t="shared" si="10"/>
        <v>8.1</v>
      </c>
      <c r="E56" s="49">
        <f>MAX(C56:D56)</f>
        <v>9.01</v>
      </c>
      <c r="G56" s="1" t="str">
        <f>G50</f>
        <v>per 100 referrals</v>
      </c>
      <c r="L56" s="58">
        <f>IF(($E50&gt;0),L50,L49)</f>
        <v>100</v>
      </c>
      <c r="M56" s="58"/>
    </row>
    <row r="57" spans="2:18" ht="15" hidden="1" customHeight="1">
      <c r="B57" s="49" t="str">
        <f>IF(($E51&gt;0),B51,B49)</f>
        <v>per 100 youth petitioned</v>
      </c>
      <c r="C57" s="49">
        <f>IF(($E51&gt;0),C51,C50)</f>
        <v>4.7</v>
      </c>
      <c r="D57" s="49">
        <f>IF(($E51&gt;0),D51,D50)</f>
        <v>5.57</v>
      </c>
      <c r="E57" s="49">
        <f>MAX(C57:D57)</f>
        <v>5.57</v>
      </c>
      <c r="G57" s="1" t="str">
        <f>G51</f>
        <v>per 100 youth petitioned</v>
      </c>
      <c r="L57" s="58">
        <f>IF(($E51&gt;0),L51,L50)</f>
        <v>100</v>
      </c>
      <c r="M57" s="58"/>
    </row>
    <row r="58" spans="2:18" ht="15" hidden="1" customHeight="1">
      <c r="B58" s="49" t="str">
        <f>IF(($E52&gt;0),B52,B51)</f>
        <v>per 100 youth found delinquent</v>
      </c>
      <c r="C58" s="49">
        <f>IF(($E52&gt;0),C52,C51)</f>
        <v>1.78</v>
      </c>
      <c r="D58" s="49">
        <f>IF(($E52&gt;0),D52,D51)</f>
        <v>1.9</v>
      </c>
      <c r="E58" s="56">
        <f>MAX(C58:D58)</f>
        <v>1.9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43.795000000000002</v>
      </c>
      <c r="D60" s="56">
        <f>D54</f>
        <v>10.259</v>
      </c>
      <c r="E60" s="56">
        <f>MAX(C60:D60)</f>
        <v>43.795000000000002</v>
      </c>
      <c r="G60" s="1" t="str">
        <f>G54</f>
        <v>per 1000 youth</v>
      </c>
      <c r="L60" s="58">
        <f>L54</f>
        <v>1000</v>
      </c>
      <c r="M60" s="58"/>
    </row>
    <row r="61" spans="2:18" ht="15" hidden="1" customHeight="1">
      <c r="B61" s="49" t="str">
        <f t="shared" ref="B61:D62" si="11">IF(($E55&gt;0),B55,B54)</f>
        <v>per 100 arrests</v>
      </c>
      <c r="C61" s="49">
        <f t="shared" si="11"/>
        <v>3.77</v>
      </c>
      <c r="D61" s="49">
        <f t="shared" si="11"/>
        <v>4.3899999999999997</v>
      </c>
      <c r="E61" s="49">
        <f>MAX(C61:D61)</f>
        <v>4.3899999999999997</v>
      </c>
      <c r="G61" s="1" t="str">
        <f>G55</f>
        <v>per 100 arrests</v>
      </c>
      <c r="L61" s="58">
        <f>IF(($E55&gt;0),L55,L54)</f>
        <v>100</v>
      </c>
      <c r="M61" s="58"/>
    </row>
    <row r="62" spans="2:18" ht="15" hidden="1" customHeight="1">
      <c r="B62" s="49" t="str">
        <f t="shared" si="11"/>
        <v>per 100 referrals</v>
      </c>
      <c r="C62" s="49">
        <f t="shared" si="11"/>
        <v>9.01</v>
      </c>
      <c r="D62" s="49">
        <f t="shared" si="11"/>
        <v>8.1</v>
      </c>
      <c r="E62" s="49">
        <f>MAX(C62:D62)</f>
        <v>9.01</v>
      </c>
      <c r="G62" s="1" t="str">
        <f>G56</f>
        <v>per 100 referrals</v>
      </c>
      <c r="L62" s="58">
        <f>IF(($E56&gt;0),L56,L55)</f>
        <v>100</v>
      </c>
      <c r="M62" s="58"/>
    </row>
    <row r="63" spans="2:18" ht="15" hidden="1" customHeight="1">
      <c r="B63" s="49" t="str">
        <f>IF(($E57&gt;0),B57,B55)</f>
        <v>per 100 youth petitioned</v>
      </c>
      <c r="C63" s="49">
        <f>IF(($E57&gt;0),C57,C56)</f>
        <v>4.7</v>
      </c>
      <c r="D63" s="49">
        <f>IF(($E57&gt;0),D57,D56)</f>
        <v>5.57</v>
      </c>
      <c r="E63" s="49">
        <f>MAX(C63:D63)</f>
        <v>5.57</v>
      </c>
      <c r="G63" s="1" t="str">
        <f>G57</f>
        <v>per 100 youth petitioned</v>
      </c>
      <c r="L63" s="58">
        <f>IF(($E57&gt;0),L57,L56)</f>
        <v>100</v>
      </c>
      <c r="M63" s="58"/>
    </row>
    <row r="64" spans="2:18" ht="15" hidden="1" customHeight="1">
      <c r="B64" s="49" t="str">
        <f>IF(($E58&gt;0),B58,B57)</f>
        <v>per 100 youth found delinquent</v>
      </c>
      <c r="C64" s="49">
        <f>IF(($E58&gt;0),C58,C57)</f>
        <v>1.78</v>
      </c>
      <c r="D64" s="49">
        <f>IF(($E58&gt;0),D58,D57)</f>
        <v>1.9</v>
      </c>
      <c r="E64" s="56">
        <f>MAX(C64:D64)</f>
        <v>1.9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43.795000000000002</v>
      </c>
      <c r="D66" s="56">
        <f>D60</f>
        <v>10.259</v>
      </c>
      <c r="E66" s="56">
        <f>MAX(C66:D66)</f>
        <v>43.795000000000002</v>
      </c>
      <c r="G66" s="1" t="str">
        <f>G60</f>
        <v>per 1000 youth</v>
      </c>
      <c r="L66" s="58">
        <f>L60</f>
        <v>1000</v>
      </c>
      <c r="M66" s="58">
        <f>IF((B66=G66),1,2)</f>
        <v>1</v>
      </c>
    </row>
    <row r="67" spans="2:13" ht="15" hidden="1" customHeight="1">
      <c r="B67" s="49" t="str">
        <f t="shared" ref="B67:D68" si="12">IF(($E61&gt;0),B61,B60)</f>
        <v>per 100 arrests</v>
      </c>
      <c r="C67" s="49">
        <f t="shared" si="12"/>
        <v>3.77</v>
      </c>
      <c r="D67" s="49">
        <f t="shared" si="12"/>
        <v>4.3899999999999997</v>
      </c>
      <c r="E67" s="49">
        <f>MAX(C67:D67)</f>
        <v>4.3899999999999997</v>
      </c>
      <c r="G67" s="1" t="str">
        <f>G61</f>
        <v>per 100 arrests</v>
      </c>
      <c r="L67" s="58">
        <f>IF(($E61&gt;0),L61,L60)</f>
        <v>100</v>
      </c>
      <c r="M67" s="58">
        <f>IF((B67=G67),1,2)</f>
        <v>1</v>
      </c>
    </row>
    <row r="68" spans="2:13" ht="15" hidden="1" customHeight="1">
      <c r="B68" s="49" t="str">
        <f t="shared" si="12"/>
        <v>per 100 referrals</v>
      </c>
      <c r="C68" s="49">
        <f t="shared" si="12"/>
        <v>9.01</v>
      </c>
      <c r="D68" s="49">
        <f t="shared" si="12"/>
        <v>8.1</v>
      </c>
      <c r="E68" s="49">
        <f>MAX(C68:D68)</f>
        <v>9.01</v>
      </c>
      <c r="G68" s="1" t="str">
        <f>G62</f>
        <v>per 100 referrals</v>
      </c>
      <c r="L68" s="58">
        <f>IF(($E62&gt;0),L62,L61)</f>
        <v>100</v>
      </c>
      <c r="M68" s="58">
        <f>IF((B68=G68),1,2)</f>
        <v>1</v>
      </c>
    </row>
    <row r="69" spans="2:13" ht="15" hidden="1" customHeight="1">
      <c r="B69" s="49" t="str">
        <f>IF(($E63&gt;0),B63,B61)</f>
        <v>per 100 youth petitioned</v>
      </c>
      <c r="C69" s="49">
        <f>IF(($E63&gt;0),C63,C62)</f>
        <v>4.7</v>
      </c>
      <c r="D69" s="49">
        <f>IF(($E63&gt;0),D63,D62)</f>
        <v>5.57</v>
      </c>
      <c r="E69" s="49">
        <f>MAX(C69:D69)</f>
        <v>5.57</v>
      </c>
      <c r="G69" s="1" t="str">
        <f>G63</f>
        <v>per 100 youth petitioned</v>
      </c>
      <c r="L69" s="58">
        <f>IF(($E63&gt;0),L63,L62)</f>
        <v>100</v>
      </c>
      <c r="M69" s="58">
        <f>IF((B69=G69),1,2)</f>
        <v>1</v>
      </c>
    </row>
    <row r="70" spans="2:13" ht="15" hidden="1" customHeight="1">
      <c r="B70" s="49" t="str">
        <f>IF(($E64&gt;0),B64,B63)</f>
        <v>per 100 youth found delinquent</v>
      </c>
      <c r="C70" s="49">
        <f>IF(($E64&gt;0),C64,C63)</f>
        <v>1.78</v>
      </c>
      <c r="D70" s="49">
        <f>IF(($E64&gt;0),D64,D63)</f>
        <v>1.9</v>
      </c>
      <c r="E70" s="56">
        <f>MAX(C70:D70)</f>
        <v>1.9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43795</v>
      </c>
      <c r="D6" s="34"/>
      <c r="E6" s="33">
        <f>'Data Entry'!F6</f>
        <v>2904</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377</v>
      </c>
      <c r="D7" s="34">
        <f>IF((AND(C66&gt;0,C7&gt;0)),(C7/C66),0)</f>
        <v>8.6082886174220796</v>
      </c>
      <c r="E7" s="33">
        <f>'Data Entry'!F7</f>
        <v>3</v>
      </c>
      <c r="F7" s="34">
        <f>IF((AND($E$7&gt;0,$D$66&gt;0)),($E$7/$D$66),0)</f>
        <v>1.0330578512396695</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3</v>
      </c>
      <c r="O7" s="42">
        <f>E6-E7</f>
        <v>2901</v>
      </c>
      <c r="P7" s="42">
        <f t="shared" ref="P7:P15" si="4">C7</f>
        <v>377</v>
      </c>
      <c r="Q7" s="42">
        <f>C6-C7</f>
        <v>43418</v>
      </c>
      <c r="R7" s="42">
        <f t="shared" ref="R7:R15" si="5">SUM(N7:Q7)</f>
        <v>46699</v>
      </c>
      <c r="S7" s="30">
        <f t="shared" ref="S7:S15" si="6">R7*((((N7*Q7)-(O7*P7))^2))</f>
        <v>4.3345258868707368E+16</v>
      </c>
      <c r="T7" s="30">
        <f t="shared" ref="T7:T15" si="7">(N7+O7)*(P7+Q7)*(N7+P7)*(O7+Q7)</f>
        <v>2238535128429600</v>
      </c>
      <c r="U7" s="31">
        <f t="shared" ref="U7:U15" si="8">IF((S7&gt;0),S7/T7,"- -")</f>
        <v>19.363224779552766</v>
      </c>
    </row>
    <row r="8" spans="2:21" ht="18" customHeight="1">
      <c r="B8" s="32" t="str">
        <f>'Data Entry'!A8</f>
        <v>3. Refer to Juvenile Court</v>
      </c>
      <c r="C8" s="33">
        <f>'Data Entry'!C8</f>
        <v>901</v>
      </c>
      <c r="D8" s="34">
        <f>IF((AND(C67&gt;0,C8&gt;0)),(C8/C67),0)</f>
        <v>238.9920424403183</v>
      </c>
      <c r="E8" s="33">
        <f>'Data Entry'!F8</f>
        <v>15</v>
      </c>
      <c r="F8" s="34">
        <f>IF((AND($E$8&gt;0,$D$67&gt;0)),($E8/$D67),0)</f>
        <v>500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15</v>
      </c>
      <c r="O8" s="42">
        <f>((D67*L67)-E8)+0.05</f>
        <v>-11.95</v>
      </c>
      <c r="P8" s="42">
        <f t="shared" si="4"/>
        <v>901</v>
      </c>
      <c r="Q8" s="42">
        <f>(C$67*L67)-C8</f>
        <v>-524</v>
      </c>
      <c r="R8" s="42">
        <f t="shared" si="5"/>
        <v>380.04999999999995</v>
      </c>
      <c r="S8" s="30">
        <f t="shared" si="6"/>
        <v>3211558672.8651218</v>
      </c>
      <c r="T8" s="30">
        <f t="shared" si="7"/>
        <v>-564496090.47000027</v>
      </c>
      <c r="U8" s="31">
        <f t="shared" si="8"/>
        <v>-5.689248742522155</v>
      </c>
    </row>
    <row r="9" spans="2:21" ht="18" customHeight="1">
      <c r="B9" s="32" t="str">
        <f>'Data Entry'!A9</f>
        <v xml:space="preserve">4. Cases Diverted </v>
      </c>
      <c r="C9" s="33">
        <f>'Data Entry'!C9</f>
        <v>352</v>
      </c>
      <c r="D9" s="34">
        <f>IF((AND(C68&gt;0,C9&gt;0)),((C9/C68)),0)</f>
        <v>39.067702552719204</v>
      </c>
      <c r="E9" s="33">
        <f>'Data Entry'!F9</f>
        <v>4</v>
      </c>
      <c r="F9" s="34">
        <f>IF((AND($E$9&gt;0,$D$68&gt;0)),(($E$9/$D$68)),0)</f>
        <v>26.666666666666668</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4</v>
      </c>
      <c r="O9" s="42">
        <f>(D$68*L68)-E9</f>
        <v>11</v>
      </c>
      <c r="P9" s="42">
        <f t="shared" si="4"/>
        <v>352</v>
      </c>
      <c r="Q9" s="42">
        <f>(C$68*L68)-C9</f>
        <v>549</v>
      </c>
      <c r="R9" s="42">
        <f t="shared" si="5"/>
        <v>916</v>
      </c>
      <c r="S9" s="30">
        <f t="shared" si="6"/>
        <v>2573022016</v>
      </c>
      <c r="T9" s="30">
        <f t="shared" si="7"/>
        <v>2694350400</v>
      </c>
      <c r="U9" s="31">
        <f t="shared" si="8"/>
        <v>0.95496933732153022</v>
      </c>
    </row>
    <row r="10" spans="2:21" ht="18" customHeight="1">
      <c r="B10" s="32" t="str">
        <f>'Data Entry'!A10</f>
        <v>5. Cases Involving Secure Detention</v>
      </c>
      <c r="C10" s="33">
        <f>'Data Entry'!C10</f>
        <v>182</v>
      </c>
      <c r="D10" s="34">
        <f>IF(((AND(C68&gt;0,C10&gt;0))),(C10/(C68)),0)</f>
        <v>20.199778024417313</v>
      </c>
      <c r="E10" s="33">
        <f>'Data Entry'!F10</f>
        <v>3</v>
      </c>
      <c r="F10" s="34">
        <f>IF(((AND($E$10&gt;0,$D$68&gt;0))),($E$10/($D$68)),0)</f>
        <v>20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3</v>
      </c>
      <c r="O10" s="42">
        <f>(D$68*L68)-E10</f>
        <v>12</v>
      </c>
      <c r="P10" s="42">
        <f t="shared" si="4"/>
        <v>182</v>
      </c>
      <c r="Q10" s="42">
        <f>(C$68*L68)-C10</f>
        <v>719</v>
      </c>
      <c r="R10" s="42">
        <f t="shared" si="5"/>
        <v>916</v>
      </c>
      <c r="S10" s="30">
        <f t="shared" si="6"/>
        <v>667764</v>
      </c>
      <c r="T10" s="30">
        <f t="shared" si="7"/>
        <v>1827701025</v>
      </c>
      <c r="U10" s="31">
        <f t="shared" si="8"/>
        <v>3.653573483113848E-4</v>
      </c>
    </row>
    <row r="11" spans="2:21" ht="18" customHeight="1">
      <c r="B11" s="32" t="str">
        <f>'Data Entry'!A11</f>
        <v>6. Cases Petitioned (Charge Filed)</v>
      </c>
      <c r="C11" s="33">
        <f>'Data Entry'!C11</f>
        <v>470</v>
      </c>
      <c r="D11" s="34">
        <f>IF(((AND(C68&gt;0,C11&gt;0))),(C11/(C68)),0)</f>
        <v>52.164261931187568</v>
      </c>
      <c r="E11" s="33">
        <f>'Data Entry'!F11</f>
        <v>8</v>
      </c>
      <c r="F11" s="34">
        <f>IF(((AND($E$11&gt;0,$D$68&gt;0))),($E$11/($D$68)),0)</f>
        <v>53.333333333333336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8</v>
      </c>
      <c r="O11" s="42">
        <f>(D$68*L68)-E11</f>
        <v>7</v>
      </c>
      <c r="P11" s="42">
        <f t="shared" si="4"/>
        <v>470</v>
      </c>
      <c r="Q11" s="42">
        <f>(C$68*L68)-C11</f>
        <v>431</v>
      </c>
      <c r="R11" s="42">
        <f t="shared" si="5"/>
        <v>916</v>
      </c>
      <c r="S11" s="30">
        <f t="shared" si="6"/>
        <v>22867024</v>
      </c>
      <c r="T11" s="30">
        <f t="shared" si="7"/>
        <v>2829554460</v>
      </c>
      <c r="U11" s="31">
        <f t="shared" si="8"/>
        <v>8.0814928015204204E-3</v>
      </c>
    </row>
    <row r="12" spans="2:21" ht="18" customHeight="1">
      <c r="B12" s="32" t="str">
        <f>'Data Entry'!A12</f>
        <v>7. Cases Resulting in Delinquent Findings</v>
      </c>
      <c r="C12" s="33">
        <f>'Data Entry'!C12</f>
        <v>178</v>
      </c>
      <c r="D12" s="34">
        <f>IF(((AND(C69&gt;0,C12&gt;0))),(C12/(C69)),0)</f>
        <v>37.872340425531917</v>
      </c>
      <c r="E12" s="33">
        <f>'Data Entry'!F12</f>
        <v>2</v>
      </c>
      <c r="F12" s="34">
        <f>IF(((AND($D$69&gt;0,$E$12&gt;0))),(E12/(D69)),0)</f>
        <v>25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6</v>
      </c>
      <c r="P12" s="42">
        <f t="shared" si="4"/>
        <v>178</v>
      </c>
      <c r="Q12" s="42">
        <f>(C69*L69)-C12</f>
        <v>292</v>
      </c>
      <c r="R12" s="42">
        <f t="shared" si="5"/>
        <v>478</v>
      </c>
      <c r="S12" s="30">
        <f t="shared" si="6"/>
        <v>111974368</v>
      </c>
      <c r="T12" s="30">
        <f t="shared" si="7"/>
        <v>201686400</v>
      </c>
      <c r="U12" s="31">
        <f t="shared" si="8"/>
        <v>0.55519047392387388</v>
      </c>
    </row>
    <row r="13" spans="2:21" ht="18" customHeight="1">
      <c r="B13" s="32" t="str">
        <f>'Data Entry'!A13</f>
        <v>8. Cases Resulting in Probation Placement</v>
      </c>
      <c r="C13" s="33">
        <f>'Data Entry'!C13</f>
        <v>157</v>
      </c>
      <c r="D13" s="34">
        <f>IF(((AND(C70&gt;0,C13&gt;0))),(C13/(C70)),0)</f>
        <v>88.202247191011239</v>
      </c>
      <c r="E13" s="33">
        <f>'Data Entry'!F13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157</v>
      </c>
      <c r="Q13" s="42">
        <f>(C70*L70)-C13</f>
        <v>21</v>
      </c>
      <c r="R13" s="42">
        <f t="shared" si="5"/>
        <v>180</v>
      </c>
      <c r="S13" s="30">
        <f t="shared" si="6"/>
        <v>317520</v>
      </c>
      <c r="T13" s="30">
        <f t="shared" si="7"/>
        <v>1188684</v>
      </c>
      <c r="U13" s="31">
        <f t="shared" si="8"/>
        <v>0.26711893152427391</v>
      </c>
    </row>
    <row r="14" spans="2:21" ht="30.75" customHeight="1">
      <c r="B14" s="32" t="str">
        <f>'Data Entry'!A14</f>
        <v xml:space="preserve">9. Cases Resulting in Confinement in Secure Juvenile Correctional Facilities </v>
      </c>
      <c r="C14" s="33">
        <f>'Data Entry'!C14</f>
        <v>11</v>
      </c>
      <c r="D14" s="34">
        <f>IF(((AND(C70&gt;0,C14&gt;0))), ((C14/(C70))),0)</f>
        <v>6.179775280898876</v>
      </c>
      <c r="E14" s="33">
        <f>'Data Entry'!F14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11</v>
      </c>
      <c r="Q14" s="42">
        <f>(C70*L70)-C14</f>
        <v>167</v>
      </c>
      <c r="R14" s="42">
        <f t="shared" si="5"/>
        <v>180</v>
      </c>
      <c r="S14" s="30">
        <f t="shared" si="6"/>
        <v>87120</v>
      </c>
      <c r="T14" s="30">
        <f t="shared" si="7"/>
        <v>661804</v>
      </c>
      <c r="U14" s="31">
        <f t="shared" si="8"/>
        <v>0.13164018349843759</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8</v>
      </c>
      <c r="P15" s="42">
        <f t="shared" si="4"/>
        <v>0</v>
      </c>
      <c r="Q15" s="42">
        <f>(C69*L69)-C15</f>
        <v>470</v>
      </c>
      <c r="R15" s="42">
        <f t="shared" si="5"/>
        <v>478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43.795000000000002</v>
      </c>
      <c r="D42" s="56">
        <f>E6/1000</f>
        <v>2.9039999999999999</v>
      </c>
      <c r="E42" s="56">
        <f>MAX(C42:D42)</f>
        <v>43.795000000000002</v>
      </c>
      <c r="G42" s="1" t="str">
        <f>B42</f>
        <v>per 1000 youth</v>
      </c>
      <c r="L42" s="57">
        <v>1000</v>
      </c>
      <c r="M42" s="57"/>
      <c r="R42" s="49"/>
    </row>
    <row r="43" spans="2:18" ht="15" hidden="1" customHeight="1">
      <c r="B43" s="49" t="s">
        <v>87</v>
      </c>
      <c r="C43" s="56">
        <f>C7/100</f>
        <v>3.77</v>
      </c>
      <c r="D43" s="56">
        <f>E7/100</f>
        <v>0.03</v>
      </c>
      <c r="E43" s="56">
        <f>MAX(C43:D43,0)</f>
        <v>3.77</v>
      </c>
      <c r="G43" s="1" t="str">
        <f>B43</f>
        <v>per 100 arrests</v>
      </c>
      <c r="L43" s="57">
        <v>100</v>
      </c>
      <c r="M43" s="57"/>
      <c r="R43" s="49"/>
    </row>
    <row r="44" spans="2:18" ht="15" hidden="1" customHeight="1">
      <c r="B44" s="49" t="s">
        <v>88</v>
      </c>
      <c r="C44" s="56">
        <f>C8/100</f>
        <v>9.01</v>
      </c>
      <c r="D44" s="56">
        <f>E8/100</f>
        <v>0.15</v>
      </c>
      <c r="E44" s="56">
        <f>MAX(C44:D44,0)</f>
        <v>9.01</v>
      </c>
      <c r="G44" s="1" t="str">
        <f>B44</f>
        <v>per 100 referrals</v>
      </c>
      <c r="L44" s="57">
        <v>100</v>
      </c>
      <c r="M44" s="57"/>
      <c r="R44" s="49"/>
    </row>
    <row r="45" spans="2:18" ht="15" hidden="1" customHeight="1">
      <c r="B45" s="49" t="s">
        <v>89</v>
      </c>
      <c r="C45" s="49">
        <f>C11/100</f>
        <v>4.7</v>
      </c>
      <c r="D45" s="49">
        <f>E11/100</f>
        <v>0.08</v>
      </c>
      <c r="E45" s="56">
        <f>MAX(C45:D45,0)</f>
        <v>4.7</v>
      </c>
      <c r="G45" s="1" t="str">
        <f>B45</f>
        <v>per 100 youth petitioned</v>
      </c>
      <c r="L45" s="57">
        <v>100</v>
      </c>
      <c r="M45" s="57"/>
      <c r="R45" s="49"/>
    </row>
    <row r="46" spans="2:18" ht="15" hidden="1" customHeight="1">
      <c r="B46" s="49" t="s">
        <v>90</v>
      </c>
      <c r="C46" s="49">
        <f>C12/100</f>
        <v>1.78</v>
      </c>
      <c r="D46" s="49">
        <f>E12/100</f>
        <v>0.02</v>
      </c>
      <c r="E46" s="56">
        <f>MAX(C46:D46)</f>
        <v>1.78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43.795000000000002</v>
      </c>
      <c r="D48" s="56">
        <f>D42</f>
        <v>2.9039999999999999</v>
      </c>
      <c r="E48" s="56">
        <f>MAX(C48:D48)</f>
        <v>43.795000000000002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3.77</v>
      </c>
      <c r="D49" s="49">
        <f t="shared" si="9"/>
        <v>0.03</v>
      </c>
      <c r="E49" s="49">
        <f>MAX(C49:D49)</f>
        <v>3.77</v>
      </c>
      <c r="G49" s="1" t="str">
        <f>G43</f>
        <v>per 100 arrests</v>
      </c>
      <c r="L49" s="58">
        <f>IF(($E43&gt;0),L43,L42)</f>
        <v>100</v>
      </c>
      <c r="M49" s="58"/>
      <c r="N49" s="21"/>
      <c r="O49" s="21"/>
      <c r="P49" s="21"/>
      <c r="Q49" s="21"/>
      <c r="R49" s="21"/>
    </row>
    <row r="50" spans="2:18" ht="15" hidden="1" customHeight="1">
      <c r="B50" s="49" t="str">
        <f t="shared" si="9"/>
        <v>per 100 referrals</v>
      </c>
      <c r="C50" s="49">
        <f t="shared" si="9"/>
        <v>9.01</v>
      </c>
      <c r="D50" s="49">
        <f t="shared" si="9"/>
        <v>0.15</v>
      </c>
      <c r="E50" s="49">
        <f>MAX(C50:D50)</f>
        <v>9.01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4.7</v>
      </c>
      <c r="D51" s="49">
        <f>IF(($E45&gt;0),D45,D44)</f>
        <v>0.08</v>
      </c>
      <c r="E51" s="49">
        <f>MAX(C51:D51)</f>
        <v>4.7</v>
      </c>
      <c r="G51" s="1" t="str">
        <f>G45</f>
        <v>per 100 youth petitioned</v>
      </c>
      <c r="L51" s="58">
        <f>IF(($E45&gt;0),L45,L44)</f>
        <v>100</v>
      </c>
      <c r="M51" s="58"/>
    </row>
    <row r="52" spans="2:18" ht="15" hidden="1" customHeight="1">
      <c r="B52" s="49" t="str">
        <f>IF(($E46&gt;0),B46,B45)</f>
        <v>per 100 youth found delinquent</v>
      </c>
      <c r="C52" s="49">
        <f>IF(($E46&gt;0),C46,C45)</f>
        <v>1.78</v>
      </c>
      <c r="D52" s="49">
        <f>IF(($E46&gt;0),D46,D45)</f>
        <v>0.02</v>
      </c>
      <c r="E52" s="56">
        <f>MAX(C52:D52)</f>
        <v>1.78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43.795000000000002</v>
      </c>
      <c r="D54" s="56">
        <f>D48</f>
        <v>2.9039999999999999</v>
      </c>
      <c r="E54" s="56">
        <f>MAX(C54:D54)</f>
        <v>43.795000000000002</v>
      </c>
      <c r="G54" s="1" t="str">
        <f>G48</f>
        <v>per 1000 youth</v>
      </c>
      <c r="L54" s="58">
        <f>L48</f>
        <v>1000</v>
      </c>
      <c r="M54" s="58"/>
    </row>
    <row r="55" spans="2:18" ht="15" hidden="1" customHeight="1">
      <c r="B55" s="49" t="str">
        <f t="shared" ref="B55:D56" si="10">IF(($E49&gt;0),B49,B48)</f>
        <v>per 100 arrests</v>
      </c>
      <c r="C55" s="49">
        <f t="shared" si="10"/>
        <v>3.77</v>
      </c>
      <c r="D55" s="49">
        <f t="shared" si="10"/>
        <v>0.03</v>
      </c>
      <c r="E55" s="49">
        <f>MAX(C55:D55)</f>
        <v>3.77</v>
      </c>
      <c r="G55" s="1" t="str">
        <f>G49</f>
        <v>per 100 arrests</v>
      </c>
      <c r="L55" s="58">
        <f>IF(($E49&gt;0),L49,L48)</f>
        <v>100</v>
      </c>
      <c r="M55" s="58"/>
    </row>
    <row r="56" spans="2:18" ht="15" hidden="1" customHeight="1">
      <c r="B56" s="49" t="str">
        <f t="shared" si="10"/>
        <v>per 100 referrals</v>
      </c>
      <c r="C56" s="49">
        <f t="shared" si="10"/>
        <v>9.01</v>
      </c>
      <c r="D56" s="49">
        <f t="shared" si="10"/>
        <v>0.15</v>
      </c>
      <c r="E56" s="49">
        <f>MAX(C56:D56)</f>
        <v>9.01</v>
      </c>
      <c r="G56" s="1" t="str">
        <f>G50</f>
        <v>per 100 referrals</v>
      </c>
      <c r="L56" s="58">
        <f>IF(($E50&gt;0),L50,L49)</f>
        <v>100</v>
      </c>
      <c r="M56" s="58"/>
    </row>
    <row r="57" spans="2:18" ht="15" hidden="1" customHeight="1">
      <c r="B57" s="49" t="str">
        <f>IF(($E51&gt;0),B51,B49)</f>
        <v>per 100 youth petitioned</v>
      </c>
      <c r="C57" s="49">
        <f>IF(($E51&gt;0),C51,C50)</f>
        <v>4.7</v>
      </c>
      <c r="D57" s="49">
        <f>IF(($E51&gt;0),D51,D50)</f>
        <v>0.08</v>
      </c>
      <c r="E57" s="49">
        <f>MAX(C57:D57)</f>
        <v>4.7</v>
      </c>
      <c r="G57" s="1" t="str">
        <f>G51</f>
        <v>per 100 youth petitioned</v>
      </c>
      <c r="L57" s="58">
        <f>IF(($E51&gt;0),L51,L50)</f>
        <v>100</v>
      </c>
      <c r="M57" s="58"/>
    </row>
    <row r="58" spans="2:18" ht="15" hidden="1" customHeight="1">
      <c r="B58" s="49" t="str">
        <f>IF(($E52&gt;0),B52,B51)</f>
        <v>per 100 youth found delinquent</v>
      </c>
      <c r="C58" s="49">
        <f>IF(($E52&gt;0),C52,C51)</f>
        <v>1.78</v>
      </c>
      <c r="D58" s="49">
        <f>IF(($E52&gt;0),D52,D51)</f>
        <v>0.02</v>
      </c>
      <c r="E58" s="56">
        <f>MAX(C58:D58)</f>
        <v>1.78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43.795000000000002</v>
      </c>
      <c r="D60" s="56">
        <f>D54</f>
        <v>2.9039999999999999</v>
      </c>
      <c r="E60" s="56">
        <f>MAX(C60:D60)</f>
        <v>43.795000000000002</v>
      </c>
      <c r="G60" s="1" t="str">
        <f>G54</f>
        <v>per 1000 youth</v>
      </c>
      <c r="L60" s="58">
        <f>L54</f>
        <v>1000</v>
      </c>
      <c r="M60" s="58"/>
    </row>
    <row r="61" spans="2:18" ht="15" hidden="1" customHeight="1">
      <c r="B61" s="49" t="str">
        <f t="shared" ref="B61:D62" si="11">IF(($E55&gt;0),B55,B54)</f>
        <v>per 100 arrests</v>
      </c>
      <c r="C61" s="49">
        <f t="shared" si="11"/>
        <v>3.77</v>
      </c>
      <c r="D61" s="49">
        <f t="shared" si="11"/>
        <v>0.03</v>
      </c>
      <c r="E61" s="49">
        <f>MAX(C61:D61)</f>
        <v>3.77</v>
      </c>
      <c r="G61" s="1" t="str">
        <f>G55</f>
        <v>per 100 arrests</v>
      </c>
      <c r="L61" s="58">
        <f>IF(($E55&gt;0),L55,L54)</f>
        <v>100</v>
      </c>
      <c r="M61" s="58"/>
    </row>
    <row r="62" spans="2:18" ht="15" hidden="1" customHeight="1">
      <c r="B62" s="49" t="str">
        <f t="shared" si="11"/>
        <v>per 100 referrals</v>
      </c>
      <c r="C62" s="49">
        <f t="shared" si="11"/>
        <v>9.01</v>
      </c>
      <c r="D62" s="49">
        <f t="shared" si="11"/>
        <v>0.15</v>
      </c>
      <c r="E62" s="49">
        <f>MAX(C62:D62)</f>
        <v>9.01</v>
      </c>
      <c r="G62" s="1" t="str">
        <f>G56</f>
        <v>per 100 referrals</v>
      </c>
      <c r="L62" s="58">
        <f>IF(($E56&gt;0),L56,L55)</f>
        <v>100</v>
      </c>
      <c r="M62" s="58"/>
    </row>
    <row r="63" spans="2:18" ht="15" hidden="1" customHeight="1">
      <c r="B63" s="49" t="str">
        <f>IF(($E57&gt;0),B57,B55)</f>
        <v>per 100 youth petitioned</v>
      </c>
      <c r="C63" s="49">
        <f>IF(($E57&gt;0),C57,C56)</f>
        <v>4.7</v>
      </c>
      <c r="D63" s="49">
        <f>IF(($E57&gt;0),D57,D56)</f>
        <v>0.08</v>
      </c>
      <c r="E63" s="49">
        <f>MAX(C63:D63)</f>
        <v>4.7</v>
      </c>
      <c r="G63" s="1" t="str">
        <f>G57</f>
        <v>per 100 youth petitioned</v>
      </c>
      <c r="L63" s="58">
        <f>IF(($E57&gt;0),L57,L56)</f>
        <v>100</v>
      </c>
      <c r="M63" s="58"/>
    </row>
    <row r="64" spans="2:18" ht="15" hidden="1" customHeight="1">
      <c r="B64" s="49" t="str">
        <f>IF(($E58&gt;0),B58,B57)</f>
        <v>per 100 youth found delinquent</v>
      </c>
      <c r="C64" s="49">
        <f>IF(($E58&gt;0),C58,C57)</f>
        <v>1.78</v>
      </c>
      <c r="D64" s="49">
        <f>IF(($E58&gt;0),D58,D57)</f>
        <v>0.02</v>
      </c>
      <c r="E64" s="56">
        <f>MAX(C64:D64)</f>
        <v>1.78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43.795000000000002</v>
      </c>
      <c r="D66" s="56">
        <f>D60</f>
        <v>2.9039999999999999</v>
      </c>
      <c r="E66" s="56">
        <f>MAX(C66:D66)</f>
        <v>43.795000000000002</v>
      </c>
      <c r="G66" s="1" t="str">
        <f>G60</f>
        <v>per 1000 youth</v>
      </c>
      <c r="L66" s="58">
        <f>L60</f>
        <v>1000</v>
      </c>
      <c r="M66" s="58">
        <f>IF((B66=G66),1,2)</f>
        <v>1</v>
      </c>
    </row>
    <row r="67" spans="2:13" ht="15" hidden="1" customHeight="1">
      <c r="B67" s="49" t="str">
        <f t="shared" ref="B67:D68" si="12">IF(($E61&gt;0),B61,B60)</f>
        <v>per 100 arrests</v>
      </c>
      <c r="C67" s="49">
        <f t="shared" si="12"/>
        <v>3.77</v>
      </c>
      <c r="D67" s="49">
        <f t="shared" si="12"/>
        <v>0.03</v>
      </c>
      <c r="E67" s="49">
        <f>MAX(C67:D67)</f>
        <v>3.77</v>
      </c>
      <c r="G67" s="1" t="str">
        <f>G61</f>
        <v>per 100 arrests</v>
      </c>
      <c r="L67" s="58">
        <f>IF(($E61&gt;0),L61,L60)</f>
        <v>100</v>
      </c>
      <c r="M67" s="58">
        <f>IF((B67=G67),1,2)</f>
        <v>1</v>
      </c>
    </row>
    <row r="68" spans="2:13" ht="15" hidden="1" customHeight="1">
      <c r="B68" s="49" t="str">
        <f t="shared" si="12"/>
        <v>per 100 referrals</v>
      </c>
      <c r="C68" s="49">
        <f t="shared" si="12"/>
        <v>9.01</v>
      </c>
      <c r="D68" s="49">
        <f t="shared" si="12"/>
        <v>0.15</v>
      </c>
      <c r="E68" s="49">
        <f>MAX(C68:D68)</f>
        <v>9.01</v>
      </c>
      <c r="G68" s="1" t="str">
        <f>G62</f>
        <v>per 100 referrals</v>
      </c>
      <c r="L68" s="58">
        <f>IF(($E62&gt;0),L62,L61)</f>
        <v>100</v>
      </c>
      <c r="M68" s="58">
        <f>IF((B68=G68),1,2)</f>
        <v>1</v>
      </c>
    </row>
    <row r="69" spans="2:13" ht="15" hidden="1" customHeight="1">
      <c r="B69" s="49" t="str">
        <f>IF(($E63&gt;0),B63,B61)</f>
        <v>per 100 youth petitioned</v>
      </c>
      <c r="C69" s="49">
        <f>IF(($E63&gt;0),C63,C62)</f>
        <v>4.7</v>
      </c>
      <c r="D69" s="49">
        <f>IF(($E63&gt;0),D63,D62)</f>
        <v>0.08</v>
      </c>
      <c r="E69" s="49">
        <f>MAX(C69:D69)</f>
        <v>4.7</v>
      </c>
      <c r="G69" s="1" t="str">
        <f>G63</f>
        <v>per 100 youth petitioned</v>
      </c>
      <c r="L69" s="58">
        <f>IF(($E63&gt;0),L63,L62)</f>
        <v>100</v>
      </c>
      <c r="M69" s="58">
        <f>IF((B69=G69),1,2)</f>
        <v>1</v>
      </c>
    </row>
    <row r="70" spans="2:13" ht="15" hidden="1" customHeight="1">
      <c r="B70" s="49" t="str">
        <f>IF(($E64&gt;0),B64,B63)</f>
        <v>per 100 youth found delinquent</v>
      </c>
      <c r="C70" s="49">
        <f>IF(($E64&gt;0),C64,C63)</f>
        <v>1.78</v>
      </c>
      <c r="D70" s="49">
        <f>IF(($E64&gt;0),D64,D63)</f>
        <v>0.02</v>
      </c>
      <c r="E70" s="56">
        <f>MAX(C70:D70)</f>
        <v>1.78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43795</v>
      </c>
      <c r="D6" s="34"/>
      <c r="E6" s="33">
        <f>'Data Entry'!E6</f>
        <v>12753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377</v>
      </c>
      <c r="D7" s="34">
        <f>IF((AND(C66&gt;0,C7&gt;0)),(C7/C66),0)</f>
        <v>8.6082886174220796</v>
      </c>
      <c r="E7" s="33">
        <f>'Data Entry'!E7</f>
        <v>58</v>
      </c>
      <c r="F7" s="34">
        <f>IF((AND($E$7&gt;0,$D$66&gt;0)),($E$7/$D$66),0)</f>
        <v>4.5479495020779428</v>
      </c>
      <c r="G7" s="39">
        <f t="shared" ref="G7:G15" si="0">IF(L$6=100,"*",IF(M7=FALSE,"--",IF(K7=20,"**",($F7/$D7))))</f>
        <v>0.52832214441247616</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58</v>
      </c>
      <c r="O7" s="42">
        <f>E6-E7</f>
        <v>12695</v>
      </c>
      <c r="P7" s="42">
        <f t="shared" ref="P7:P15" si="4">C7</f>
        <v>377</v>
      </c>
      <c r="Q7" s="42">
        <f>C6-C7</f>
        <v>43418</v>
      </c>
      <c r="R7" s="42">
        <f t="shared" ref="R7:R15" si="5">SUM(N7:Q7)</f>
        <v>56548</v>
      </c>
      <c r="S7" s="30">
        <f t="shared" ref="S7:S15" si="6">R7*((((N7*Q7)-(O7*P7))^2))</f>
        <v>2.9081422362172166E+17</v>
      </c>
      <c r="T7" s="30">
        <f t="shared" ref="T7:T15" si="7">(N7+O7)*(P7+Q7)*(N7+P7)*(O7+Q7)</f>
        <v>1.3632943522948424E+16</v>
      </c>
      <c r="U7" s="31">
        <f t="shared" ref="U7:U15" si="8">IF((S7&gt;0),S7/T7,"- -")</f>
        <v>21.331726573369291</v>
      </c>
    </row>
    <row r="8" spans="2:21" ht="18" customHeight="1">
      <c r="B8" s="32" t="str">
        <f>'Data Entry'!A8</f>
        <v>3. Refer to Juvenile Court</v>
      </c>
      <c r="C8" s="33">
        <f>'Data Entry'!C8</f>
        <v>901</v>
      </c>
      <c r="D8" s="34">
        <f>IF((AND(C67&gt;0,C8&gt;0)),(C8/C67),0)</f>
        <v>238.9920424403183</v>
      </c>
      <c r="E8" s="33">
        <f>'Data Entry'!E8</f>
        <v>139</v>
      </c>
      <c r="F8" s="34">
        <f>IF((AND($E$8&gt;0,$D$67&gt;0)),($E8/$D67),0)</f>
        <v>239.65517241379311</v>
      </c>
      <c r="G8" s="39">
        <f t="shared" si="0"/>
        <v>1.0027746947835738</v>
      </c>
      <c r="H8" s="40"/>
      <c r="I8" s="41"/>
      <c r="J8" s="40">
        <f>IF((ABS($U8)&gt;Defaults!D$7),1,2)</f>
        <v>2</v>
      </c>
      <c r="K8" s="39">
        <f>IF((AND(N8&gt;Defaults!B$12,(N8+O8)&gt;Defaults!B$13, P8 &gt; Defaults!B$12, (P8+Q8) &gt; Defaults!B$13)),1,20)</f>
        <v>1</v>
      </c>
      <c r="L8" s="1">
        <f t="shared" si="1"/>
        <v>2</v>
      </c>
      <c r="M8" s="1" t="b">
        <f t="shared" si="2"/>
        <v>1</v>
      </c>
      <c r="N8" s="42">
        <f t="shared" si="3"/>
        <v>139</v>
      </c>
      <c r="O8" s="42">
        <f>((D67*L67)-E8)+0.05</f>
        <v>-80.95</v>
      </c>
      <c r="P8" s="42">
        <f t="shared" si="4"/>
        <v>901</v>
      </c>
      <c r="Q8" s="42">
        <f>(C$67*L67)-C8</f>
        <v>-524</v>
      </c>
      <c r="R8" s="42">
        <f t="shared" si="5"/>
        <v>435.04999999999995</v>
      </c>
      <c r="S8" s="30">
        <f t="shared" si="6"/>
        <v>4346150.5876247464</v>
      </c>
      <c r="T8" s="30">
        <f t="shared" si="7"/>
        <v>-13768809607.800001</v>
      </c>
      <c r="U8" s="31">
        <f t="shared" si="8"/>
        <v>-3.1565187633669225E-4</v>
      </c>
    </row>
    <row r="9" spans="2:21" ht="18" customHeight="1">
      <c r="B9" s="32" t="str">
        <f>'Data Entry'!A9</f>
        <v xml:space="preserve">4. Cases Diverted </v>
      </c>
      <c r="C9" s="33">
        <f>'Data Entry'!C9</f>
        <v>352</v>
      </c>
      <c r="D9" s="34">
        <f>IF((AND(C68&gt;0,C9&gt;0)),((C9/C68)),0)</f>
        <v>39.067702552719204</v>
      </c>
      <c r="E9" s="33">
        <f>'Data Entry'!E9</f>
        <v>43</v>
      </c>
      <c r="F9" s="34">
        <f>IF((AND($E$9&gt;0,$D$68&gt;0)),(($E$9/$D$68)),0)</f>
        <v>30.935251798561154</v>
      </c>
      <c r="G9" s="39">
        <f t="shared" si="0"/>
        <v>0.79183698495748855</v>
      </c>
      <c r="H9" s="40"/>
      <c r="I9" s="41"/>
      <c r="J9" s="40">
        <f>IF((ABS($U9)&gt;Defaults!D$7),1,2)</f>
        <v>2</v>
      </c>
      <c r="K9" s="39">
        <f>IF((AND(N9&gt;Defaults!B$12,(N9+O9)&gt;Defaults!B$13, P9 &gt; Defaults!B$12, (P9+Q9) &gt; Defaults!B$13)),1,20)</f>
        <v>1</v>
      </c>
      <c r="L9" s="1">
        <f t="shared" si="1"/>
        <v>2</v>
      </c>
      <c r="M9" s="1" t="b">
        <f t="shared" si="2"/>
        <v>1</v>
      </c>
      <c r="N9" s="42">
        <f t="shared" si="3"/>
        <v>43</v>
      </c>
      <c r="O9" s="42">
        <f>(D$68*L68)-E9</f>
        <v>96</v>
      </c>
      <c r="P9" s="42">
        <f t="shared" si="4"/>
        <v>352</v>
      </c>
      <c r="Q9" s="42">
        <f>(C$68*L68)-C9</f>
        <v>549</v>
      </c>
      <c r="R9" s="42">
        <f t="shared" si="5"/>
        <v>1040</v>
      </c>
      <c r="S9" s="30">
        <f t="shared" si="6"/>
        <v>107883594000</v>
      </c>
      <c r="T9" s="30">
        <f t="shared" si="7"/>
        <v>31907766225</v>
      </c>
      <c r="U9" s="31">
        <f t="shared" si="8"/>
        <v>3.3811076977075349</v>
      </c>
    </row>
    <row r="10" spans="2:21" ht="18" customHeight="1">
      <c r="B10" s="32" t="str">
        <f>'Data Entry'!A10</f>
        <v>5. Cases Involving Secure Detention</v>
      </c>
      <c r="C10" s="33">
        <f>'Data Entry'!C10</f>
        <v>182</v>
      </c>
      <c r="D10" s="34">
        <f>IF(((AND(C68&gt;0,C10&gt;0))),(C10/(C68)),0)</f>
        <v>20.199778024417313</v>
      </c>
      <c r="E10" s="33">
        <f>'Data Entry'!E10</f>
        <v>89</v>
      </c>
      <c r="F10" s="34">
        <f>IF(((AND($E$10&gt;0,$D$68&gt;0))),($E$10/($D$68)),0)</f>
        <v>64.02877697841727</v>
      </c>
      <c r="G10" s="39">
        <f t="shared" si="0"/>
        <v>3.1697762668985696</v>
      </c>
      <c r="H10" s="40"/>
      <c r="I10" s="41"/>
      <c r="J10" s="40">
        <f>IF((ABS($U10)&gt;Defaults!D$7),1,2)</f>
        <v>1</v>
      </c>
      <c r="K10" s="39">
        <f>IF((AND(N10&gt;Defaults!B$12,(N10+O10)&gt;Defaults!B$13, P10 &gt; Defaults!B$12, (P10+Q10) &gt; Defaults!B$13)),1,20)</f>
        <v>1</v>
      </c>
      <c r="L10" s="1">
        <f t="shared" si="1"/>
        <v>1</v>
      </c>
      <c r="M10" s="1" t="b">
        <f t="shared" si="2"/>
        <v>1</v>
      </c>
      <c r="N10" s="42">
        <f t="shared" si="3"/>
        <v>89</v>
      </c>
      <c r="O10" s="42">
        <f>(D$68*L68)-E10</f>
        <v>50</v>
      </c>
      <c r="P10" s="42">
        <f t="shared" si="4"/>
        <v>182</v>
      </c>
      <c r="Q10" s="42">
        <f>(C$68*L68)-C10</f>
        <v>719</v>
      </c>
      <c r="R10" s="42">
        <f t="shared" si="5"/>
        <v>1040</v>
      </c>
      <c r="S10" s="30">
        <f t="shared" si="6"/>
        <v>3133542756240</v>
      </c>
      <c r="T10" s="30">
        <f t="shared" si="7"/>
        <v>26099682361</v>
      </c>
      <c r="U10" s="31">
        <f t="shared" si="8"/>
        <v>120.06057058082678</v>
      </c>
    </row>
    <row r="11" spans="2:21" ht="18" customHeight="1">
      <c r="B11" s="32" t="str">
        <f>'Data Entry'!A11</f>
        <v>6. Cases Petitioned (Charge Filed)</v>
      </c>
      <c r="C11" s="33">
        <f>'Data Entry'!C11</f>
        <v>470</v>
      </c>
      <c r="D11" s="34">
        <f>IF(((AND(C68&gt;0,C11&gt;0))),(C11/(C68)),0)</f>
        <v>52.164261931187568</v>
      </c>
      <c r="E11" s="33">
        <f>'Data Entry'!E11</f>
        <v>89</v>
      </c>
      <c r="F11" s="34">
        <f>IF(((AND($E$11&gt;0,$D$68&gt;0))),($E$11/($D$68)),0)</f>
        <v>64.02877697841727</v>
      </c>
      <c r="G11" s="39">
        <f t="shared" si="0"/>
        <v>1.2274452778202971</v>
      </c>
      <c r="H11" s="40"/>
      <c r="I11" s="41"/>
      <c r="J11" s="40">
        <f>IF((ABS($U11)&gt;Defaults!D$7),1,2)</f>
        <v>1</v>
      </c>
      <c r="K11" s="39">
        <f>IF((AND(N11&gt;Defaults!B$12,(N11+O11)&gt;Defaults!B$13, P11 &gt; Defaults!B$12, (P11+Q11) &gt; Defaults!B$13)),1,20)</f>
        <v>1</v>
      </c>
      <c r="L11" s="1">
        <f t="shared" si="1"/>
        <v>1</v>
      </c>
      <c r="M11" s="1" t="b">
        <f t="shared" si="2"/>
        <v>1</v>
      </c>
      <c r="N11" s="42">
        <f t="shared" si="3"/>
        <v>89</v>
      </c>
      <c r="O11" s="42">
        <f>(D$68*L68)-E11</f>
        <v>50</v>
      </c>
      <c r="P11" s="42">
        <f t="shared" si="4"/>
        <v>470</v>
      </c>
      <c r="Q11" s="42">
        <f>(C$68*L68)-C11</f>
        <v>431</v>
      </c>
      <c r="R11" s="42">
        <f t="shared" si="5"/>
        <v>1040</v>
      </c>
      <c r="S11" s="30">
        <f t="shared" si="6"/>
        <v>229621476240</v>
      </c>
      <c r="T11" s="30">
        <f t="shared" si="7"/>
        <v>33674137081</v>
      </c>
      <c r="U11" s="31">
        <f t="shared" si="8"/>
        <v>6.8189268128138494</v>
      </c>
    </row>
    <row r="12" spans="2:21" ht="18" customHeight="1">
      <c r="B12" s="32" t="str">
        <f>'Data Entry'!A12</f>
        <v>7. Cases Resulting in Delinquent Findings</v>
      </c>
      <c r="C12" s="33">
        <f>'Data Entry'!C12</f>
        <v>178</v>
      </c>
      <c r="D12" s="34">
        <f>IF(((AND(C69&gt;0,C12&gt;0))),(C12/(C69)),0)</f>
        <v>37.872340425531917</v>
      </c>
      <c r="E12" s="33">
        <f>'Data Entry'!E12</f>
        <v>43</v>
      </c>
      <c r="F12" s="34">
        <f>IF(((AND($D$69&gt;0,$E$12&gt;0))),(E12/(D69)),0)</f>
        <v>48.31460674157303</v>
      </c>
      <c r="G12" s="39">
        <f t="shared" si="0"/>
        <v>1.27572276227749</v>
      </c>
      <c r="H12" s="40"/>
      <c r="I12" s="41"/>
      <c r="J12" s="40">
        <f>IF((ABS($U12)&gt;Defaults!D$7),1,2)</f>
        <v>2</v>
      </c>
      <c r="K12" s="39">
        <f>IF((AND(N12&gt;Defaults!B$12,(N12+O12)&gt;Defaults!B$13, P12 &gt; Defaults!B$12, (P12+Q12) &gt; Defaults!B$13)),1,20)</f>
        <v>1</v>
      </c>
      <c r="L12" s="1">
        <f t="shared" si="1"/>
        <v>2</v>
      </c>
      <c r="M12" s="1" t="b">
        <f t="shared" si="2"/>
        <v>1</v>
      </c>
      <c r="N12" s="42">
        <f t="shared" si="3"/>
        <v>43</v>
      </c>
      <c r="O12" s="42">
        <f>(D69*L69)-E12</f>
        <v>46</v>
      </c>
      <c r="P12" s="42">
        <f t="shared" si="4"/>
        <v>178</v>
      </c>
      <c r="Q12" s="42">
        <f>(C69*L69)-C12</f>
        <v>292</v>
      </c>
      <c r="R12" s="42">
        <f t="shared" si="5"/>
        <v>559</v>
      </c>
      <c r="S12" s="30">
        <f t="shared" si="6"/>
        <v>10665398016</v>
      </c>
      <c r="T12" s="30">
        <f t="shared" si="7"/>
        <v>3124617340</v>
      </c>
      <c r="U12" s="31">
        <f t="shared" si="8"/>
        <v>3.4133453333520833</v>
      </c>
    </row>
    <row r="13" spans="2:21" ht="18" customHeight="1">
      <c r="B13" s="32" t="str">
        <f>'Data Entry'!A13</f>
        <v>8. Cases Resulting in Probation Placement</v>
      </c>
      <c r="C13" s="33">
        <f>'Data Entry'!C13</f>
        <v>157</v>
      </c>
      <c r="D13" s="34">
        <f>IF(((AND(C70&gt;0,C13&gt;0))),(C13/(C70)),0)</f>
        <v>88.202247191011239</v>
      </c>
      <c r="E13" s="33">
        <f>'Data Entry'!E13</f>
        <v>35</v>
      </c>
      <c r="F13" s="34">
        <f>IF(((AND($D$70&gt;0,$E$13&gt;0))),($E$13/($D$70)),0)</f>
        <v>81.395348837209298</v>
      </c>
      <c r="G13" s="39">
        <f t="shared" si="0"/>
        <v>0.92282624796326462</v>
      </c>
      <c r="H13" s="40"/>
      <c r="I13" s="41"/>
      <c r="J13" s="40">
        <f>IF((ABS($U13)&gt;Defaults!D$7),1,2)</f>
        <v>2</v>
      </c>
      <c r="K13" s="39">
        <f>IF((AND(N13&gt;Defaults!B$12,(N13+O13)&gt;Defaults!B$13, P13 &gt; Defaults!B$12, (P13+Q13) &gt; Defaults!B$13)),1,20)</f>
        <v>1</v>
      </c>
      <c r="L13" s="1">
        <f t="shared" si="1"/>
        <v>2</v>
      </c>
      <c r="M13" s="1" t="b">
        <f t="shared" si="2"/>
        <v>1</v>
      </c>
      <c r="N13" s="42">
        <f t="shared" si="3"/>
        <v>35</v>
      </c>
      <c r="O13" s="42">
        <f>(D70*L70)-E13</f>
        <v>8</v>
      </c>
      <c r="P13" s="42">
        <f t="shared" si="4"/>
        <v>157</v>
      </c>
      <c r="Q13" s="42">
        <f>(C70*L70)-C13</f>
        <v>21</v>
      </c>
      <c r="R13" s="42">
        <f t="shared" si="5"/>
        <v>221</v>
      </c>
      <c r="S13" s="30">
        <f t="shared" si="6"/>
        <v>59988461</v>
      </c>
      <c r="T13" s="30">
        <f t="shared" si="7"/>
        <v>42617472</v>
      </c>
      <c r="U13" s="31">
        <f t="shared" si="8"/>
        <v>1.4076025203935136</v>
      </c>
    </row>
    <row r="14" spans="2:21" ht="30.75" customHeight="1">
      <c r="B14" s="32" t="str">
        <f>'Data Entry'!A14</f>
        <v xml:space="preserve">9. Cases Resulting in Confinement in Secure Juvenile Correctional Facilities </v>
      </c>
      <c r="C14" s="33">
        <f>'Data Entry'!C14</f>
        <v>11</v>
      </c>
      <c r="D14" s="34">
        <f>IF(((AND(C70&gt;0,C14&gt;0))), ((C14/(C70))),0)</f>
        <v>6.179775280898876</v>
      </c>
      <c r="E14" s="33">
        <f>'Data Entry'!E14</f>
        <v>1</v>
      </c>
      <c r="F14" s="34">
        <f>IF(((AND($D$70&gt;0,$E$14&gt;0))), (($E$14/($D$70))),0)</f>
        <v>2.3255813953488373</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42</v>
      </c>
      <c r="P14" s="42">
        <f t="shared" si="4"/>
        <v>11</v>
      </c>
      <c r="Q14" s="42">
        <f>(C70*L70)-C14</f>
        <v>167</v>
      </c>
      <c r="R14" s="42">
        <f t="shared" si="5"/>
        <v>221</v>
      </c>
      <c r="S14" s="30">
        <f t="shared" si="6"/>
        <v>19232525</v>
      </c>
      <c r="T14" s="30">
        <f t="shared" si="7"/>
        <v>19196232</v>
      </c>
      <c r="U14" s="31">
        <f t="shared" si="8"/>
        <v>1.0018906314530893</v>
      </c>
    </row>
    <row r="15" spans="2:21" ht="15.75" customHeight="1">
      <c r="B15" s="32" t="str">
        <f>'Data Entry'!A15</f>
        <v xml:space="preserve">10. Cases Transferred to Adult Court </v>
      </c>
      <c r="C15" s="33">
        <f>'Data Entry'!C15</f>
        <v>0</v>
      </c>
      <c r="D15" s="34">
        <f>IF(((AND(C69&gt;0,C15&gt;0))),((C15/(C69))),0)</f>
        <v>0</v>
      </c>
      <c r="E15" s="33">
        <f>'Data Entry'!E15</f>
        <v>2</v>
      </c>
      <c r="F15" s="34">
        <f>IF(((AND($D$69&gt;0,$E$15&gt;0))),(($E$15/($D$69))),0)</f>
        <v>2.2471910112359552</v>
      </c>
      <c r="G15" s="39" t="str">
        <f t="shared" si="0"/>
        <v>**</v>
      </c>
      <c r="H15" s="40"/>
      <c r="I15" s="41"/>
      <c r="J15" s="40">
        <f>IF((ABS($U15)&gt;Defaults!D$7),1,2)</f>
        <v>1</v>
      </c>
      <c r="K15" s="39">
        <f>IF((AND(N15&gt;Defaults!B$12,(N15+O15)&gt;Defaults!B$13, P15 &gt; Defaults!B$12, (P15+Q15) &gt; Defaults!B$13)),1,20)</f>
        <v>20</v>
      </c>
      <c r="L15" s="1">
        <f t="shared" si="1"/>
        <v>20</v>
      </c>
      <c r="M15" s="1" t="b">
        <f t="shared" si="2"/>
        <v>1</v>
      </c>
      <c r="N15" s="42">
        <f t="shared" si="3"/>
        <v>2</v>
      </c>
      <c r="O15" s="42">
        <f>(D69*L69)-E15</f>
        <v>87</v>
      </c>
      <c r="P15" s="42">
        <f t="shared" si="4"/>
        <v>0</v>
      </c>
      <c r="Q15" s="42">
        <f>(C69*L69)-C15</f>
        <v>470</v>
      </c>
      <c r="R15" s="42">
        <f t="shared" si="5"/>
        <v>559</v>
      </c>
      <c r="S15" s="30">
        <f t="shared" si="6"/>
        <v>493932400</v>
      </c>
      <c r="T15" s="30">
        <f t="shared" si="7"/>
        <v>46598620</v>
      </c>
      <c r="U15" s="31">
        <f t="shared" si="8"/>
        <v>10.599721622657494</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43.795000000000002</v>
      </c>
      <c r="D42" s="56">
        <f>E6/1000</f>
        <v>12.753</v>
      </c>
      <c r="E42" s="56">
        <f>MAX(C42:D42)</f>
        <v>43.795000000000002</v>
      </c>
      <c r="G42" s="1" t="str">
        <f>B42</f>
        <v>per 1000 youth</v>
      </c>
      <c r="L42" s="57">
        <v>1000</v>
      </c>
      <c r="M42" s="57"/>
      <c r="R42" s="49"/>
    </row>
    <row r="43" spans="2:18" ht="15" hidden="1" customHeight="1">
      <c r="B43" s="49" t="s">
        <v>87</v>
      </c>
      <c r="C43" s="56">
        <f>C7/100</f>
        <v>3.77</v>
      </c>
      <c r="D43" s="56">
        <f>E7/100</f>
        <v>0.57999999999999996</v>
      </c>
      <c r="E43" s="56">
        <f>MAX(C43:D43,0)</f>
        <v>3.77</v>
      </c>
      <c r="G43" s="1" t="str">
        <f>B43</f>
        <v>per 100 arrests</v>
      </c>
      <c r="L43" s="57">
        <v>100</v>
      </c>
      <c r="M43" s="57"/>
      <c r="R43" s="49"/>
    </row>
    <row r="44" spans="2:18" ht="15" hidden="1" customHeight="1">
      <c r="B44" s="49" t="s">
        <v>88</v>
      </c>
      <c r="C44" s="56">
        <f>C8/100</f>
        <v>9.01</v>
      </c>
      <c r="D44" s="56">
        <f>E8/100</f>
        <v>1.39</v>
      </c>
      <c r="E44" s="56">
        <f>MAX(C44:D44,0)</f>
        <v>9.01</v>
      </c>
      <c r="G44" s="1" t="str">
        <f>B44</f>
        <v>per 100 referrals</v>
      </c>
      <c r="L44" s="57">
        <v>100</v>
      </c>
      <c r="M44" s="57"/>
      <c r="R44" s="49"/>
    </row>
    <row r="45" spans="2:18" ht="15" hidden="1" customHeight="1">
      <c r="B45" s="49" t="s">
        <v>89</v>
      </c>
      <c r="C45" s="49">
        <f>C11/100</f>
        <v>4.7</v>
      </c>
      <c r="D45" s="49">
        <f>E11/100</f>
        <v>0.89</v>
      </c>
      <c r="E45" s="56">
        <f>MAX(C45:D45,0)</f>
        <v>4.7</v>
      </c>
      <c r="G45" s="1" t="str">
        <f>B45</f>
        <v>per 100 youth petitioned</v>
      </c>
      <c r="L45" s="57">
        <v>100</v>
      </c>
      <c r="M45" s="57"/>
      <c r="R45" s="49"/>
    </row>
    <row r="46" spans="2:18" ht="15" hidden="1" customHeight="1">
      <c r="B46" s="49" t="s">
        <v>90</v>
      </c>
      <c r="C46" s="49">
        <f>C12/100</f>
        <v>1.78</v>
      </c>
      <c r="D46" s="49">
        <f>E12/100</f>
        <v>0.43</v>
      </c>
      <c r="E46" s="56">
        <f>MAX(C46:D46)</f>
        <v>1.78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43.795000000000002</v>
      </c>
      <c r="D48" s="56">
        <f>D42</f>
        <v>12.753</v>
      </c>
      <c r="E48" s="56">
        <f>MAX(C48:D48)</f>
        <v>43.795000000000002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3.77</v>
      </c>
      <c r="D49" s="49">
        <f t="shared" si="9"/>
        <v>0.57999999999999996</v>
      </c>
      <c r="E49" s="49">
        <f>MAX(C49:D49)</f>
        <v>3.77</v>
      </c>
      <c r="G49" s="1" t="str">
        <f>G43</f>
        <v>per 100 arrests</v>
      </c>
      <c r="L49" s="58">
        <f>IF(($E43&gt;0),L43,L42)</f>
        <v>100</v>
      </c>
      <c r="M49" s="58"/>
      <c r="N49" s="21"/>
      <c r="O49" s="21"/>
      <c r="P49" s="21"/>
      <c r="Q49" s="21"/>
      <c r="R49" s="21"/>
    </row>
    <row r="50" spans="2:18" ht="15" hidden="1" customHeight="1">
      <c r="B50" s="49" t="str">
        <f t="shared" si="9"/>
        <v>per 100 referrals</v>
      </c>
      <c r="C50" s="49">
        <f t="shared" si="9"/>
        <v>9.01</v>
      </c>
      <c r="D50" s="49">
        <f t="shared" si="9"/>
        <v>1.39</v>
      </c>
      <c r="E50" s="49">
        <f>MAX(C50:D50)</f>
        <v>9.01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4.7</v>
      </c>
      <c r="D51" s="49">
        <f>IF(($E45&gt;0),D45,D44)</f>
        <v>0.89</v>
      </c>
      <c r="E51" s="49">
        <f>MAX(C51:D51)</f>
        <v>4.7</v>
      </c>
      <c r="G51" s="1" t="str">
        <f>G45</f>
        <v>per 100 youth petitioned</v>
      </c>
      <c r="L51" s="58">
        <f>IF(($E45&gt;0),L45,L44)</f>
        <v>100</v>
      </c>
      <c r="M51" s="58"/>
    </row>
    <row r="52" spans="2:18" ht="15" hidden="1" customHeight="1">
      <c r="B52" s="49" t="str">
        <f>IF(($E46&gt;0),B46,B45)</f>
        <v>per 100 youth found delinquent</v>
      </c>
      <c r="C52" s="49">
        <f>IF(($E46&gt;0),C46,C45)</f>
        <v>1.78</v>
      </c>
      <c r="D52" s="49">
        <f>IF(($E46&gt;0),D46,D45)</f>
        <v>0.43</v>
      </c>
      <c r="E52" s="56">
        <f>MAX(C52:D52)</f>
        <v>1.78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43.795000000000002</v>
      </c>
      <c r="D54" s="56">
        <f>D48</f>
        <v>12.753</v>
      </c>
      <c r="E54" s="56">
        <f>MAX(C54:D54)</f>
        <v>43.795000000000002</v>
      </c>
      <c r="G54" s="1" t="str">
        <f>G48</f>
        <v>per 1000 youth</v>
      </c>
      <c r="L54" s="58">
        <f>L48</f>
        <v>1000</v>
      </c>
      <c r="M54" s="58"/>
    </row>
    <row r="55" spans="2:18" ht="15" hidden="1" customHeight="1">
      <c r="B55" s="49" t="str">
        <f t="shared" ref="B55:D56" si="10">IF(($E49&gt;0),B49,B48)</f>
        <v>per 100 arrests</v>
      </c>
      <c r="C55" s="49">
        <f t="shared" si="10"/>
        <v>3.77</v>
      </c>
      <c r="D55" s="49">
        <f t="shared" si="10"/>
        <v>0.57999999999999996</v>
      </c>
      <c r="E55" s="49">
        <f>MAX(C55:D55)</f>
        <v>3.77</v>
      </c>
      <c r="G55" s="1" t="str">
        <f>G49</f>
        <v>per 100 arrests</v>
      </c>
      <c r="L55" s="58">
        <f>IF(($E49&gt;0),L49,L48)</f>
        <v>100</v>
      </c>
      <c r="M55" s="58"/>
    </row>
    <row r="56" spans="2:18" ht="15" hidden="1" customHeight="1">
      <c r="B56" s="49" t="str">
        <f t="shared" si="10"/>
        <v>per 100 referrals</v>
      </c>
      <c r="C56" s="49">
        <f t="shared" si="10"/>
        <v>9.01</v>
      </c>
      <c r="D56" s="49">
        <f t="shared" si="10"/>
        <v>1.39</v>
      </c>
      <c r="E56" s="49">
        <f>MAX(C56:D56)</f>
        <v>9.01</v>
      </c>
      <c r="G56" s="1" t="str">
        <f>G50</f>
        <v>per 100 referrals</v>
      </c>
      <c r="L56" s="58">
        <f>IF(($E50&gt;0),L50,L49)</f>
        <v>100</v>
      </c>
      <c r="M56" s="58"/>
    </row>
    <row r="57" spans="2:18" ht="15" hidden="1" customHeight="1">
      <c r="B57" s="49" t="str">
        <f>IF(($E51&gt;0),B51,B49)</f>
        <v>per 100 youth petitioned</v>
      </c>
      <c r="C57" s="49">
        <f>IF(($E51&gt;0),C51,C50)</f>
        <v>4.7</v>
      </c>
      <c r="D57" s="49">
        <f>IF(($E51&gt;0),D51,D50)</f>
        <v>0.89</v>
      </c>
      <c r="E57" s="49">
        <f>MAX(C57:D57)</f>
        <v>4.7</v>
      </c>
      <c r="G57" s="1" t="str">
        <f>G51</f>
        <v>per 100 youth petitioned</v>
      </c>
      <c r="L57" s="58">
        <f>IF(($E51&gt;0),L51,L50)</f>
        <v>100</v>
      </c>
      <c r="M57" s="58"/>
    </row>
    <row r="58" spans="2:18" ht="15" hidden="1" customHeight="1">
      <c r="B58" s="49" t="str">
        <f>IF(($E52&gt;0),B52,B51)</f>
        <v>per 100 youth found delinquent</v>
      </c>
      <c r="C58" s="49">
        <f>IF(($E52&gt;0),C52,C51)</f>
        <v>1.78</v>
      </c>
      <c r="D58" s="49">
        <f>IF(($E52&gt;0),D52,D51)</f>
        <v>0.43</v>
      </c>
      <c r="E58" s="56">
        <f>MAX(C58:D58)</f>
        <v>1.78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43.795000000000002</v>
      </c>
      <c r="D60" s="56">
        <f>D54</f>
        <v>12.753</v>
      </c>
      <c r="E60" s="56">
        <f>MAX(C60:D60)</f>
        <v>43.795000000000002</v>
      </c>
      <c r="G60" s="1" t="str">
        <f>G54</f>
        <v>per 1000 youth</v>
      </c>
      <c r="L60" s="58">
        <f>L54</f>
        <v>1000</v>
      </c>
      <c r="M60" s="58"/>
    </row>
    <row r="61" spans="2:18" ht="15" hidden="1" customHeight="1">
      <c r="B61" s="49" t="str">
        <f t="shared" ref="B61:D62" si="11">IF(($E55&gt;0),B55,B54)</f>
        <v>per 100 arrests</v>
      </c>
      <c r="C61" s="49">
        <f t="shared" si="11"/>
        <v>3.77</v>
      </c>
      <c r="D61" s="49">
        <f t="shared" si="11"/>
        <v>0.57999999999999996</v>
      </c>
      <c r="E61" s="49">
        <f>MAX(C61:D61)</f>
        <v>3.77</v>
      </c>
      <c r="G61" s="1" t="str">
        <f>G55</f>
        <v>per 100 arrests</v>
      </c>
      <c r="L61" s="58">
        <f>IF(($E55&gt;0),L55,L54)</f>
        <v>100</v>
      </c>
      <c r="M61" s="58"/>
    </row>
    <row r="62" spans="2:18" ht="15" hidden="1" customHeight="1">
      <c r="B62" s="49" t="str">
        <f t="shared" si="11"/>
        <v>per 100 referrals</v>
      </c>
      <c r="C62" s="49">
        <f t="shared" si="11"/>
        <v>9.01</v>
      </c>
      <c r="D62" s="49">
        <f t="shared" si="11"/>
        <v>1.39</v>
      </c>
      <c r="E62" s="49">
        <f>MAX(C62:D62)</f>
        <v>9.01</v>
      </c>
      <c r="G62" s="1" t="str">
        <f>G56</f>
        <v>per 100 referrals</v>
      </c>
      <c r="L62" s="58">
        <f>IF(($E56&gt;0),L56,L55)</f>
        <v>100</v>
      </c>
      <c r="M62" s="58"/>
    </row>
    <row r="63" spans="2:18" ht="15" hidden="1" customHeight="1">
      <c r="B63" s="49" t="str">
        <f>IF(($E57&gt;0),B57,B55)</f>
        <v>per 100 youth petitioned</v>
      </c>
      <c r="C63" s="49">
        <f>IF(($E57&gt;0),C57,C56)</f>
        <v>4.7</v>
      </c>
      <c r="D63" s="49">
        <f>IF(($E57&gt;0),D57,D56)</f>
        <v>0.89</v>
      </c>
      <c r="E63" s="49">
        <f>MAX(C63:D63)</f>
        <v>4.7</v>
      </c>
      <c r="G63" s="1" t="str">
        <f>G57</f>
        <v>per 100 youth petitioned</v>
      </c>
      <c r="L63" s="58">
        <f>IF(($E57&gt;0),L57,L56)</f>
        <v>100</v>
      </c>
      <c r="M63" s="58"/>
    </row>
    <row r="64" spans="2:18" ht="15" hidden="1" customHeight="1">
      <c r="B64" s="49" t="str">
        <f>IF(($E58&gt;0),B58,B57)</f>
        <v>per 100 youth found delinquent</v>
      </c>
      <c r="C64" s="49">
        <f>IF(($E58&gt;0),C58,C57)</f>
        <v>1.78</v>
      </c>
      <c r="D64" s="49">
        <f>IF(($E58&gt;0),D58,D57)</f>
        <v>0.43</v>
      </c>
      <c r="E64" s="56">
        <f>MAX(C64:D64)</f>
        <v>1.78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43.795000000000002</v>
      </c>
      <c r="D66" s="56">
        <f>D60</f>
        <v>12.753</v>
      </c>
      <c r="E66" s="56">
        <f>MAX(C66:D66)</f>
        <v>43.795000000000002</v>
      </c>
      <c r="G66" s="1" t="str">
        <f>G60</f>
        <v>per 1000 youth</v>
      </c>
      <c r="L66" s="58">
        <f>L60</f>
        <v>1000</v>
      </c>
      <c r="M66" s="58">
        <f>IF((B66=G66),1,2)</f>
        <v>1</v>
      </c>
    </row>
    <row r="67" spans="2:13" ht="15" hidden="1" customHeight="1">
      <c r="B67" s="49" t="str">
        <f t="shared" ref="B67:D68" si="12">IF(($E61&gt;0),B61,B60)</f>
        <v>per 100 arrests</v>
      </c>
      <c r="C67" s="49">
        <f t="shared" si="12"/>
        <v>3.77</v>
      </c>
      <c r="D67" s="49">
        <f t="shared" si="12"/>
        <v>0.57999999999999996</v>
      </c>
      <c r="E67" s="49">
        <f>MAX(C67:D67)</f>
        <v>3.77</v>
      </c>
      <c r="G67" s="1" t="str">
        <f>G61</f>
        <v>per 100 arrests</v>
      </c>
      <c r="L67" s="58">
        <f>IF(($E61&gt;0),L61,L60)</f>
        <v>100</v>
      </c>
      <c r="M67" s="58">
        <f>IF((B67=G67),1,2)</f>
        <v>1</v>
      </c>
    </row>
    <row r="68" spans="2:13" ht="15" hidden="1" customHeight="1">
      <c r="B68" s="49" t="str">
        <f t="shared" si="12"/>
        <v>per 100 referrals</v>
      </c>
      <c r="C68" s="49">
        <f t="shared" si="12"/>
        <v>9.01</v>
      </c>
      <c r="D68" s="49">
        <f t="shared" si="12"/>
        <v>1.39</v>
      </c>
      <c r="E68" s="49">
        <f>MAX(C68:D68)</f>
        <v>9.01</v>
      </c>
      <c r="G68" s="1" t="str">
        <f>G62</f>
        <v>per 100 referrals</v>
      </c>
      <c r="L68" s="58">
        <f>IF(($E62&gt;0),L62,L61)</f>
        <v>100</v>
      </c>
      <c r="M68" s="58">
        <f>IF((B68=G68),1,2)</f>
        <v>1</v>
      </c>
    </row>
    <row r="69" spans="2:13" ht="15" hidden="1" customHeight="1">
      <c r="B69" s="49" t="str">
        <f>IF(($E63&gt;0),B63,B61)</f>
        <v>per 100 youth petitioned</v>
      </c>
      <c r="C69" s="49">
        <f>IF(($E63&gt;0),C63,C62)</f>
        <v>4.7</v>
      </c>
      <c r="D69" s="49">
        <f>IF(($E63&gt;0),D63,D62)</f>
        <v>0.89</v>
      </c>
      <c r="E69" s="49">
        <f>MAX(C69:D69)</f>
        <v>4.7</v>
      </c>
      <c r="G69" s="1" t="str">
        <f>G63</f>
        <v>per 100 youth petitioned</v>
      </c>
      <c r="L69" s="58">
        <f>IF(($E63&gt;0),L63,L62)</f>
        <v>100</v>
      </c>
      <c r="M69" s="58">
        <f>IF((B69=G69),1,2)</f>
        <v>1</v>
      </c>
    </row>
    <row r="70" spans="2:13" ht="15" hidden="1" customHeight="1">
      <c r="B70" s="49" t="str">
        <f>IF(($E64&gt;0),B64,B63)</f>
        <v>per 100 youth found delinquent</v>
      </c>
      <c r="C70" s="49">
        <f>IF(($E64&gt;0),C64,C63)</f>
        <v>1.78</v>
      </c>
      <c r="D70" s="49">
        <f>IF(($E64&gt;0),D64,D63)</f>
        <v>0.43</v>
      </c>
      <c r="E70" s="56">
        <f>MAX(C70:D70)</f>
        <v>1.78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43795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377</v>
      </c>
      <c r="D7" s="34">
        <f>IF((AND(C66&gt;0,C7&gt;0)),(C7/C66),0)</f>
        <v>8.6082886174220796</v>
      </c>
      <c r="E7" s="33">
        <f>'Data Entry'!G7</f>
        <v>1</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1</v>
      </c>
      <c r="O7" s="42">
        <f>E6-E7</f>
        <v>-1</v>
      </c>
      <c r="P7" s="42">
        <f t="shared" ref="P7:P15" si="4">C7</f>
        <v>377</v>
      </c>
      <c r="Q7" s="42">
        <f>C6-C7</f>
        <v>43418</v>
      </c>
      <c r="R7" s="42">
        <f t="shared" ref="R7:R15" si="5">SUM(N7:Q7)</f>
        <v>43795</v>
      </c>
      <c r="S7" s="30">
        <f t="shared" ref="S7:S15" si="6">R7*((((N7*Q7)-(O7*P7))^2))</f>
        <v>83998898684875</v>
      </c>
      <c r="T7" s="30">
        <f t="shared" ref="T7:T15" si="7">(N7+O7)*(P7+Q7)*(N7+P7)*(O7+Q7)</f>
        <v>0</v>
      </c>
      <c r="U7" s="31" t="e">
        <f t="shared" ref="U7:U15" si="8">IF((S7&gt;0),S7/T7,"- -")</f>
        <v>#DIV/0!</v>
      </c>
    </row>
    <row r="8" spans="2:21" ht="18" customHeight="1">
      <c r="B8" s="32" t="str">
        <f>'Data Entry'!A8</f>
        <v>3. Refer to Juvenile Court</v>
      </c>
      <c r="C8" s="33">
        <f>'Data Entry'!C8</f>
        <v>901</v>
      </c>
      <c r="D8" s="34">
        <f>IF((AND(C67&gt;0,C8&gt;0)),(C8/C67),0)</f>
        <v>238.9920424403183</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1.05</v>
      </c>
      <c r="P8" s="42">
        <f t="shared" si="4"/>
        <v>901</v>
      </c>
      <c r="Q8" s="42">
        <f>(C$67*L67)-C8</f>
        <v>-524</v>
      </c>
      <c r="R8" s="42">
        <f t="shared" si="5"/>
        <v>378.04999999999995</v>
      </c>
      <c r="S8" s="30">
        <f t="shared" si="6"/>
        <v>338358758.27512503</v>
      </c>
      <c r="T8" s="30">
        <f t="shared" si="7"/>
        <v>-186515791.50750002</v>
      </c>
      <c r="U8" s="31">
        <f t="shared" si="8"/>
        <v>-1.8141024711117784</v>
      </c>
    </row>
    <row r="9" spans="2:21" ht="18" customHeight="1">
      <c r="B9" s="32" t="str">
        <f>'Data Entry'!A9</f>
        <v xml:space="preserve">4. Cases Diverted </v>
      </c>
      <c r="C9" s="33">
        <f>'Data Entry'!C9</f>
        <v>352</v>
      </c>
      <c r="D9" s="34">
        <f>IF((AND(C68&gt;0,C9&gt;0)),((C9/C68)),0)</f>
        <v>39.067702552719204</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352</v>
      </c>
      <c r="Q9" s="42">
        <f>(C$68*L68)-C9</f>
        <v>549</v>
      </c>
      <c r="R9" s="42">
        <f t="shared" si="5"/>
        <v>901</v>
      </c>
      <c r="S9" s="30">
        <f t="shared" si="6"/>
        <v>0</v>
      </c>
      <c r="T9" s="30">
        <f t="shared" si="7"/>
        <v>0</v>
      </c>
      <c r="U9" s="31" t="str">
        <f t="shared" si="8"/>
        <v>- -</v>
      </c>
    </row>
    <row r="10" spans="2:21" ht="18" customHeight="1">
      <c r="B10" s="32" t="str">
        <f>'Data Entry'!A10</f>
        <v>5. Cases Involving Secure Detention</v>
      </c>
      <c r="C10" s="33">
        <f>'Data Entry'!C10</f>
        <v>182</v>
      </c>
      <c r="D10" s="34">
        <f>IF(((AND(C68&gt;0,C10&gt;0))),(C10/(C68)),0)</f>
        <v>20.199778024417313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182</v>
      </c>
      <c r="Q10" s="42">
        <f>(C$68*L68)-C10</f>
        <v>719</v>
      </c>
      <c r="R10" s="42">
        <f t="shared" si="5"/>
        <v>901</v>
      </c>
      <c r="S10" s="30">
        <f t="shared" si="6"/>
        <v>0</v>
      </c>
      <c r="T10" s="30">
        <f t="shared" si="7"/>
        <v>0</v>
      </c>
      <c r="U10" s="31" t="str">
        <f t="shared" si="8"/>
        <v>- -</v>
      </c>
    </row>
    <row r="11" spans="2:21" ht="18" customHeight="1">
      <c r="B11" s="32" t="str">
        <f>'Data Entry'!A11</f>
        <v>6. Cases Petitioned (Charge Filed)</v>
      </c>
      <c r="C11" s="33">
        <f>'Data Entry'!C11</f>
        <v>470</v>
      </c>
      <c r="D11" s="34">
        <f>IF(((AND(C68&gt;0,C11&gt;0))),(C11/(C68)),0)</f>
        <v>52.164261931187568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470</v>
      </c>
      <c r="Q11" s="42">
        <f>(C$68*L68)-C11</f>
        <v>431</v>
      </c>
      <c r="R11" s="42">
        <f t="shared" si="5"/>
        <v>901</v>
      </c>
      <c r="S11" s="30">
        <f t="shared" si="6"/>
        <v>0</v>
      </c>
      <c r="T11" s="30">
        <f t="shared" si="7"/>
        <v>0</v>
      </c>
      <c r="U11" s="31" t="str">
        <f t="shared" si="8"/>
        <v>- -</v>
      </c>
    </row>
    <row r="12" spans="2:21" ht="18" customHeight="1">
      <c r="B12" s="32" t="str">
        <f>'Data Entry'!A12</f>
        <v>7. Cases Resulting in Delinquent Findings</v>
      </c>
      <c r="C12" s="33">
        <f>'Data Entry'!C12</f>
        <v>178</v>
      </c>
      <c r="D12" s="34">
        <f>IF(((AND(C69&gt;0,C12&gt;0))),(C12/(C69)),0)</f>
        <v>37.872340425531917</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178</v>
      </c>
      <c r="Q12" s="42">
        <f>(C69*L69)-C12</f>
        <v>292</v>
      </c>
      <c r="R12" s="42">
        <f t="shared" si="5"/>
        <v>470</v>
      </c>
      <c r="S12" s="30">
        <f t="shared" si="6"/>
        <v>0</v>
      </c>
      <c r="T12" s="30">
        <f t="shared" si="7"/>
        <v>0</v>
      </c>
      <c r="U12" s="31" t="str">
        <f t="shared" si="8"/>
        <v>- -</v>
      </c>
    </row>
    <row r="13" spans="2:21" ht="18" customHeight="1">
      <c r="B13" s="32" t="str">
        <f>'Data Entry'!A13</f>
        <v>8. Cases Resulting in Probation Placement</v>
      </c>
      <c r="C13" s="33">
        <f>'Data Entry'!C13</f>
        <v>157</v>
      </c>
      <c r="D13" s="34">
        <f>IF(((AND(C70&gt;0,C13&gt;0))),(C13/(C70)),0)</f>
        <v>88.202247191011239</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157</v>
      </c>
      <c r="Q13" s="42">
        <f>(C70*L70)-C13</f>
        <v>21</v>
      </c>
      <c r="R13" s="42">
        <f t="shared" si="5"/>
        <v>178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6.179775280898876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11</v>
      </c>
      <c r="Q14" s="42">
        <f>(C70*L70)-C14</f>
        <v>167</v>
      </c>
      <c r="R14" s="42">
        <f t="shared" si="5"/>
        <v>178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470</v>
      </c>
      <c r="R15" s="42">
        <f t="shared" si="5"/>
        <v>470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43.795000000000002</v>
      </c>
      <c r="D42" s="56">
        <f>E6/1000</f>
        <v>0</v>
      </c>
      <c r="E42" s="56">
        <f>MAX(C42:D42)</f>
        <v>43.795000000000002</v>
      </c>
      <c r="G42" s="1" t="str">
        <f>B42</f>
        <v>per 1000 youth</v>
      </c>
      <c r="L42" s="57">
        <v>1000</v>
      </c>
      <c r="M42" s="57"/>
      <c r="R42" s="49"/>
    </row>
    <row r="43" spans="2:18" ht="15" hidden="1" customHeight="1">
      <c r="B43" s="49" t="s">
        <v>87</v>
      </c>
      <c r="C43" s="56">
        <f>C7/100</f>
        <v>3.77</v>
      </c>
      <c r="D43" s="56">
        <f>E7/100</f>
        <v>0.01</v>
      </c>
      <c r="E43" s="56">
        <f>MAX(C43:D43,0)</f>
        <v>3.77</v>
      </c>
      <c r="G43" s="1" t="str">
        <f>B43</f>
        <v>per 100 arrests</v>
      </c>
      <c r="L43" s="57">
        <v>100</v>
      </c>
      <c r="M43" s="57"/>
      <c r="R43" s="49"/>
    </row>
    <row r="44" spans="2:18" ht="15" hidden="1" customHeight="1">
      <c r="B44" s="49" t="s">
        <v>88</v>
      </c>
      <c r="C44" s="56">
        <f>C8/100</f>
        <v>9.01</v>
      </c>
      <c r="D44" s="56">
        <f>E8/100</f>
        <v>0</v>
      </c>
      <c r="E44" s="56">
        <f>MAX(C44:D44,0)</f>
        <v>9.01</v>
      </c>
      <c r="G44" s="1" t="str">
        <f>B44</f>
        <v>per 100 referrals</v>
      </c>
      <c r="L44" s="57">
        <v>100</v>
      </c>
      <c r="M44" s="57"/>
      <c r="R44" s="49"/>
    </row>
    <row r="45" spans="2:18" ht="15" hidden="1" customHeight="1">
      <c r="B45" s="49" t="s">
        <v>89</v>
      </c>
      <c r="C45" s="49">
        <f>C11/100</f>
        <v>4.7</v>
      </c>
      <c r="D45" s="49">
        <f>E11/100</f>
        <v>0</v>
      </c>
      <c r="E45" s="56">
        <f>MAX(C45:D45,0)</f>
        <v>4.7</v>
      </c>
      <c r="G45" s="1" t="str">
        <f>B45</f>
        <v>per 100 youth petitioned</v>
      </c>
      <c r="L45" s="57">
        <v>100</v>
      </c>
      <c r="M45" s="57"/>
      <c r="R45" s="49"/>
    </row>
    <row r="46" spans="2:18" ht="15" hidden="1" customHeight="1">
      <c r="B46" s="49" t="s">
        <v>90</v>
      </c>
      <c r="C46" s="49">
        <f>C12/100</f>
        <v>1.78</v>
      </c>
      <c r="D46" s="49">
        <f>E12/100</f>
        <v>0</v>
      </c>
      <c r="E46" s="56">
        <f>MAX(C46:D46)</f>
        <v>1.78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43.795000000000002</v>
      </c>
      <c r="D48" s="56">
        <f>D42</f>
        <v>0</v>
      </c>
      <c r="E48" s="56">
        <f>MAX(C48:D48)</f>
        <v>43.795000000000002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3.77</v>
      </c>
      <c r="D49" s="49">
        <f t="shared" si="9"/>
        <v>0.01</v>
      </c>
      <c r="E49" s="49">
        <f>MAX(C49:D49)</f>
        <v>3.77</v>
      </c>
      <c r="G49" s="1" t="str">
        <f>G43</f>
        <v>per 100 arrests</v>
      </c>
      <c r="L49" s="58">
        <f>IF(($E43&gt;0),L43,L42)</f>
        <v>100</v>
      </c>
      <c r="M49" s="58"/>
      <c r="N49" s="21"/>
      <c r="O49" s="21"/>
      <c r="P49" s="21"/>
      <c r="Q49" s="21"/>
      <c r="R49" s="21"/>
    </row>
    <row r="50" spans="2:18" ht="15" hidden="1" customHeight="1">
      <c r="B50" s="49" t="str">
        <f t="shared" si="9"/>
        <v>per 100 referrals</v>
      </c>
      <c r="C50" s="49">
        <f t="shared" si="9"/>
        <v>9.01</v>
      </c>
      <c r="D50" s="49">
        <f t="shared" si="9"/>
        <v>0</v>
      </c>
      <c r="E50" s="49">
        <f>MAX(C50:D50)</f>
        <v>9.01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4.7</v>
      </c>
      <c r="D51" s="49">
        <f>IF(($E45&gt;0),D45,D44)</f>
        <v>0</v>
      </c>
      <c r="E51" s="49">
        <f>MAX(C51:D51)</f>
        <v>4.7</v>
      </c>
      <c r="G51" s="1" t="str">
        <f>G45</f>
        <v>per 100 youth petitioned</v>
      </c>
      <c r="L51" s="58">
        <f>IF(($E45&gt;0),L45,L44)</f>
        <v>100</v>
      </c>
      <c r="M51" s="58"/>
    </row>
    <row r="52" spans="2:18" ht="15" hidden="1" customHeight="1">
      <c r="B52" s="49" t="str">
        <f>IF(($E46&gt;0),B46,B45)</f>
        <v>per 100 youth found delinquent</v>
      </c>
      <c r="C52" s="49">
        <f>IF(($E46&gt;0),C46,C45)</f>
        <v>1.78</v>
      </c>
      <c r="D52" s="49">
        <f>IF(($E46&gt;0),D46,D45)</f>
        <v>0</v>
      </c>
      <c r="E52" s="56">
        <f>MAX(C52:D52)</f>
        <v>1.78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43.795000000000002</v>
      </c>
      <c r="D54" s="56">
        <f>D48</f>
        <v>0</v>
      </c>
      <c r="E54" s="56">
        <f>MAX(C54:D54)</f>
        <v>43.795000000000002</v>
      </c>
      <c r="G54" s="1" t="str">
        <f>G48</f>
        <v>per 1000 youth</v>
      </c>
      <c r="L54" s="58">
        <f>L48</f>
        <v>1000</v>
      </c>
      <c r="M54" s="58"/>
    </row>
    <row r="55" spans="2:18" ht="15" hidden="1" customHeight="1">
      <c r="B55" s="49" t="str">
        <f t="shared" ref="B55:D56" si="10">IF(($E49&gt;0),B49,B48)</f>
        <v>per 100 arrests</v>
      </c>
      <c r="C55" s="49">
        <f t="shared" si="10"/>
        <v>3.77</v>
      </c>
      <c r="D55" s="49">
        <f t="shared" si="10"/>
        <v>0.01</v>
      </c>
      <c r="E55" s="49">
        <f>MAX(C55:D55)</f>
        <v>3.77</v>
      </c>
      <c r="G55" s="1" t="str">
        <f>G49</f>
        <v>per 100 arrests</v>
      </c>
      <c r="L55" s="58">
        <f>IF(($E49&gt;0),L49,L48)</f>
        <v>100</v>
      </c>
      <c r="M55" s="58"/>
    </row>
    <row r="56" spans="2:18" ht="15" hidden="1" customHeight="1">
      <c r="B56" s="49" t="str">
        <f t="shared" si="10"/>
        <v>per 100 referrals</v>
      </c>
      <c r="C56" s="49">
        <f t="shared" si="10"/>
        <v>9.01</v>
      </c>
      <c r="D56" s="49">
        <f t="shared" si="10"/>
        <v>0</v>
      </c>
      <c r="E56" s="49">
        <f>MAX(C56:D56)</f>
        <v>9.01</v>
      </c>
      <c r="G56" s="1" t="str">
        <f>G50</f>
        <v>per 100 referrals</v>
      </c>
      <c r="L56" s="58">
        <f>IF(($E50&gt;0),L50,L49)</f>
        <v>100</v>
      </c>
      <c r="M56" s="58"/>
    </row>
    <row r="57" spans="2:18" ht="15" hidden="1" customHeight="1">
      <c r="B57" s="49" t="str">
        <f>IF(($E51&gt;0),B51,B49)</f>
        <v>per 100 youth petitioned</v>
      </c>
      <c r="C57" s="49">
        <f>IF(($E51&gt;0),C51,C50)</f>
        <v>4.7</v>
      </c>
      <c r="D57" s="49">
        <f>IF(($E51&gt;0),D51,D50)</f>
        <v>0</v>
      </c>
      <c r="E57" s="49">
        <f>MAX(C57:D57)</f>
        <v>4.7</v>
      </c>
      <c r="G57" s="1" t="str">
        <f>G51</f>
        <v>per 100 youth petitioned</v>
      </c>
      <c r="L57" s="58">
        <f>IF(($E51&gt;0),L51,L50)</f>
        <v>100</v>
      </c>
      <c r="M57" s="58"/>
    </row>
    <row r="58" spans="2:18" ht="15" hidden="1" customHeight="1">
      <c r="B58" s="49" t="str">
        <f>IF(($E52&gt;0),B52,B51)</f>
        <v>per 100 youth found delinquent</v>
      </c>
      <c r="C58" s="49">
        <f>IF(($E52&gt;0),C52,C51)</f>
        <v>1.78</v>
      </c>
      <c r="D58" s="49">
        <f>IF(($E52&gt;0),D52,D51)</f>
        <v>0</v>
      </c>
      <c r="E58" s="56">
        <f>MAX(C58:D58)</f>
        <v>1.78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43.795000000000002</v>
      </c>
      <c r="D60" s="56">
        <f>D54</f>
        <v>0</v>
      </c>
      <c r="E60" s="56">
        <f>MAX(C60:D60)</f>
        <v>43.795000000000002</v>
      </c>
      <c r="G60" s="1" t="str">
        <f>G54</f>
        <v>per 1000 youth</v>
      </c>
      <c r="L60" s="58">
        <f>L54</f>
        <v>1000</v>
      </c>
      <c r="M60" s="58"/>
    </row>
    <row r="61" spans="2:18" ht="15" hidden="1" customHeight="1">
      <c r="B61" s="49" t="str">
        <f t="shared" ref="B61:D62" si="11">IF(($E55&gt;0),B55,B54)</f>
        <v>per 100 arrests</v>
      </c>
      <c r="C61" s="49">
        <f t="shared" si="11"/>
        <v>3.77</v>
      </c>
      <c r="D61" s="49">
        <f t="shared" si="11"/>
        <v>0.01</v>
      </c>
      <c r="E61" s="49">
        <f>MAX(C61:D61)</f>
        <v>3.77</v>
      </c>
      <c r="G61" s="1" t="str">
        <f>G55</f>
        <v>per 100 arrests</v>
      </c>
      <c r="L61" s="58">
        <f>IF(($E55&gt;0),L55,L54)</f>
        <v>100</v>
      </c>
      <c r="M61" s="58"/>
    </row>
    <row r="62" spans="2:18" ht="15" hidden="1" customHeight="1">
      <c r="B62" s="49" t="str">
        <f t="shared" si="11"/>
        <v>per 100 referrals</v>
      </c>
      <c r="C62" s="49">
        <f t="shared" si="11"/>
        <v>9.01</v>
      </c>
      <c r="D62" s="49">
        <f t="shared" si="11"/>
        <v>0</v>
      </c>
      <c r="E62" s="49">
        <f>MAX(C62:D62)</f>
        <v>9.01</v>
      </c>
      <c r="G62" s="1" t="str">
        <f>G56</f>
        <v>per 100 referrals</v>
      </c>
      <c r="L62" s="58">
        <f>IF(($E56&gt;0),L56,L55)</f>
        <v>100</v>
      </c>
      <c r="M62" s="58"/>
    </row>
    <row r="63" spans="2:18" ht="15" hidden="1" customHeight="1">
      <c r="B63" s="49" t="str">
        <f>IF(($E57&gt;0),B57,B55)</f>
        <v>per 100 youth petitioned</v>
      </c>
      <c r="C63" s="49">
        <f>IF(($E57&gt;0),C57,C56)</f>
        <v>4.7</v>
      </c>
      <c r="D63" s="49">
        <f>IF(($E57&gt;0),D57,D56)</f>
        <v>0</v>
      </c>
      <c r="E63" s="49">
        <f>MAX(C63:D63)</f>
        <v>4.7</v>
      </c>
      <c r="G63" s="1" t="str">
        <f>G57</f>
        <v>per 100 youth petitioned</v>
      </c>
      <c r="L63" s="58">
        <f>IF(($E57&gt;0),L57,L56)</f>
        <v>100</v>
      </c>
      <c r="M63" s="58"/>
    </row>
    <row r="64" spans="2:18" ht="15" hidden="1" customHeight="1">
      <c r="B64" s="49" t="str">
        <f>IF(($E58&gt;0),B58,B57)</f>
        <v>per 100 youth found delinquent</v>
      </c>
      <c r="C64" s="49">
        <f>IF(($E58&gt;0),C58,C57)</f>
        <v>1.78</v>
      </c>
      <c r="D64" s="49">
        <f>IF(($E58&gt;0),D58,D57)</f>
        <v>0</v>
      </c>
      <c r="E64" s="56">
        <f>MAX(C64:D64)</f>
        <v>1.78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43.795000000000002</v>
      </c>
      <c r="D66" s="56">
        <f>D60</f>
        <v>0</v>
      </c>
      <c r="E66" s="56">
        <f>MAX(C66:D66)</f>
        <v>43.795000000000002</v>
      </c>
      <c r="G66" s="1" t="str">
        <f>G60</f>
        <v>per 1000 youth</v>
      </c>
      <c r="L66" s="58">
        <f>L60</f>
        <v>1000</v>
      </c>
      <c r="M66" s="58">
        <f>IF((B66=G66),1,2)</f>
        <v>1</v>
      </c>
    </row>
    <row r="67" spans="2:13" ht="15" hidden="1" customHeight="1">
      <c r="B67" s="49" t="str">
        <f t="shared" ref="B67:D68" si="12">IF(($E61&gt;0),B61,B60)</f>
        <v>per 100 arrests</v>
      </c>
      <c r="C67" s="49">
        <f t="shared" si="12"/>
        <v>3.77</v>
      </c>
      <c r="D67" s="49">
        <f t="shared" si="12"/>
        <v>0.01</v>
      </c>
      <c r="E67" s="49">
        <f>MAX(C67:D67)</f>
        <v>3.77</v>
      </c>
      <c r="G67" s="1" t="str">
        <f>G61</f>
        <v>per 100 arrests</v>
      </c>
      <c r="L67" s="58">
        <f>IF(($E61&gt;0),L61,L60)</f>
        <v>100</v>
      </c>
      <c r="M67" s="58">
        <f>IF((B67=G67),1,2)</f>
        <v>1</v>
      </c>
    </row>
    <row r="68" spans="2:13" ht="15" hidden="1" customHeight="1">
      <c r="B68" s="49" t="str">
        <f t="shared" si="12"/>
        <v>per 100 referrals</v>
      </c>
      <c r="C68" s="49">
        <f t="shared" si="12"/>
        <v>9.01</v>
      </c>
      <c r="D68" s="49">
        <f t="shared" si="12"/>
        <v>0</v>
      </c>
      <c r="E68" s="49">
        <f>MAX(C68:D68)</f>
        <v>9.01</v>
      </c>
      <c r="G68" s="1" t="str">
        <f>G62</f>
        <v>per 100 referrals</v>
      </c>
      <c r="L68" s="58">
        <f>IF(($E62&gt;0),L62,L61)</f>
        <v>100</v>
      </c>
      <c r="M68" s="58">
        <f>IF((B68=G68),1,2)</f>
        <v>1</v>
      </c>
    </row>
    <row r="69" spans="2:13" ht="15" hidden="1" customHeight="1">
      <c r="B69" s="49" t="str">
        <f>IF(($E63&gt;0),B63,B61)</f>
        <v>per 100 youth petitioned</v>
      </c>
      <c r="C69" s="49">
        <f>IF(($E63&gt;0),C63,C62)</f>
        <v>4.7</v>
      </c>
      <c r="D69" s="49">
        <f>IF(($E63&gt;0),D63,D62)</f>
        <v>0</v>
      </c>
      <c r="E69" s="49">
        <f>MAX(C69:D69)</f>
        <v>4.7</v>
      </c>
      <c r="G69" s="1" t="str">
        <f>G63</f>
        <v>per 100 youth petitioned</v>
      </c>
      <c r="L69" s="58">
        <f>IF(($E63&gt;0),L63,L62)</f>
        <v>100</v>
      </c>
      <c r="M69" s="58">
        <f>IF((B69=G69),1,2)</f>
        <v>1</v>
      </c>
    </row>
    <row r="70" spans="2:13" ht="15" hidden="1" customHeight="1">
      <c r="B70" s="49" t="str">
        <f>IF(($E64&gt;0),B64,B63)</f>
        <v>per 100 youth found delinquent</v>
      </c>
      <c r="C70" s="49">
        <f>IF(($E64&gt;0),C64,C63)</f>
        <v>1.78</v>
      </c>
      <c r="D70" s="49">
        <f>IF(($E64&gt;0),D64,D63)</f>
        <v>0</v>
      </c>
      <c r="E70" s="56">
        <f>MAX(C70:D70)</f>
        <v>1.78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Kent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43795</v>
      </c>
      <c r="D6" s="34"/>
      <c r="E6" s="33">
        <f>'Data Entry'!H6</f>
        <v>307</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377</v>
      </c>
      <c r="D7" s="34">
        <f>IF((AND(C66&gt;0,C7&gt;0)),(C7/C66),0)</f>
        <v>8.6082886174220796</v>
      </c>
      <c r="E7" s="33">
        <f>'Data Entry'!H7</f>
        <v>2</v>
      </c>
      <c r="F7" s="34">
        <f>IF((AND($E$7&gt;0,$D$66&gt;0)),($E$7/$D$66),0)</f>
        <v>6.5146579804560263</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2</v>
      </c>
      <c r="O7" s="42">
        <f>E6-E7</f>
        <v>305</v>
      </c>
      <c r="P7" s="42">
        <f t="shared" ref="P7:P15" si="4">C7</f>
        <v>377</v>
      </c>
      <c r="Q7" s="42">
        <f>C6-C7</f>
        <v>43418</v>
      </c>
      <c r="R7" s="42">
        <f t="shared" ref="R7:R15" si="5">SUM(N7:Q7)</f>
        <v>44102</v>
      </c>
      <c r="S7" s="30">
        <f t="shared" ref="S7:S15" si="6">R7*((((N7*Q7)-(O7*P7))^2))</f>
        <v>34944934196502</v>
      </c>
      <c r="T7" s="30">
        <f t="shared" ref="T7:T15" si="7">(N7+O7)*(P7+Q7)*(N7+P7)*(O7+Q7)</f>
        <v>222798400681105</v>
      </c>
      <c r="U7" s="31">
        <f t="shared" ref="U7:U15" si="8">IF((S7&gt;0),S7/T7,"- -")</f>
        <v>0.15684553430219303</v>
      </c>
    </row>
    <row r="8" spans="2:21" ht="18" customHeight="1">
      <c r="B8" s="32" t="str">
        <f>'Data Entry'!A8</f>
        <v>3. Refer to Juvenile Court</v>
      </c>
      <c r="C8" s="33">
        <f>'Data Entry'!C8</f>
        <v>901</v>
      </c>
      <c r="D8" s="34">
        <f>IF((AND(C67&gt;0,C8&gt;0)),(C8/C67),0)</f>
        <v>238.9920424403183</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2.0499999999999998</v>
      </c>
      <c r="P8" s="42">
        <f t="shared" si="4"/>
        <v>901</v>
      </c>
      <c r="Q8" s="42">
        <f>(C$67*L67)-C8</f>
        <v>-524</v>
      </c>
      <c r="R8" s="42">
        <f t="shared" si="5"/>
        <v>379.04999999999995</v>
      </c>
      <c r="S8" s="30">
        <f t="shared" si="6"/>
        <v>1293164592.9326246</v>
      </c>
      <c r="T8" s="30">
        <f t="shared" si="7"/>
        <v>-363453540.80749995</v>
      </c>
      <c r="U8" s="31">
        <f t="shared" si="8"/>
        <v>-3.5579914562382489</v>
      </c>
    </row>
    <row r="9" spans="2:21" ht="18" customHeight="1">
      <c r="B9" s="32" t="str">
        <f>'Data Entry'!A9</f>
        <v xml:space="preserve">4. Cases Diverted </v>
      </c>
      <c r="C9" s="33">
        <f>'Data Entry'!C9</f>
        <v>352</v>
      </c>
      <c r="D9" s="34">
        <f>IF((AND(C68&gt;0,C9&gt;0)),((C9/C68)),0)</f>
        <v>39.067702552719204</v>
      </c>
      <c r="E9" s="33">
        <f>'Data Entry'!H9</f>
        <v>2</v>
      </c>
      <c r="F9" s="34">
        <f>IF((AND($E$9&gt;0,$D$68&gt;0)),(($E$9/$D$68)),0)</f>
        <v>0</v>
      </c>
      <c r="G9" s="39" t="str">
        <f t="shared" si="0"/>
        <v>*</v>
      </c>
      <c r="H9" s="40"/>
      <c r="I9" s="41"/>
      <c r="J9" s="40" t="e">
        <f>IF((ABS($U9)&gt;Defaults!D$7),1,2)</f>
        <v>#DIV/0!</v>
      </c>
      <c r="K9" s="39">
        <f>IF((AND(N9&gt;Defaults!B$12,(N9+O9)&gt;Defaults!B$13, P9 &gt; Defaults!B$12, (P9+Q9) &gt; Defaults!B$13)),1,20)</f>
        <v>20</v>
      </c>
      <c r="L9" s="1" t="e">
        <f t="shared" si="1"/>
        <v>#DIV/0!</v>
      </c>
      <c r="M9" s="1" t="b">
        <f t="shared" si="2"/>
        <v>0</v>
      </c>
      <c r="N9" s="42">
        <f t="shared" si="3"/>
        <v>2</v>
      </c>
      <c r="O9" s="42">
        <f>(D$68*L68)-E9</f>
        <v>-2</v>
      </c>
      <c r="P9" s="42">
        <f t="shared" si="4"/>
        <v>352</v>
      </c>
      <c r="Q9" s="42">
        <f>(C$68*L68)-C9</f>
        <v>549</v>
      </c>
      <c r="R9" s="42">
        <f t="shared" si="5"/>
        <v>901</v>
      </c>
      <c r="S9" s="30">
        <f t="shared" si="6"/>
        <v>2925730804</v>
      </c>
      <c r="T9" s="30">
        <f t="shared" si="7"/>
        <v>0</v>
      </c>
      <c r="U9" s="31" t="e">
        <f t="shared" si="8"/>
        <v>#DIV/0!</v>
      </c>
    </row>
    <row r="10" spans="2:21" ht="18" customHeight="1">
      <c r="B10" s="32" t="str">
        <f>'Data Entry'!A10</f>
        <v>5. Cases Involving Secure Detention</v>
      </c>
      <c r="C10" s="33">
        <f>'Data Entry'!C10</f>
        <v>182</v>
      </c>
      <c r="D10" s="34">
        <f>IF(((AND(C68&gt;0,C10&gt;0))),(C10/(C68)),0)</f>
        <v>20.199778024417313</v>
      </c>
      <c r="E10" s="33">
        <f>'Data Entry'!H10</f>
        <v>1</v>
      </c>
      <c r="F10" s="34">
        <f>IF(((AND($E$10&gt;0,$D$68&gt;0))),($E$10/($D$68)),0)</f>
        <v>0</v>
      </c>
      <c r="G10" s="39" t="str">
        <f t="shared" si="0"/>
        <v>*</v>
      </c>
      <c r="H10" s="40"/>
      <c r="I10" s="41"/>
      <c r="J10" s="40" t="e">
        <f>IF((ABS($U10)&gt;Defaults!D$7),1,2)</f>
        <v>#DIV/0!</v>
      </c>
      <c r="K10" s="39">
        <f>IF((AND(N10&gt;Defaults!B$12,(N10+O10)&gt;Defaults!B$13, P10 &gt; Defaults!B$12, (P10+Q10) &gt; Defaults!B$13)),1,20)</f>
        <v>20</v>
      </c>
      <c r="L10" s="1" t="e">
        <f t="shared" si="1"/>
        <v>#DIV/0!</v>
      </c>
      <c r="M10" s="1" t="b">
        <f t="shared" si="2"/>
        <v>0</v>
      </c>
      <c r="N10" s="42">
        <f t="shared" si="3"/>
        <v>1</v>
      </c>
      <c r="O10" s="42">
        <f>(D$68*L68)-E10</f>
        <v>-1</v>
      </c>
      <c r="P10" s="42">
        <f t="shared" si="4"/>
        <v>182</v>
      </c>
      <c r="Q10" s="42">
        <f>(C$68*L68)-C10</f>
        <v>719</v>
      </c>
      <c r="R10" s="42">
        <f t="shared" si="5"/>
        <v>901</v>
      </c>
      <c r="S10" s="30">
        <f t="shared" si="6"/>
        <v>731432701</v>
      </c>
      <c r="T10" s="30">
        <f t="shared" si="7"/>
        <v>0</v>
      </c>
      <c r="U10" s="31" t="e">
        <f t="shared" si="8"/>
        <v>#DIV/0!</v>
      </c>
    </row>
    <row r="11" spans="2:21" ht="18" customHeight="1">
      <c r="B11" s="32" t="str">
        <f>'Data Entry'!A11</f>
        <v>6. Cases Petitioned (Charge Filed)</v>
      </c>
      <c r="C11" s="33">
        <f>'Data Entry'!C11</f>
        <v>470</v>
      </c>
      <c r="D11" s="34">
        <f>IF(((AND(C68&gt;0,C11&gt;0))),(C11/(C68)),0)</f>
        <v>52.164261931187568</v>
      </c>
      <c r="E11" s="33">
        <f>'Data Entry'!H11</f>
        <v>5</v>
      </c>
      <c r="F11" s="34">
        <f>IF(((AND($E$11&gt;0,$D$68&gt;0))),($E$11/($D$68)),0)</f>
        <v>0</v>
      </c>
      <c r="G11" s="39" t="str">
        <f t="shared" si="0"/>
        <v>*</v>
      </c>
      <c r="H11" s="40"/>
      <c r="I11" s="41"/>
      <c r="J11" s="40" t="e">
        <f>IF((ABS($U11)&gt;Defaults!D$7),1,2)</f>
        <v>#DIV/0!</v>
      </c>
      <c r="K11" s="39">
        <f>IF((AND(N11&gt;Defaults!B$12,(N11+O11)&gt;Defaults!B$13, P11 &gt; Defaults!B$12, (P11+Q11) &gt; Defaults!B$13)),1,20)</f>
        <v>20</v>
      </c>
      <c r="L11" s="1" t="e">
        <f t="shared" si="1"/>
        <v>#DIV/0!</v>
      </c>
      <c r="M11" s="1" t="b">
        <f t="shared" si="2"/>
        <v>0</v>
      </c>
      <c r="N11" s="42">
        <f t="shared" si="3"/>
        <v>5</v>
      </c>
      <c r="O11" s="42">
        <f>(D$68*L68)-E11</f>
        <v>-5</v>
      </c>
      <c r="P11" s="42">
        <f t="shared" si="4"/>
        <v>470</v>
      </c>
      <c r="Q11" s="42">
        <f>(C$68*L68)-C11</f>
        <v>431</v>
      </c>
      <c r="R11" s="42">
        <f t="shared" si="5"/>
        <v>901</v>
      </c>
      <c r="S11" s="30">
        <f t="shared" si="6"/>
        <v>18285817525</v>
      </c>
      <c r="T11" s="30">
        <f t="shared" si="7"/>
        <v>0</v>
      </c>
      <c r="U11" s="31" t="e">
        <f t="shared" si="8"/>
        <v>#DIV/0!</v>
      </c>
    </row>
    <row r="12" spans="2:21" ht="18" customHeight="1">
      <c r="B12" s="32" t="str">
        <f>'Data Entry'!A12</f>
        <v>7. Cases Resulting in Delinquent Findings</v>
      </c>
      <c r="C12" s="33">
        <f>'Data Entry'!C12</f>
        <v>178</v>
      </c>
      <c r="D12" s="34">
        <f>IF(((AND(C69&gt;0,C12&gt;0))),(C12/(C69)),0)</f>
        <v>37.872340425531917</v>
      </c>
      <c r="E12" s="33">
        <f>'Data Entry'!H12</f>
        <v>2</v>
      </c>
      <c r="F12" s="34">
        <f>IF(((AND($D$69&gt;0,$E$12&gt;0))),(E12/(D69)),0)</f>
        <v>40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2</v>
      </c>
      <c r="O12" s="42">
        <f>(D69*L69)-E12</f>
        <v>3</v>
      </c>
      <c r="P12" s="42">
        <f t="shared" si="4"/>
        <v>178</v>
      </c>
      <c r="Q12" s="42">
        <f>(C69*L69)-C12</f>
        <v>292</v>
      </c>
      <c r="R12" s="42">
        <f t="shared" si="5"/>
        <v>475</v>
      </c>
      <c r="S12" s="30">
        <f t="shared" si="6"/>
        <v>1187500</v>
      </c>
      <c r="T12" s="30">
        <f t="shared" si="7"/>
        <v>124785000</v>
      </c>
      <c r="U12" s="31">
        <f t="shared" si="8"/>
        <v>9.516368153223544E-3</v>
      </c>
    </row>
    <row r="13" spans="2:21" ht="18" customHeight="1">
      <c r="B13" s="32" t="str">
        <f>'Data Entry'!A13</f>
        <v>8. Cases Resulting in Probation Placement</v>
      </c>
      <c r="C13" s="33">
        <f>'Data Entry'!C13</f>
        <v>157</v>
      </c>
      <c r="D13" s="34">
        <f>IF(((AND(C70&gt;0,C13&gt;0))),(C13/(C70)),0)</f>
        <v>88.202247191011239</v>
      </c>
      <c r="E13" s="33">
        <f>'Data Entry'!H13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2</v>
      </c>
      <c r="O13" s="42">
        <f>(D70*L70)-E13</f>
        <v>0</v>
      </c>
      <c r="P13" s="42">
        <f t="shared" si="4"/>
        <v>157</v>
      </c>
      <c r="Q13" s="42">
        <f>(C70*L70)-C13</f>
        <v>21</v>
      </c>
      <c r="R13" s="42">
        <f t="shared" si="5"/>
        <v>180</v>
      </c>
      <c r="S13" s="30">
        <f t="shared" si="6"/>
        <v>317520</v>
      </c>
      <c r="T13" s="30">
        <f t="shared" si="7"/>
        <v>1188684</v>
      </c>
      <c r="U13" s="31">
        <f t="shared" si="8"/>
        <v>0.26711893152427391</v>
      </c>
    </row>
    <row r="14" spans="2:21" ht="30.75" customHeight="1">
      <c r="B14" s="32" t="str">
        <f>'Data Entry'!A14</f>
        <v xml:space="preserve">9. Cases Resulting in Confinement in Secure Juvenile Correctional Facilities </v>
      </c>
      <c r="C14" s="33">
        <f>'Data Entry'!C14</f>
        <v>11</v>
      </c>
      <c r="D14" s="34">
        <f>IF(((AND(C70&gt;0,C14&gt;0))), ((C14/(C70))),0)</f>
        <v>6.179775280898876</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2</v>
      </c>
      <c r="P14" s="42">
        <f t="shared" si="4"/>
        <v>11</v>
      </c>
      <c r="Q14" s="42">
        <f>(C70*L70)-C14</f>
        <v>167</v>
      </c>
      <c r="R14" s="42">
        <f t="shared" si="5"/>
        <v>180</v>
      </c>
      <c r="S14" s="30">
        <f t="shared" si="6"/>
        <v>87120</v>
      </c>
      <c r="T14" s="30">
        <f t="shared" si="7"/>
        <v>661804</v>
      </c>
      <c r="U14" s="31">
        <f t="shared" si="8"/>
        <v>0.13164018349843759</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470</v>
      </c>
      <c r="R15" s="42">
        <f t="shared" si="5"/>
        <v>475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43.795000000000002</v>
      </c>
      <c r="D42" s="56">
        <f>E6/1000</f>
        <v>0.307</v>
      </c>
      <c r="E42" s="56">
        <f>MAX(C42:D42)</f>
        <v>43.795000000000002</v>
      </c>
      <c r="G42" s="1" t="str">
        <f>B42</f>
        <v>per 1000 youth</v>
      </c>
      <c r="L42" s="57">
        <v>1000</v>
      </c>
      <c r="M42" s="57"/>
      <c r="R42" s="49"/>
    </row>
    <row r="43" spans="2:18" ht="15" hidden="1" customHeight="1">
      <c r="B43" s="49" t="s">
        <v>87</v>
      </c>
      <c r="C43" s="56">
        <f>C7/100</f>
        <v>3.77</v>
      </c>
      <c r="D43" s="56">
        <f>E7/100</f>
        <v>0.02</v>
      </c>
      <c r="E43" s="56">
        <f>MAX(C43:D43,0)</f>
        <v>3.77</v>
      </c>
      <c r="G43" s="1" t="str">
        <f>B43</f>
        <v>per 100 arrests</v>
      </c>
      <c r="L43" s="57">
        <v>100</v>
      </c>
      <c r="M43" s="57"/>
      <c r="R43" s="49"/>
    </row>
    <row r="44" spans="2:18" ht="15" hidden="1" customHeight="1">
      <c r="B44" s="49" t="s">
        <v>88</v>
      </c>
      <c r="C44" s="56">
        <f>C8/100</f>
        <v>9.01</v>
      </c>
      <c r="D44" s="56">
        <f>E8/100</f>
        <v>0</v>
      </c>
      <c r="E44" s="56">
        <f>MAX(C44:D44,0)</f>
        <v>9.01</v>
      </c>
      <c r="G44" s="1" t="str">
        <f>B44</f>
        <v>per 100 referrals</v>
      </c>
      <c r="L44" s="57">
        <v>100</v>
      </c>
      <c r="M44" s="57"/>
      <c r="R44" s="49"/>
    </row>
    <row r="45" spans="2:18" ht="15" hidden="1" customHeight="1">
      <c r="B45" s="49" t="s">
        <v>89</v>
      </c>
      <c r="C45" s="49">
        <f>C11/100</f>
        <v>4.7</v>
      </c>
      <c r="D45" s="49">
        <f>E11/100</f>
        <v>0.05</v>
      </c>
      <c r="E45" s="56">
        <f>MAX(C45:D45,0)</f>
        <v>4.7</v>
      </c>
      <c r="G45" s="1" t="str">
        <f>B45</f>
        <v>per 100 youth petitioned</v>
      </c>
      <c r="L45" s="57">
        <v>100</v>
      </c>
      <c r="M45" s="57"/>
      <c r="R45" s="49"/>
    </row>
    <row r="46" spans="2:18" ht="15" hidden="1" customHeight="1">
      <c r="B46" s="49" t="s">
        <v>90</v>
      </c>
      <c r="C46" s="49">
        <f>C12/100</f>
        <v>1.78</v>
      </c>
      <c r="D46" s="49">
        <f>E12/100</f>
        <v>0.02</v>
      </c>
      <c r="E46" s="56">
        <f>MAX(C46:D46)</f>
        <v>1.78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43.795000000000002</v>
      </c>
      <c r="D48" s="56">
        <f>D42</f>
        <v>0.307</v>
      </c>
      <c r="E48" s="56">
        <f>MAX(C48:D48)</f>
        <v>43.795000000000002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3.77</v>
      </c>
      <c r="D49" s="49">
        <f t="shared" si="9"/>
        <v>0.02</v>
      </c>
      <c r="E49" s="49">
        <f>MAX(C49:D49)</f>
        <v>3.77</v>
      </c>
      <c r="G49" s="1" t="str">
        <f>G43</f>
        <v>per 100 arrests</v>
      </c>
      <c r="L49" s="58">
        <f>IF(($E43&gt;0),L43,L42)</f>
        <v>100</v>
      </c>
      <c r="M49" s="58"/>
      <c r="N49" s="21"/>
      <c r="O49" s="21"/>
      <c r="P49" s="21"/>
      <c r="Q49" s="21"/>
      <c r="R49" s="21"/>
    </row>
    <row r="50" spans="2:18" ht="15" hidden="1" customHeight="1">
      <c r="B50" s="49" t="str">
        <f t="shared" si="9"/>
        <v>per 100 referrals</v>
      </c>
      <c r="C50" s="49">
        <f t="shared" si="9"/>
        <v>9.01</v>
      </c>
      <c r="D50" s="49">
        <f t="shared" si="9"/>
        <v>0</v>
      </c>
      <c r="E50" s="49">
        <f>MAX(C50:D50)</f>
        <v>9.01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4.7</v>
      </c>
      <c r="D51" s="49">
        <f>IF(($E45&gt;0),D45,D44)</f>
        <v>0.05</v>
      </c>
      <c r="E51" s="49">
        <f>MAX(C51:D51)</f>
        <v>4.7</v>
      </c>
      <c r="G51" s="1" t="str">
        <f>G45</f>
        <v>per 100 youth petitioned</v>
      </c>
      <c r="L51" s="58">
        <f>IF(($E45&gt;0),L45,L44)</f>
        <v>100</v>
      </c>
      <c r="M51" s="58"/>
    </row>
    <row r="52" spans="2:18" ht="15" hidden="1" customHeight="1">
      <c r="B52" s="49" t="str">
        <f>IF(($E46&gt;0),B46,B45)</f>
        <v>per 100 youth found delinquent</v>
      </c>
      <c r="C52" s="49">
        <f>IF(($E46&gt;0),C46,C45)</f>
        <v>1.78</v>
      </c>
      <c r="D52" s="49">
        <f>IF(($E46&gt;0),D46,D45)</f>
        <v>0.02</v>
      </c>
      <c r="E52" s="56">
        <f>MAX(C52:D52)</f>
        <v>1.78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43.795000000000002</v>
      </c>
      <c r="D54" s="56">
        <f>D48</f>
        <v>0.307</v>
      </c>
      <c r="E54" s="56">
        <f>MAX(C54:D54)</f>
        <v>43.795000000000002</v>
      </c>
      <c r="G54" s="1" t="str">
        <f>G48</f>
        <v>per 1000 youth</v>
      </c>
      <c r="L54" s="58">
        <f>L48</f>
        <v>1000</v>
      </c>
      <c r="M54" s="58"/>
    </row>
    <row r="55" spans="2:18" ht="15" hidden="1" customHeight="1">
      <c r="B55" s="49" t="str">
        <f t="shared" ref="B55:D56" si="10">IF(($E49&gt;0),B49,B48)</f>
        <v>per 100 arrests</v>
      </c>
      <c r="C55" s="49">
        <f t="shared" si="10"/>
        <v>3.77</v>
      </c>
      <c r="D55" s="49">
        <f t="shared" si="10"/>
        <v>0.02</v>
      </c>
      <c r="E55" s="49">
        <f>MAX(C55:D55)</f>
        <v>3.77</v>
      </c>
      <c r="G55" s="1" t="str">
        <f>G49</f>
        <v>per 100 arrests</v>
      </c>
      <c r="L55" s="58">
        <f>IF(($E49&gt;0),L49,L48)</f>
        <v>100</v>
      </c>
      <c r="M55" s="58"/>
    </row>
    <row r="56" spans="2:18" ht="15" hidden="1" customHeight="1">
      <c r="B56" s="49" t="str">
        <f t="shared" si="10"/>
        <v>per 100 referrals</v>
      </c>
      <c r="C56" s="49">
        <f t="shared" si="10"/>
        <v>9.01</v>
      </c>
      <c r="D56" s="49">
        <f t="shared" si="10"/>
        <v>0</v>
      </c>
      <c r="E56" s="49">
        <f>MAX(C56:D56)</f>
        <v>9.01</v>
      </c>
      <c r="G56" s="1" t="str">
        <f>G50</f>
        <v>per 100 referrals</v>
      </c>
      <c r="L56" s="58">
        <f>IF(($E50&gt;0),L50,L49)</f>
        <v>100</v>
      </c>
      <c r="M56" s="58"/>
    </row>
    <row r="57" spans="2:18" ht="15" hidden="1" customHeight="1">
      <c r="B57" s="49" t="str">
        <f>IF(($E51&gt;0),B51,B49)</f>
        <v>per 100 youth petitioned</v>
      </c>
      <c r="C57" s="49">
        <f>IF(($E51&gt;0),C51,C50)</f>
        <v>4.7</v>
      </c>
      <c r="D57" s="49">
        <f>IF(($E51&gt;0),D51,D50)</f>
        <v>0.05</v>
      </c>
      <c r="E57" s="49">
        <f>MAX(C57:D57)</f>
        <v>4.7</v>
      </c>
      <c r="G57" s="1" t="str">
        <f>G51</f>
        <v>per 100 youth petitioned</v>
      </c>
      <c r="L57" s="58">
        <f>IF(($E51&gt;0),L51,L50)</f>
        <v>100</v>
      </c>
      <c r="M57" s="58"/>
    </row>
    <row r="58" spans="2:18" ht="15" hidden="1" customHeight="1">
      <c r="B58" s="49" t="str">
        <f>IF(($E52&gt;0),B52,B51)</f>
        <v>per 100 youth found delinquent</v>
      </c>
      <c r="C58" s="49">
        <f>IF(($E52&gt;0),C52,C51)</f>
        <v>1.78</v>
      </c>
      <c r="D58" s="49">
        <f>IF(($E52&gt;0),D52,D51)</f>
        <v>0.02</v>
      </c>
      <c r="E58" s="56">
        <f>MAX(C58:D58)</f>
        <v>1.78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43.795000000000002</v>
      </c>
      <c r="D60" s="56">
        <f>D54</f>
        <v>0.307</v>
      </c>
      <c r="E60" s="56">
        <f>MAX(C60:D60)</f>
        <v>43.795000000000002</v>
      </c>
      <c r="G60" s="1" t="str">
        <f>G54</f>
        <v>per 1000 youth</v>
      </c>
      <c r="L60" s="58">
        <f>L54</f>
        <v>1000</v>
      </c>
      <c r="M60" s="58"/>
    </row>
    <row r="61" spans="2:18" ht="15" hidden="1" customHeight="1">
      <c r="B61" s="49" t="str">
        <f t="shared" ref="B61:D62" si="11">IF(($E55&gt;0),B55,B54)</f>
        <v>per 100 arrests</v>
      </c>
      <c r="C61" s="49">
        <f t="shared" si="11"/>
        <v>3.77</v>
      </c>
      <c r="D61" s="49">
        <f t="shared" si="11"/>
        <v>0.02</v>
      </c>
      <c r="E61" s="49">
        <f>MAX(C61:D61)</f>
        <v>3.77</v>
      </c>
      <c r="G61" s="1" t="str">
        <f>G55</f>
        <v>per 100 arrests</v>
      </c>
      <c r="L61" s="58">
        <f>IF(($E55&gt;0),L55,L54)</f>
        <v>100</v>
      </c>
      <c r="M61" s="58"/>
    </row>
    <row r="62" spans="2:18" ht="15" hidden="1" customHeight="1">
      <c r="B62" s="49" t="str">
        <f t="shared" si="11"/>
        <v>per 100 referrals</v>
      </c>
      <c r="C62" s="49">
        <f t="shared" si="11"/>
        <v>9.01</v>
      </c>
      <c r="D62" s="49">
        <f t="shared" si="11"/>
        <v>0</v>
      </c>
      <c r="E62" s="49">
        <f>MAX(C62:D62)</f>
        <v>9.01</v>
      </c>
      <c r="G62" s="1" t="str">
        <f>G56</f>
        <v>per 100 referrals</v>
      </c>
      <c r="L62" s="58">
        <f>IF(($E56&gt;0),L56,L55)</f>
        <v>100</v>
      </c>
      <c r="M62" s="58"/>
    </row>
    <row r="63" spans="2:18" ht="15" hidden="1" customHeight="1">
      <c r="B63" s="49" t="str">
        <f>IF(($E57&gt;0),B57,B55)</f>
        <v>per 100 youth petitioned</v>
      </c>
      <c r="C63" s="49">
        <f>IF(($E57&gt;0),C57,C56)</f>
        <v>4.7</v>
      </c>
      <c r="D63" s="49">
        <f>IF(($E57&gt;0),D57,D56)</f>
        <v>0.05</v>
      </c>
      <c r="E63" s="49">
        <f>MAX(C63:D63)</f>
        <v>4.7</v>
      </c>
      <c r="G63" s="1" t="str">
        <f>G57</f>
        <v>per 100 youth petitioned</v>
      </c>
      <c r="L63" s="58">
        <f>IF(($E57&gt;0),L57,L56)</f>
        <v>100</v>
      </c>
      <c r="M63" s="58"/>
    </row>
    <row r="64" spans="2:18" ht="15" hidden="1" customHeight="1">
      <c r="B64" s="49" t="str">
        <f>IF(($E58&gt;0),B58,B57)</f>
        <v>per 100 youth found delinquent</v>
      </c>
      <c r="C64" s="49">
        <f>IF(($E58&gt;0),C58,C57)</f>
        <v>1.78</v>
      </c>
      <c r="D64" s="49">
        <f>IF(($E58&gt;0),D58,D57)</f>
        <v>0.02</v>
      </c>
      <c r="E64" s="56">
        <f>MAX(C64:D64)</f>
        <v>1.78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43.795000000000002</v>
      </c>
      <c r="D66" s="56">
        <f>D60</f>
        <v>0.307</v>
      </c>
      <c r="E66" s="56">
        <f>MAX(C66:D66)</f>
        <v>43.795000000000002</v>
      </c>
      <c r="G66" s="1" t="str">
        <f>G60</f>
        <v>per 1000 youth</v>
      </c>
      <c r="L66" s="58">
        <f>L60</f>
        <v>1000</v>
      </c>
      <c r="M66" s="58">
        <f>IF((B66=G66),1,2)</f>
        <v>1</v>
      </c>
    </row>
    <row r="67" spans="2:13" ht="15" hidden="1" customHeight="1">
      <c r="B67" s="49" t="str">
        <f t="shared" ref="B67:D68" si="12">IF(($E61&gt;0),B61,B60)</f>
        <v>per 100 arrests</v>
      </c>
      <c r="C67" s="49">
        <f t="shared" si="12"/>
        <v>3.77</v>
      </c>
      <c r="D67" s="49">
        <f t="shared" si="12"/>
        <v>0.02</v>
      </c>
      <c r="E67" s="49">
        <f>MAX(C67:D67)</f>
        <v>3.77</v>
      </c>
      <c r="G67" s="1" t="str">
        <f>G61</f>
        <v>per 100 arrests</v>
      </c>
      <c r="L67" s="58">
        <f>IF(($E61&gt;0),L61,L60)</f>
        <v>100</v>
      </c>
      <c r="M67" s="58">
        <f>IF((B67=G67),1,2)</f>
        <v>1</v>
      </c>
    </row>
    <row r="68" spans="2:13" ht="15" hidden="1" customHeight="1">
      <c r="B68" s="49" t="str">
        <f t="shared" si="12"/>
        <v>per 100 referrals</v>
      </c>
      <c r="C68" s="49">
        <f t="shared" si="12"/>
        <v>9.01</v>
      </c>
      <c r="D68" s="49">
        <f t="shared" si="12"/>
        <v>0</v>
      </c>
      <c r="E68" s="49">
        <f>MAX(C68:D68)</f>
        <v>9.01</v>
      </c>
      <c r="G68" s="1" t="str">
        <f>G62</f>
        <v>per 100 referrals</v>
      </c>
      <c r="L68" s="58">
        <f>IF(($E62&gt;0),L62,L61)</f>
        <v>100</v>
      </c>
      <c r="M68" s="58">
        <f>IF((B68=G68),1,2)</f>
        <v>1</v>
      </c>
    </row>
    <row r="69" spans="2:13" ht="15" hidden="1" customHeight="1">
      <c r="B69" s="49" t="str">
        <f>IF(($E63&gt;0),B63,B61)</f>
        <v>per 100 youth petitioned</v>
      </c>
      <c r="C69" s="49">
        <f>IF(($E63&gt;0),C63,C62)</f>
        <v>4.7</v>
      </c>
      <c r="D69" s="49">
        <f>IF(($E63&gt;0),D63,D62)</f>
        <v>0.05</v>
      </c>
      <c r="E69" s="49">
        <f>MAX(C69:D69)</f>
        <v>4.7</v>
      </c>
      <c r="G69" s="1" t="str">
        <f>G63</f>
        <v>per 100 youth petitioned</v>
      </c>
      <c r="L69" s="58">
        <f>IF(($E63&gt;0),L63,L62)</f>
        <v>100</v>
      </c>
      <c r="M69" s="58">
        <f>IF((B69=G69),1,2)</f>
        <v>1</v>
      </c>
    </row>
    <row r="70" spans="2:13" ht="15" hidden="1" customHeight="1">
      <c r="B70" s="49" t="str">
        <f>IF(($E64&gt;0),B64,B63)</f>
        <v>per 100 youth found delinquent</v>
      </c>
      <c r="C70" s="49">
        <f>IF(($E64&gt;0),C64,C63)</f>
        <v>1.78</v>
      </c>
      <c r="D70" s="49">
        <f>IF(($E64&gt;0),D64,D63)</f>
        <v>0.02</v>
      </c>
      <c r="E70" s="56">
        <f>MAX(C70:D70)</f>
        <v>1.78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U47JMPN4QEAR-1806752177-35359</_dlc_DocId>
    <_dlc_DocIdUrl xmlns="ac3811b5-0f3e-49e2-ba69-f2ffa0c782af">
      <Url>https://michiganphi.sharepoint.com/sites/CMDMC/_layouts/15/DocIdRedir.aspx?ID=U47JMPN4QEAR-1806752177-35359</Url>
      <Description>U47JMPN4QEAR-1806752177-35359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E23C715-E0B3-4CD5-A7CC-7B9F195648B0}">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B2260FD7-1E17-4127-9F40-0D8D895C3EE8}">
  <ds:schemaRefs>
    <ds:schemaRef ds:uri="http://schemas.microsoft.com/sharepoint/v3/contenttype/forms"/>
  </ds:schemaRefs>
</ds:datastoreItem>
</file>

<file path=customXml/itemProps3.xml><?xml version="1.0" encoding="utf-8"?>
<ds:datastoreItem xmlns:ds="http://schemas.openxmlformats.org/officeDocument/2006/customXml" ds:itemID="{192DD38F-4712-403C-8DA7-30177F3EECF1}"/>
</file>

<file path=customXml/itemProps4.xml><?xml version="1.0" encoding="utf-8"?>
<ds:datastoreItem xmlns:ds="http://schemas.openxmlformats.org/officeDocument/2006/customXml" ds:itemID="{BA3D83AC-EB55-417F-992B-D7081AF886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52c66556-9e71-4c84-b752-a61bb67abdaa</vt:lpwstr>
  </property>
</Properties>
</file>