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49" documentId="8_{7955E2E4-FDA0-4B66-8F1A-066D6E3B6201}" xr6:coauthVersionLast="47" xr6:coauthVersionMax="47" xr10:uidLastSave="{2A326C92-7499-4BA3-BCBF-62CE79513F9A}"/>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15" i="1"/>
  <c r="B8" i="1" l="1"/>
  <c r="B9" i="1"/>
  <c r="B10" i="1"/>
  <c r="B11" i="1"/>
  <c r="B12" i="1"/>
  <c r="B13" i="1"/>
  <c r="B14"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c r="G58" i="2" s="1"/>
  <c r="G64" i="2" s="1"/>
  <c r="G70" i="2" s="1"/>
  <c r="L48" i="2"/>
  <c r="L54" i="2" s="1"/>
  <c r="L60" i="2" s="1"/>
  <c r="L66" i="2" s="1"/>
  <c r="G49" i="2"/>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51" i="3" s="1"/>
  <c r="G57" i="3" s="1"/>
  <c r="G63" i="3" s="1"/>
  <c r="G69" i="3" s="1"/>
  <c r="G46" i="3"/>
  <c r="G48" i="3"/>
  <c r="G54" i="3" s="1"/>
  <c r="G60" i="3" s="1"/>
  <c r="G66" i="3" s="1"/>
  <c r="L48" i="3"/>
  <c r="G52" i="3"/>
  <c r="G58" i="3" s="1"/>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c r="G55" i="4" s="1"/>
  <c r="G61" i="4" s="1"/>
  <c r="G67" i="4" s="1"/>
  <c r="G44" i="4"/>
  <c r="G45" i="4"/>
  <c r="G51" i="4"/>
  <c r="G46" i="4"/>
  <c r="L48" i="4"/>
  <c r="L54" i="4" s="1"/>
  <c r="L60" i="4" s="1"/>
  <c r="L66" i="4" s="1"/>
  <c r="G50" i="4"/>
  <c r="G56" i="4" s="1"/>
  <c r="G62" i="4" s="1"/>
  <c r="G68" i="4" s="1"/>
  <c r="G52" i="4"/>
  <c r="G58" i="4"/>
  <c r="G64" i="4" s="1"/>
  <c r="G70" i="4" s="1"/>
  <c r="G57" i="4"/>
  <c r="G63" i="4" s="1"/>
  <c r="G69"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51" i="5" s="1"/>
  <c r="G57" i="5" s="1"/>
  <c r="G63" i="5" s="1"/>
  <c r="G69" i="5" s="1"/>
  <c r="G46" i="5"/>
  <c r="G52" i="5" s="1"/>
  <c r="G58" i="5" s="1"/>
  <c r="G64" i="5" s="1"/>
  <c r="G70" i="5" s="1"/>
  <c r="G48" i="5"/>
  <c r="G54" i="5" s="1"/>
  <c r="G60" i="5" s="1"/>
  <c r="G66" i="5" s="1"/>
  <c r="L48" i="5"/>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c r="G62" i="6" s="1"/>
  <c r="G68" i="6" s="1"/>
  <c r="F1" i="7"/>
  <c r="B2" i="7"/>
  <c r="B3" i="7"/>
  <c r="B6" i="7"/>
  <c r="B7" i="7"/>
  <c r="B8" i="7"/>
  <c r="B9" i="7"/>
  <c r="B10" i="7"/>
  <c r="B11" i="7"/>
  <c r="B12" i="7"/>
  <c r="B13" i="7"/>
  <c r="B14" i="7"/>
  <c r="B15" i="7"/>
  <c r="B48" i="7"/>
  <c r="B54" i="7"/>
  <c r="B60" i="7" s="1"/>
  <c r="B66" i="7" s="1"/>
  <c r="J27" i="7"/>
  <c r="G42" i="7"/>
  <c r="G48" i="7" s="1"/>
  <c r="G54" i="7" s="1"/>
  <c r="G60" i="7" s="1"/>
  <c r="G66" i="7" s="1"/>
  <c r="G43" i="7"/>
  <c r="G49" i="7"/>
  <c r="G44" i="7"/>
  <c r="G45" i="7"/>
  <c r="G51" i="7" s="1"/>
  <c r="G57" i="7" s="1"/>
  <c r="G63" i="7" s="1"/>
  <c r="G69" i="7" s="1"/>
  <c r="G46" i="7"/>
  <c r="L48" i="7"/>
  <c r="L54" i="7" s="1"/>
  <c r="L60" i="7" s="1"/>
  <c r="L66" i="7" s="1"/>
  <c r="G50" i="7"/>
  <c r="G56" i="7"/>
  <c r="G62" i="7" s="1"/>
  <c r="G68" i="7" s="1"/>
  <c r="G52" i="7"/>
  <c r="G58" i="7"/>
  <c r="G64" i="7" s="1"/>
  <c r="G70" i="7" s="1"/>
  <c r="G55" i="7"/>
  <c r="G61" i="7" s="1"/>
  <c r="G67"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51" i="8" s="1"/>
  <c r="G57" i="8" s="1"/>
  <c r="G63" i="8" s="1"/>
  <c r="G69" i="8" s="1"/>
  <c r="G46" i="8"/>
  <c r="G52" i="8"/>
  <c r="G48" i="8"/>
  <c r="G54" i="8"/>
  <c r="G60" i="8" s="1"/>
  <c r="G66" i="8" s="1"/>
  <c r="L48" i="8"/>
  <c r="G50" i="8"/>
  <c r="G56" i="8" s="1"/>
  <c r="G62" i="8" s="1"/>
  <c r="G68" i="8" s="1"/>
  <c r="L54" i="8"/>
  <c r="L60" i="8"/>
  <c r="L66"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M66" i="6"/>
  <c r="F27" i="6"/>
  <c r="M66" i="5"/>
  <c r="F27" i="5"/>
  <c r="M66" i="8"/>
  <c r="F27" i="8"/>
  <c r="F27" i="3"/>
  <c r="M66" i="3"/>
  <c r="F27" i="2"/>
  <c r="M66" i="2"/>
  <c r="M66" i="7"/>
  <c r="F27" i="7"/>
  <c r="H5" i="16"/>
  <c r="H5" i="13"/>
  <c r="F5" i="16"/>
  <c r="F5" i="13"/>
  <c r="F6" i="9"/>
  <c r="D5" i="16"/>
  <c r="D5" i="13"/>
  <c r="D10" i="13"/>
  <c r="C8" i="13"/>
  <c r="C10"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2" i="3"/>
  <c r="N12" i="3" s="1"/>
  <c r="H13" i="13"/>
  <c r="E11" i="3"/>
  <c r="D45" i="3" s="1"/>
  <c r="H12" i="13"/>
  <c r="E7" i="4"/>
  <c r="D43" i="4" s="1"/>
  <c r="F8" i="13"/>
  <c r="E12" i="6"/>
  <c r="D46" i="6" s="1"/>
  <c r="L13" i="13"/>
  <c r="E13" i="7"/>
  <c r="N13" i="7" s="1"/>
  <c r="N14"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9" i="7"/>
  <c r="N9" i="7" s="1"/>
  <c r="N10"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N12" i="5"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9" i="10"/>
  <c r="F7" i="10"/>
  <c r="J11" i="1"/>
  <c r="J12" i="16" s="1"/>
  <c r="E11" i="2"/>
  <c r="D44" i="2"/>
  <c r="N8" i="2"/>
  <c r="I4" i="10"/>
  <c r="I10" i="10"/>
  <c r="I7"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7" i="1"/>
  <c r="J8" i="16" s="1"/>
  <c r="C42" i="4"/>
  <c r="Q7" i="4"/>
  <c r="D7" i="10"/>
  <c r="D5" i="10"/>
  <c r="D4" i="10"/>
  <c r="D9" i="10"/>
  <c r="D8" i="10"/>
  <c r="D11" i="10"/>
  <c r="D6"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E43" i="7"/>
  <c r="L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R7" i="4"/>
  <c r="S7" i="4" s="1"/>
  <c r="E11" i="8"/>
  <c r="D45" i="8" s="1"/>
  <c r="P12" i="13"/>
  <c r="R7" i="7"/>
  <c r="S7" i="7" s="1"/>
  <c r="E14" i="8"/>
  <c r="N14" i="8" s="1"/>
  <c r="P15" i="13"/>
  <c r="D16" i="9"/>
  <c r="E28" i="10" s="1"/>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H24" i="10"/>
  <c r="I24" i="10"/>
  <c r="C24" i="10"/>
  <c r="G24" i="10"/>
  <c r="G25" i="10"/>
  <c r="K7" i="7"/>
  <c r="E42" i="3"/>
  <c r="C48" i="3"/>
  <c r="I20" i="10"/>
  <c r="B52" i="6"/>
  <c r="D52" i="6"/>
  <c r="L52" i="6"/>
  <c r="F24" i="10"/>
  <c r="F22" i="10"/>
  <c r="C45" i="5"/>
  <c r="E45" i="5" s="1"/>
  <c r="P11" i="5"/>
  <c r="C48" i="2"/>
  <c r="E42" i="2"/>
  <c r="C49" i="4"/>
  <c r="L49" i="4"/>
  <c r="B49" i="4"/>
  <c r="D49" i="4"/>
  <c r="K11" i="10"/>
  <c r="J26"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B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C60" i="4"/>
  <c r="E54" i="4"/>
  <c r="C60" i="5"/>
  <c r="E54" i="5"/>
  <c r="E54" i="7"/>
  <c r="C60" i="7"/>
  <c r="B58" i="6"/>
  <c r="D58" i="6"/>
  <c r="C58" i="6"/>
  <c r="L58" i="6"/>
  <c r="E51" i="5"/>
  <c r="E60" i="8"/>
  <c r="C66" i="8"/>
  <c r="C60" i="3"/>
  <c r="E54" i="3"/>
  <c r="E51" i="2"/>
  <c r="E52" i="2"/>
  <c r="C55" i="5" l="1"/>
  <c r="L58" i="8"/>
  <c r="B58" i="8"/>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E58" i="8" l="1"/>
  <c r="L64" i="8" s="1"/>
  <c r="L64" i="3"/>
  <c r="L56" i="8"/>
  <c r="C57" i="8"/>
  <c r="B56" i="8"/>
  <c r="B57" i="8"/>
  <c r="B64" i="8" s="1"/>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C64" i="8"/>
  <c r="E57" i="8"/>
  <c r="B63" i="8" s="1"/>
  <c r="Q8" i="13"/>
  <c r="I7" i="9"/>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3" i="8" l="1"/>
  <c r="L63" i="8"/>
  <c r="D63" i="8"/>
  <c r="E63" i="8" s="1"/>
  <c r="D69" i="8" s="1"/>
  <c r="D70" i="6"/>
  <c r="F14" i="6" s="1"/>
  <c r="E63" i="3"/>
  <c r="C69" i="3" s="1"/>
  <c r="D12" i="3" s="1"/>
  <c r="B70" i="3"/>
  <c r="M70" i="3" s="1"/>
  <c r="L69" i="7"/>
  <c r="C70" i="6"/>
  <c r="C70" i="3"/>
  <c r="D14" i="3" s="1"/>
  <c r="C69" i="7"/>
  <c r="D12" i="7" s="1"/>
  <c r="L70" i="3"/>
  <c r="L70" i="6"/>
  <c r="O13" i="6" s="1"/>
  <c r="D70" i="3"/>
  <c r="F13" i="3" s="1"/>
  <c r="D69" i="7"/>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F13" i="6"/>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4" i="3" l="1"/>
  <c r="E69" i="7"/>
  <c r="F12" i="7"/>
  <c r="B69" i="3"/>
  <c r="M69" i="3" s="1"/>
  <c r="B69" i="6"/>
  <c r="M69" i="6" s="1"/>
  <c r="Q14" i="6"/>
  <c r="E70" i="6"/>
  <c r="O14" i="6"/>
  <c r="D13" i="6"/>
  <c r="D14" i="6"/>
  <c r="Q13" i="6"/>
  <c r="R13" i="6" s="1"/>
  <c r="S13" i="6" s="1"/>
  <c r="O12" i="7"/>
  <c r="F34" i="3"/>
  <c r="F33" i="3"/>
  <c r="Q12" i="7"/>
  <c r="O13" i="3"/>
  <c r="F14" i="3"/>
  <c r="Q13" i="3"/>
  <c r="E70" i="3"/>
  <c r="D13" i="3"/>
  <c r="C69" i="6"/>
  <c r="D12" i="6" s="1"/>
  <c r="O14" i="3"/>
  <c r="R14" i="3" s="1"/>
  <c r="S14" i="3" s="1"/>
  <c r="D69" i="6"/>
  <c r="F12" i="6" s="1"/>
  <c r="T10" i="3"/>
  <c r="K10" i="4"/>
  <c r="F8" i="7"/>
  <c r="T9" i="4"/>
  <c r="T11" i="4"/>
  <c r="U11" i="4" s="1"/>
  <c r="J11" i="4" s="1"/>
  <c r="K11" i="4"/>
  <c r="R10" i="4"/>
  <c r="S10" i="4" s="1"/>
  <c r="T8" i="3"/>
  <c r="U8" i="3" s="1"/>
  <c r="J8" i="3" s="1"/>
  <c r="F12" i="3"/>
  <c r="T13" i="4"/>
  <c r="T8" i="5"/>
  <c r="U8" i="5" s="1"/>
  <c r="J8" i="5" s="1"/>
  <c r="K8" i="5"/>
  <c r="E67" i="7"/>
  <c r="L69" i="8"/>
  <c r="M67" i="7"/>
  <c r="D8" i="7"/>
  <c r="T10" i="4"/>
  <c r="K8" i="3"/>
  <c r="Q8" i="7"/>
  <c r="R8" i="7" s="1"/>
  <c r="S8" i="7" s="1"/>
  <c r="M69" i="2"/>
  <c r="K14" i="4"/>
  <c r="K13" i="4"/>
  <c r="Q8" i="6"/>
  <c r="O8" i="6"/>
  <c r="B69" i="8"/>
  <c r="M69" i="8" s="1"/>
  <c r="E67" i="6"/>
  <c r="C69" i="8"/>
  <c r="R13" i="4"/>
  <c r="S13" i="4" s="1"/>
  <c r="K9" i="4"/>
  <c r="R9" i="4"/>
  <c r="S9" i="4" s="1"/>
  <c r="F32" i="2"/>
  <c r="O13" i="8"/>
  <c r="R13" i="8" s="1"/>
  <c r="S13" i="8" s="1"/>
  <c r="R10" i="3"/>
  <c r="S10" i="3" s="1"/>
  <c r="F8" i="2"/>
  <c r="O14" i="8"/>
  <c r="F14" i="8"/>
  <c r="T14" i="4"/>
  <c r="B70" i="2"/>
  <c r="F33" i="2" s="1"/>
  <c r="D69" i="5"/>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O12" i="3"/>
  <c r="R12" i="3" s="1"/>
  <c r="S12" i="3" s="1"/>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2" i="2"/>
  <c r="F31" i="6"/>
  <c r="F30" i="6"/>
  <c r="M68" i="6"/>
  <c r="F29" i="6"/>
  <c r="M67" i="8"/>
  <c r="F28" i="8"/>
  <c r="F12" i="8"/>
  <c r="K8" i="4"/>
  <c r="T8" i="4"/>
  <c r="R8" i="4"/>
  <c r="S8" i="4" s="1"/>
  <c r="E69" i="4"/>
  <c r="D12" i="4"/>
  <c r="Q12" i="4"/>
  <c r="Q11" i="2"/>
  <c r="Q10" i="2"/>
  <c r="Q9" i="2"/>
  <c r="E68" i="2"/>
  <c r="D11" i="2"/>
  <c r="D10" i="2"/>
  <c r="D9" i="2"/>
  <c r="R11" i="5"/>
  <c r="S11" i="5" s="1"/>
  <c r="U11" i="5" s="1"/>
  <c r="J11" i="5" s="1"/>
  <c r="T11" i="5"/>
  <c r="K11" i="5"/>
  <c r="D12" i="2"/>
  <c r="E69" i="2"/>
  <c r="Q12" i="2"/>
  <c r="E67" i="8"/>
  <c r="Q8" i="8"/>
  <c r="D8" i="8"/>
  <c r="C68" i="8"/>
  <c r="D68" i="8"/>
  <c r="L68" i="8"/>
  <c r="B68" i="8"/>
  <c r="U9" i="4" l="1"/>
  <c r="J9" i="4" s="1"/>
  <c r="M9" i="4" s="1"/>
  <c r="U10" i="3"/>
  <c r="J10" i="3" s="1"/>
  <c r="M10" i="3" s="1"/>
  <c r="G10" i="3" s="1"/>
  <c r="I11" i="16" s="1"/>
  <c r="K13" i="6"/>
  <c r="T13" i="6"/>
  <c r="U13" i="6" s="1"/>
  <c r="J13" i="6" s="1"/>
  <c r="M13" i="6" s="1"/>
  <c r="G13" i="6" s="1"/>
  <c r="M14" i="13" s="1"/>
  <c r="U14" i="4"/>
  <c r="J14" i="4" s="1"/>
  <c r="M14" i="4" s="1"/>
  <c r="G14" i="4" s="1"/>
  <c r="G15" i="16" s="1"/>
  <c r="F35" i="3"/>
  <c r="F35" i="6"/>
  <c r="F32" i="3"/>
  <c r="G9" i="4"/>
  <c r="G10" i="16" s="1"/>
  <c r="U13" i="4"/>
  <c r="J13" i="4" s="1"/>
  <c r="L13" i="4" s="1"/>
  <c r="O14" i="16" s="1"/>
  <c r="F32" i="6"/>
  <c r="R14" i="6"/>
  <c r="S14" i="6" s="1"/>
  <c r="G11" i="3"/>
  <c r="I12" i="16" s="1"/>
  <c r="T12" i="7"/>
  <c r="U10" i="4"/>
  <c r="J10" i="4" s="1"/>
  <c r="M10" i="4" s="1"/>
  <c r="G10" i="4" s="1"/>
  <c r="G11" i="16" s="1"/>
  <c r="T14" i="6"/>
  <c r="R12" i="7"/>
  <c r="S12" i="7" s="1"/>
  <c r="K12" i="7"/>
  <c r="O12" i="6"/>
  <c r="K14" i="6"/>
  <c r="T13" i="8"/>
  <c r="U13" i="8" s="1"/>
  <c r="J13" i="8" s="1"/>
  <c r="M13" i="8" s="1"/>
  <c r="E69" i="6"/>
  <c r="R14" i="8"/>
  <c r="S14" i="8" s="1"/>
  <c r="K13" i="3"/>
  <c r="T14" i="3"/>
  <c r="U14" i="3" s="1"/>
  <c r="J14" i="3" s="1"/>
  <c r="T13" i="3"/>
  <c r="K14" i="3"/>
  <c r="R13" i="3"/>
  <c r="S13" i="3" s="1"/>
  <c r="Q12" i="6"/>
  <c r="L11" i="4"/>
  <c r="O12" i="16" s="1"/>
  <c r="K8" i="7"/>
  <c r="O13" i="2"/>
  <c r="O12" i="8"/>
  <c r="F35" i="8"/>
  <c r="T8" i="7"/>
  <c r="U8" i="7" s="1"/>
  <c r="J8" i="7" s="1"/>
  <c r="M8" i="7" s="1"/>
  <c r="T13" i="7"/>
  <c r="Q12" i="8"/>
  <c r="F32" i="8"/>
  <c r="Q10" i="7"/>
  <c r="F13" i="2"/>
  <c r="Q11" i="7"/>
  <c r="R8" i="6"/>
  <c r="S8" i="6" s="1"/>
  <c r="F14" i="2"/>
  <c r="E69" i="8"/>
  <c r="F10" i="7"/>
  <c r="L10" i="3"/>
  <c r="P11" i="16" s="1"/>
  <c r="F30" i="7"/>
  <c r="D12" i="8"/>
  <c r="M68" i="7"/>
  <c r="F29" i="7"/>
  <c r="K14" i="8"/>
  <c r="T8" i="6"/>
  <c r="K8" i="6"/>
  <c r="O12" i="5"/>
  <c r="R12" i="5" s="1"/>
  <c r="S12" i="5" s="1"/>
  <c r="U12" i="5" s="1"/>
  <c r="J12" i="5" s="1"/>
  <c r="F35" i="5"/>
  <c r="F12" i="5"/>
  <c r="M69" i="5"/>
  <c r="K13" i="8"/>
  <c r="K8" i="2"/>
  <c r="M70" i="2"/>
  <c r="F9" i="7"/>
  <c r="O11" i="7"/>
  <c r="F34" i="2"/>
  <c r="O10" i="7"/>
  <c r="F11" i="7"/>
  <c r="O9" i="7"/>
  <c r="R9" i="7" s="1"/>
  <c r="S9" i="7" s="1"/>
  <c r="L11" i="3"/>
  <c r="P12" i="16" s="1"/>
  <c r="E69" i="5"/>
  <c r="K12" i="3"/>
  <c r="T12" i="3"/>
  <c r="U12" i="3" s="1"/>
  <c r="J12" i="3" s="1"/>
  <c r="D12" i="5"/>
  <c r="T14" i="8"/>
  <c r="D13" i="2"/>
  <c r="E70" i="2"/>
  <c r="Q14" i="2"/>
  <c r="K14" i="2" s="1"/>
  <c r="L9" i="4"/>
  <c r="O10" i="16" s="1"/>
  <c r="R13" i="7"/>
  <c r="S13" i="7" s="1"/>
  <c r="Q13" i="2"/>
  <c r="U9" i="3"/>
  <c r="J9" i="3" s="1"/>
  <c r="L9" i="3" s="1"/>
  <c r="N30" i="5"/>
  <c r="L14" i="5"/>
  <c r="Q15" i="16" s="1"/>
  <c r="L13" i="5"/>
  <c r="Q14" i="16" s="1"/>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M8" i="5"/>
  <c r="L8" i="5"/>
  <c r="Q9" i="16" s="1"/>
  <c r="M8" i="3"/>
  <c r="G8" i="3" s="1"/>
  <c r="I9" i="16" s="1"/>
  <c r="L8" i="3"/>
  <c r="P9" i="16" s="1"/>
  <c r="T9" i="6"/>
  <c r="K9" i="6"/>
  <c r="R9" i="6"/>
  <c r="S9" i="6" s="1"/>
  <c r="D9" i="8"/>
  <c r="Q11" i="8"/>
  <c r="Q9" i="8"/>
  <c r="D11" i="8"/>
  <c r="Q10" i="8"/>
  <c r="E68" i="8"/>
  <c r="D10" i="8"/>
  <c r="R12" i="2"/>
  <c r="S12" i="2" s="1"/>
  <c r="T12" i="2"/>
  <c r="K12" i="2"/>
  <c r="L9" i="5"/>
  <c r="Q10" i="16" s="1"/>
  <c r="M9" i="5"/>
  <c r="R9" i="2"/>
  <c r="S9" i="2" s="1"/>
  <c r="K9" i="2"/>
  <c r="T9" i="2"/>
  <c r="T12" i="4"/>
  <c r="R12" i="4"/>
  <c r="S12" i="4" s="1"/>
  <c r="K12" i="4"/>
  <c r="D9" i="9" l="1"/>
  <c r="U12" i="7"/>
  <c r="J12" i="7" s="1"/>
  <c r="M12" i="7" s="1"/>
  <c r="L14" i="4"/>
  <c r="O15" i="16" s="1"/>
  <c r="N30" i="4"/>
  <c r="E10" i="9"/>
  <c r="L13" i="6"/>
  <c r="R14" i="16" s="1"/>
  <c r="G13" i="9"/>
  <c r="U14" i="6"/>
  <c r="J14" i="6" s="1"/>
  <c r="M14" i="6" s="1"/>
  <c r="G14" i="6" s="1"/>
  <c r="M15" i="13" s="1"/>
  <c r="M13" i="4"/>
  <c r="G13" i="4" s="1"/>
  <c r="G14" i="16" s="1"/>
  <c r="E11" i="9"/>
  <c r="I12" i="13"/>
  <c r="G10" i="13"/>
  <c r="U13" i="7"/>
  <c r="J13" i="7" s="1"/>
  <c r="M13" i="7" s="1"/>
  <c r="M14" i="3"/>
  <c r="G14" i="3" s="1"/>
  <c r="N30" i="3"/>
  <c r="L14" i="3"/>
  <c r="P15" i="16" s="1"/>
  <c r="U13" i="3"/>
  <c r="J13" i="3" s="1"/>
  <c r="L13" i="3" s="1"/>
  <c r="P14" i="16" s="1"/>
  <c r="G13" i="8"/>
  <c r="I13" i="9" s="1"/>
  <c r="L13" i="8"/>
  <c r="T14" i="16" s="1"/>
  <c r="R12" i="6"/>
  <c r="S12" i="6" s="1"/>
  <c r="T12" i="6"/>
  <c r="K12" i="6"/>
  <c r="D10" i="9"/>
  <c r="G11" i="13"/>
  <c r="L10" i="4"/>
  <c r="O11" i="16" s="1"/>
  <c r="I11" i="13"/>
  <c r="U14" i="8"/>
  <c r="J14" i="8" s="1"/>
  <c r="N30" i="8" s="1"/>
  <c r="M13" i="9"/>
  <c r="U14" i="13"/>
  <c r="U12" i="13"/>
  <c r="M11" i="9"/>
  <c r="R12" i="8"/>
  <c r="S12" i="8" s="1"/>
  <c r="T13" i="2"/>
  <c r="U8" i="6"/>
  <c r="J8" i="6" s="1"/>
  <c r="M8" i="6" s="1"/>
  <c r="G8" i="6" s="1"/>
  <c r="M9" i="13" s="1"/>
  <c r="R13" i="2"/>
  <c r="S13" i="2" s="1"/>
  <c r="V11" i="13"/>
  <c r="T12" i="8"/>
  <c r="K12" i="8"/>
  <c r="R10" i="7"/>
  <c r="S10" i="7" s="1"/>
  <c r="T11" i="7"/>
  <c r="T10" i="7"/>
  <c r="L8" i="2"/>
  <c r="N9" i="16" s="1"/>
  <c r="K13" i="2"/>
  <c r="K11" i="7"/>
  <c r="T9" i="7"/>
  <c r="U9" i="7" s="1"/>
  <c r="J9" i="7" s="1"/>
  <c r="M9" i="7" s="1"/>
  <c r="N10" i="9"/>
  <c r="R11" i="7"/>
  <c r="S11" i="7" s="1"/>
  <c r="K12" i="5"/>
  <c r="L12" i="5" s="1"/>
  <c r="Q13" i="16" s="1"/>
  <c r="T12" i="5"/>
  <c r="K10" i="7"/>
  <c r="R14" i="2"/>
  <c r="S14" i="2" s="1"/>
  <c r="K9" i="7"/>
  <c r="T14" i="2"/>
  <c r="V12" i="13"/>
  <c r="U10" i="13"/>
  <c r="N11" i="9"/>
  <c r="W14" i="13"/>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0" i="6"/>
  <c r="J10" i="6" s="1"/>
  <c r="K11" i="8"/>
  <c r="T11" i="8"/>
  <c r="R11" i="8"/>
  <c r="S11" i="8" s="1"/>
  <c r="L12" i="3"/>
  <c r="P13" i="16" s="1"/>
  <c r="M12" i="3"/>
  <c r="G12" i="3" s="1"/>
  <c r="I13" i="16" s="1"/>
  <c r="K9" i="8"/>
  <c r="T9" i="8"/>
  <c r="U15" i="13" l="1"/>
  <c r="L12" i="7"/>
  <c r="S13" i="16" s="1"/>
  <c r="G14" i="9"/>
  <c r="N30" i="6"/>
  <c r="L14" i="6"/>
  <c r="R15" i="16" s="1"/>
  <c r="V14" i="13"/>
  <c r="N13" i="9"/>
  <c r="M10" i="9"/>
  <c r="X14" i="13"/>
  <c r="P13" i="9"/>
  <c r="G14" i="13"/>
  <c r="M13" i="3"/>
  <c r="G13" i="3" s="1"/>
  <c r="E13" i="9" s="1"/>
  <c r="D13" i="9"/>
  <c r="L13" i="7"/>
  <c r="S14" i="16" s="1"/>
  <c r="U14" i="2"/>
  <c r="J14" i="2" s="1"/>
  <c r="M14" i="2" s="1"/>
  <c r="G14" i="2" s="1"/>
  <c r="E15" i="16" s="1"/>
  <c r="U12" i="6"/>
  <c r="J12" i="6" s="1"/>
  <c r="M12" i="6" s="1"/>
  <c r="G12" i="6" s="1"/>
  <c r="G12" i="9" s="1"/>
  <c r="R13" i="9"/>
  <c r="Z14" i="13"/>
  <c r="U11" i="7"/>
  <c r="J11" i="7" s="1"/>
  <c r="M11" i="7" s="1"/>
  <c r="N14" i="9"/>
  <c r="V15" i="13"/>
  <c r="I15" i="16"/>
  <c r="I15" i="13"/>
  <c r="E14" i="9"/>
  <c r="K14" i="16"/>
  <c r="Q14" i="13"/>
  <c r="U13" i="2"/>
  <c r="J13" i="2" s="1"/>
  <c r="M13" i="2" s="1"/>
  <c r="G13" i="2" s="1"/>
  <c r="E14" i="16" s="1"/>
  <c r="U12" i="8"/>
  <c r="J12" i="8" s="1"/>
  <c r="M12" i="8" s="1"/>
  <c r="G12" i="8" s="1"/>
  <c r="K13" i="16" s="1"/>
  <c r="U10" i="7"/>
  <c r="J10" i="7" s="1"/>
  <c r="L10" i="7" s="1"/>
  <c r="S11" i="16" s="1"/>
  <c r="U11" i="13"/>
  <c r="M14" i="8"/>
  <c r="G14" i="8" s="1"/>
  <c r="K15" i="16" s="1"/>
  <c r="L14" i="8"/>
  <c r="T15" i="16" s="1"/>
  <c r="L8" i="6"/>
  <c r="R9" i="16" s="1"/>
  <c r="T9" i="13"/>
  <c r="L8" i="9"/>
  <c r="G8" i="9"/>
  <c r="Q14" i="9"/>
  <c r="Y15" i="13"/>
  <c r="E9" i="13"/>
  <c r="L10" i="2"/>
  <c r="N11" i="16" s="1"/>
  <c r="L11" i="6"/>
  <c r="R12" i="16" s="1"/>
  <c r="I10" i="16"/>
  <c r="C8" i="9"/>
  <c r="E9" i="9"/>
  <c r="G11" i="9"/>
  <c r="M12" i="13"/>
  <c r="Y9" i="13"/>
  <c r="M12" i="2"/>
  <c r="G12" i="2" s="1"/>
  <c r="C12" i="9" s="1"/>
  <c r="Q8" i="9"/>
  <c r="L11" i="2"/>
  <c r="N12" i="16" s="1"/>
  <c r="M12" i="4"/>
  <c r="G12" i="4" s="1"/>
  <c r="M9" i="2"/>
  <c r="G9" i="2" s="1"/>
  <c r="L9" i="7"/>
  <c r="S10" i="16" s="1"/>
  <c r="L9" i="9"/>
  <c r="T10" i="13"/>
  <c r="C11" i="9"/>
  <c r="E12" i="13"/>
  <c r="M8" i="9"/>
  <c r="U9" i="13"/>
  <c r="O12" i="9"/>
  <c r="W13" i="13"/>
  <c r="M12" i="9"/>
  <c r="U13" i="13"/>
  <c r="E12" i="9"/>
  <c r="I13" i="13"/>
  <c r="D8" i="9"/>
  <c r="G9" i="13"/>
  <c r="U9" i="8"/>
  <c r="J9" i="8" s="1"/>
  <c r="M9" i="8" s="1"/>
  <c r="G9" i="8" s="1"/>
  <c r="K10" i="16" s="1"/>
  <c r="C10" i="9"/>
  <c r="E11" i="13"/>
  <c r="N12" i="9"/>
  <c r="V13" i="13"/>
  <c r="L12" i="9"/>
  <c r="T13" i="13"/>
  <c r="M8" i="8"/>
  <c r="G8" i="8" s="1"/>
  <c r="K9" i="16" s="1"/>
  <c r="L8" i="8"/>
  <c r="T9" i="16" s="1"/>
  <c r="U11" i="8"/>
  <c r="J11" i="8" s="1"/>
  <c r="U10" i="8"/>
  <c r="J10" i="8" s="1"/>
  <c r="L9" i="6"/>
  <c r="R10" i="16" s="1"/>
  <c r="M9" i="6"/>
  <c r="G9" i="6" s="1"/>
  <c r="M10" i="6"/>
  <c r="G10" i="6" s="1"/>
  <c r="L10" i="6"/>
  <c r="R11" i="16" s="1"/>
  <c r="Q12" i="9" l="1"/>
  <c r="Y13" i="13"/>
  <c r="X15" i="13"/>
  <c r="P14" i="9"/>
  <c r="Q13" i="9"/>
  <c r="Y14" i="13"/>
  <c r="E15" i="13"/>
  <c r="M13" i="13"/>
  <c r="I14" i="13"/>
  <c r="I14" i="16"/>
  <c r="L12" i="8"/>
  <c r="T13" i="16" s="1"/>
  <c r="C14" i="9"/>
  <c r="N30" i="2"/>
  <c r="L14" i="2"/>
  <c r="N15" i="16" s="1"/>
  <c r="L12" i="6"/>
  <c r="L11" i="7"/>
  <c r="S12" i="16" s="1"/>
  <c r="M10" i="7"/>
  <c r="C13" i="9"/>
  <c r="E14" i="13"/>
  <c r="L13" i="2"/>
  <c r="N14" i="16" s="1"/>
  <c r="I14" i="9"/>
  <c r="R14" i="9"/>
  <c r="Q15" i="13"/>
  <c r="Z15" i="13"/>
  <c r="P8" i="9"/>
  <c r="X9" i="13"/>
  <c r="Q10" i="9"/>
  <c r="Y11" i="13"/>
  <c r="L10" i="9"/>
  <c r="X12" i="13"/>
  <c r="T11" i="13"/>
  <c r="P11" i="9"/>
  <c r="G10" i="9"/>
  <c r="M11" i="13"/>
  <c r="M10" i="13"/>
  <c r="G9" i="9"/>
  <c r="C9" i="9"/>
  <c r="E10" i="16"/>
  <c r="D12" i="9"/>
  <c r="G13" i="16"/>
  <c r="E13" i="13"/>
  <c r="E13" i="16"/>
  <c r="L11" i="9"/>
  <c r="T12" i="13"/>
  <c r="Q9" i="9"/>
  <c r="G13" i="13"/>
  <c r="E10" i="13"/>
  <c r="L9" i="8"/>
  <c r="T10" i="16" s="1"/>
  <c r="Y10" i="13"/>
  <c r="I12" i="9"/>
  <c r="Q13" i="13"/>
  <c r="P9" i="9"/>
  <c r="X10" i="13"/>
  <c r="R8" i="9"/>
  <c r="Z9" i="13"/>
  <c r="P10" i="9"/>
  <c r="X11" i="13"/>
  <c r="I8" i="9"/>
  <c r="Q9" i="13"/>
  <c r="I9" i="9"/>
  <c r="Q10" i="13"/>
  <c r="M10" i="8"/>
  <c r="G10" i="8" s="1"/>
  <c r="K11" i="16" s="1"/>
  <c r="L10" i="8"/>
  <c r="T11" i="16" s="1"/>
  <c r="L11" i="8"/>
  <c r="T12" i="16" s="1"/>
  <c r="M11" i="8"/>
  <c r="G11" i="8" s="1"/>
  <c r="K12" i="16" s="1"/>
  <c r="T15" i="13" l="1"/>
  <c r="Y12" i="13"/>
  <c r="L14" i="9"/>
  <c r="Q11" i="9"/>
  <c r="Z13" i="13"/>
  <c r="R12" i="9"/>
  <c r="R13" i="16"/>
  <c r="X13" i="13"/>
  <c r="P12" i="9"/>
  <c r="T14" i="13"/>
  <c r="L13" i="9"/>
  <c r="R9" i="9"/>
  <c r="Z10" i="13"/>
  <c r="R10" i="9"/>
  <c r="Z11" i="13"/>
  <c r="I11" i="9"/>
  <c r="Q12" i="13"/>
  <c r="I10" i="9"/>
  <c r="Q11" i="13"/>
  <c r="R11" i="9"/>
  <c r="Z12" i="13"/>
  <c r="G15" i="6"/>
  <c r="G15" i="9" s="1"/>
  <c r="C15" i="8"/>
  <c r="Q15" i="8" s="1"/>
  <c r="C16" i="13"/>
  <c r="C16" i="16"/>
  <c r="J16" i="13"/>
  <c r="C15" i="7"/>
  <c r="Q15" i="7" s="1"/>
  <c r="C15" i="2"/>
  <c r="Q15" i="2" s="1"/>
  <c r="C15" i="4"/>
  <c r="P15" i="4" s="1"/>
  <c r="G12" i="10"/>
  <c r="H16" i="13"/>
  <c r="H16" i="16"/>
  <c r="C15" i="3"/>
  <c r="Q15" i="3" s="1"/>
  <c r="D12" i="10"/>
  <c r="G27" i="10" s="1"/>
  <c r="E12" i="10"/>
  <c r="D16" i="16"/>
  <c r="D16" i="13"/>
  <c r="B7" i="17"/>
  <c r="I12" i="10"/>
  <c r="L16" i="13"/>
  <c r="F16" i="13"/>
  <c r="F12" i="10"/>
  <c r="F16" i="16"/>
  <c r="C15" i="6"/>
  <c r="N16" i="13"/>
  <c r="E15" i="4"/>
  <c r="F15" i="4" s="1"/>
  <c r="E15" i="5"/>
  <c r="F15" i="5" s="1"/>
  <c r="D7" i="17"/>
  <c r="C12" i="10"/>
  <c r="E15" i="6"/>
  <c r="C15" i="5"/>
  <c r="Q15" i="5" s="1"/>
  <c r="E15" i="3"/>
  <c r="F15" i="3" s="1"/>
  <c r="E15" i="7"/>
  <c r="N15" i="7" s="1"/>
  <c r="J15" i="1"/>
  <c r="K12" i="10" s="1"/>
  <c r="E15" i="2"/>
  <c r="J27" i="10" l="1"/>
  <c r="I27" i="10"/>
  <c r="N15" i="3"/>
  <c r="N15" i="4"/>
  <c r="P16" i="13"/>
  <c r="O15" i="3"/>
  <c r="N15" i="5"/>
  <c r="M16" i="13"/>
  <c r="O15" i="5"/>
  <c r="E27" i="10"/>
  <c r="H27" i="10"/>
  <c r="D27" i="10"/>
  <c r="F27" i="10"/>
  <c r="E7" i="17"/>
  <c r="I7" i="17"/>
  <c r="A7" i="17"/>
  <c r="K7" i="17" s="1"/>
  <c r="F7" i="17"/>
  <c r="C27" i="10"/>
  <c r="F15" i="6"/>
  <c r="N15" i="6"/>
  <c r="P15" i="6"/>
  <c r="Q15" i="6"/>
  <c r="F15" i="7"/>
  <c r="F15" i="2"/>
  <c r="N15" i="2"/>
  <c r="O15" i="2"/>
  <c r="E15" i="8"/>
  <c r="J16" i="16"/>
  <c r="D15" i="6"/>
  <c r="D15" i="3"/>
  <c r="P15" i="3"/>
  <c r="P15" i="2"/>
  <c r="D15" i="2"/>
  <c r="O15" i="4"/>
  <c r="P15" i="8"/>
  <c r="D15" i="8"/>
  <c r="P15" i="5"/>
  <c r="D15" i="5"/>
  <c r="O15" i="7"/>
  <c r="Q15" i="4"/>
  <c r="D15" i="4"/>
  <c r="P15" i="7"/>
  <c r="D15" i="7"/>
  <c r="O15" i="6"/>
  <c r="G7" i="17"/>
  <c r="C7" i="17"/>
  <c r="H7" i="17" l="1"/>
  <c r="K15" i="4"/>
  <c r="R15" i="4"/>
  <c r="S15" i="4" s="1"/>
  <c r="K15" i="5"/>
  <c r="T15" i="4"/>
  <c r="K15" i="7"/>
  <c r="T15" i="7"/>
  <c r="T15" i="2"/>
  <c r="R15" i="2"/>
  <c r="S15" i="2" s="1"/>
  <c r="K15" i="2"/>
  <c r="T15" i="3"/>
  <c r="R15" i="3"/>
  <c r="S15" i="3" s="1"/>
  <c r="K15" i="3"/>
  <c r="F15" i="8"/>
  <c r="O15" i="8"/>
  <c r="N15" i="8"/>
  <c r="R15" i="5"/>
  <c r="S15" i="5" s="1"/>
  <c r="U15" i="5" s="1"/>
  <c r="J15" i="5" s="1"/>
  <c r="R15" i="7"/>
  <c r="S15" i="7" s="1"/>
  <c r="T15" i="5"/>
  <c r="T15" i="6"/>
  <c r="R15" i="6"/>
  <c r="S15" i="6" s="1"/>
  <c r="U15" i="6" s="1"/>
  <c r="J15" i="6" s="1"/>
  <c r="K15" i="6"/>
  <c r="U15" i="7" l="1"/>
  <c r="J15" i="7" s="1"/>
  <c r="U15" i="2"/>
  <c r="J15" i="2" s="1"/>
  <c r="U15" i="3"/>
  <c r="J15" i="3" s="1"/>
  <c r="M15" i="3" s="1"/>
  <c r="G15" i="3" s="1"/>
  <c r="U15" i="4"/>
  <c r="J15" i="4" s="1"/>
  <c r="L15" i="4" s="1"/>
  <c r="O16" i="16" s="1"/>
  <c r="L15" i="7"/>
  <c r="M15" i="7"/>
  <c r="M15" i="6"/>
  <c r="L15" i="6"/>
  <c r="L15" i="5"/>
  <c r="M15" i="5"/>
  <c r="T15" i="8"/>
  <c r="K15" i="8"/>
  <c r="R15" i="8"/>
  <c r="S15" i="8" s="1"/>
  <c r="L15" i="2"/>
  <c r="M15" i="2"/>
  <c r="G15" i="2" s="1"/>
  <c r="L15" i="3" l="1"/>
  <c r="V16" i="13" s="1"/>
  <c r="U16" i="13"/>
  <c r="M15" i="9"/>
  <c r="M15" i="4"/>
  <c r="G15" i="4" s="1"/>
  <c r="D15" i="9" s="1"/>
  <c r="U15" i="8"/>
  <c r="J15" i="8" s="1"/>
  <c r="M15" i="8" s="1"/>
  <c r="G15" i="8" s="1"/>
  <c r="E16" i="13"/>
  <c r="C15" i="9"/>
  <c r="E16" i="16"/>
  <c r="N16" i="16"/>
  <c r="T16" i="13"/>
  <c r="L15" i="9"/>
  <c r="Q16" i="16"/>
  <c r="W16" i="13"/>
  <c r="O15" i="9"/>
  <c r="I16" i="13"/>
  <c r="I16" i="16"/>
  <c r="E15" i="9"/>
  <c r="X16" i="13"/>
  <c r="R16" i="16"/>
  <c r="P15" i="9"/>
  <c r="S16" i="16"/>
  <c r="Q15" i="9"/>
  <c r="Y16" i="13"/>
  <c r="N15" i="9" l="1"/>
  <c r="G16" i="16"/>
  <c r="P16" i="16"/>
  <c r="L15" i="8"/>
  <c r="R15" i="9" s="1"/>
  <c r="G16" i="13"/>
  <c r="Q16" i="13"/>
  <c r="K16" i="16"/>
  <c r="I15" i="9"/>
  <c r="Z16" i="13" l="1"/>
  <c r="T16" i="16"/>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<sst xmlns="http://schemas.openxmlformats.org/spreadsheetml/2006/main" count="654" uniqueCount="141">
  <si>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</si>
  <si>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</si>
  <si>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</si>
  <si>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</si>
  <si>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</si>
  <si>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</si>
  <si>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</si>
  <si>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</si>
  <si>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</si>
  <si>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</si>
  <si>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</si>
  <si>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</si>
  <si>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</si>
  <si>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</si>
  <si>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</si>
  <si>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</si>
  <si>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</si>
  <si>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</si>
  <si>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</si>
  <si>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</si>
  <si>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</si>
  <si>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</si>
  <si>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</si>
  <si>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</si>
  <si>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</si>
  <si>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</si>
  <si>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</si>
  <si>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</si>
  <si>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</si>
  <si>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</si>
  <si>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</si>
  <si>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</si>
  <si>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</si>
  <si>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</si>
  <si>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</si>
  <si>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</si>
  <si>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</si>
  <si>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</si>
  <si>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</si>
  <si>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</si>
  <si>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</si>
  <si>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</si>
  <si>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</si>
  <si>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</si>
  <si>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</si>
  <si>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</si>
  <si>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</si>
  <si>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</si>
  <si>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</si>
  <si>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</si>
  <si>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</si>
  <si>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</si>
  <si>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</si>
  <si>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</si>
  <si>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</si>
  <si>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</si>
  <si>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</si>
  <si>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</si>
  <si>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</si>
  <si>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</si>
  <si>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</si>
  <si>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</si>
  <si>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</si>
  <si>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</si>
  <si>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</si>
  <si>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</si>
  <si>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</si>
  <si>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</si>
  <si>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</si>
  <si>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</si>
  <si>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</si>
  <si>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</si>
  <si>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</si>
  <si>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</si>
  <si>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</si>
  <si>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</si>
  <si>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</si>
  <si>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</si>
  <si>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</si>
  <si>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</si>
  <si>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</si>
  <si>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</si>
  <si>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</si>
  <si>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</si>
  <si>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</si>
  <si>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</si>
  <si>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</si>
  <si>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</si>
  <si>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</si>
  <si>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</si>
  <si>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</si>
  <si>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</si>
  <si>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</si>
  <si>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</si>
  <si>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</si>
  <si>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</si>
  <si>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</si>
  <si>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</si>
  <si>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</si>
  <si>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</si>
  <si>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</si>
  <si>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</si>
  <si>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</si>
  <si>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</si>
  <si>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</si>
  <si>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</si>
  <si>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</si>
  <si>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</si>
  <si>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</si>
  <si>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</si>
  <si>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</si>
  <si>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</si>
  <si>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</si>
  <si>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</si>
  <si>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</si>
  <si>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</si>
  <si>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</si>
  <si>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</si>
  <si>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</si>
  <si>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</si>
  <si>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</si>
  <si>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</si>
  <si>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</si>
  <si>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</si>
  <si>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</si>
  <si>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</si>
  <si>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</si>
  <si>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</si>
  <si>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Kent</t>
  </si>
  <si>
    <t>Item 3.Referral: Kent County Juvenile Court</t>
  </si>
  <si>
    <t>Item 4.Diversion: Kent County Juvenile Court</t>
  </si>
  <si>
    <t>Item 5.Detention: Kent County Juvenile Court</t>
  </si>
  <si>
    <t>Item 6.Petitioned: Kent County Juvenile Court</t>
  </si>
  <si>
    <t>Item 7.Delinquent: Kent County Juvenile Court</t>
  </si>
  <si>
    <t>Item 8.Probation: Kent County Juvenile Court</t>
  </si>
  <si>
    <t>Item 9.Confinement: Kent County Juvenile Court</t>
  </si>
  <si>
    <t>Item 10.Transferred: Kent County Juvenile Court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</si>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</sst>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Kent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c:v>
                </c:pt>
                <c:pt idx="1">
                  <c:v>Confinement, total N=14</c:v>
                </c:pt>
                <c:pt idx="2">
                  <c:v>Delinquent Findings, total N=570</c:v>
                </c:pt>
                <c:pt idx="3">
                  <c:v>Petitions, total N=1251</c:v>
                </c:pt>
                <c:pt idx="4">
                  <c:v>Detentions, total N=709</c:v>
                </c:pt>
                <c:pt idx="5">
                  <c:v>Referrals, total N=2117</c:v>
                </c:pt>
                <c:pt idx="6">
                  <c:v>Arrests, total N=1343</c:v>
                </c:pt>
                <c:pt idx="7">
                  <c:v>Population, total N=69902</c:v>
                </c:pt>
              </c:strCache>
            </c:strRef>
          </c:cat>
          <c:val>
            <c:numRef>
              <c:f>'Stacked 100%'!$B$7:$B$14</c:f>
              <c:numCache>
                <c:formatCode>0%</c:formatCode>
                <c:ptCount val="8"/>
                <c:pt idx="0">
                  <c:v>0.75</c:v>
                </c:pt>
                <c:pt idx="1">
                  <c:v>0.5714285714285714</c:v>
                </c:pt>
                <c:pt idx="2">
                  <c:v>0.55789473684210522</c:v>
                </c:pt>
                <c:pt idx="3">
                  <c:v>0.55555555555555558</c:v>
                </c:pt>
                <c:pt idx="4">
                  <c:v>0.58392101551480957</c:v>
                </c:pt>
                <c:pt idx="5">
                  <c:v>0.45961265942371282</c:v>
                </c:pt>
                <c:pt idx="6">
                  <c:v>0.48771407297096053</c:v>
                </c:pt>
                <c:pt idx="7">
                  <c:v>0.14380132185059083</c:v>
                </c:pt>
              </c:numCache>
            </c:numRef>
          </c:val>
          <c:extLst>
            <c:ext xmlns:c16="http://schemas.microsoft.com/office/drawing/2014/chart" uri="{C3380CC4-5D6E-409C-BE32-E72D297353CC}">
              <c16:uniqueId val="{00000000-FA62-4697-8B61-F2772E37151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c:v>
                </c:pt>
                <c:pt idx="1">
                  <c:v>Confinement, total N=14</c:v>
                </c:pt>
                <c:pt idx="2">
                  <c:v>Delinquent Findings, total N=570</c:v>
                </c:pt>
                <c:pt idx="3">
                  <c:v>Petitions, total N=1251</c:v>
                </c:pt>
                <c:pt idx="4">
                  <c:v>Detentions, total N=709</c:v>
                </c:pt>
                <c:pt idx="5">
                  <c:v>Referrals, total N=2117</c:v>
                </c:pt>
                <c:pt idx="6">
                  <c:v>Arrests, total N=1343</c:v>
                </c:pt>
                <c:pt idx="7">
                  <c:v>Population, total N=69902</c:v>
                </c:pt>
              </c:strCache>
            </c:strRef>
          </c:cat>
          <c:val>
            <c:numRef>
              <c:f>'Stacked 100%'!$C$7:$C$14</c:f>
              <c:numCache>
                <c:formatCode>0%</c:formatCode>
                <c:ptCount val="8"/>
                <c:pt idx="0">
                  <c:v>0</c:v>
                </c:pt>
                <c:pt idx="1">
                  <c:v>0</c:v>
                </c:pt>
                <c:pt idx="2">
                  <c:v>6.6666666666666666E-2</c:v>
                </c:pt>
                <c:pt idx="3">
                  <c:v>4.7162270183852918E-2</c:v>
                </c:pt>
                <c:pt idx="4">
                  <c:v>0.10155148095909731</c:v>
                </c:pt>
                <c:pt idx="5">
                  <c:v>6.093528578176665E-2</c:v>
                </c:pt>
                <c:pt idx="6">
                  <c:v>4.8399106478034248E-2</c:v>
                </c:pt>
                <c:pt idx="7">
                  <c:v>0.17885039054676546</c:v>
                </c:pt>
              </c:numCache>
            </c:numRef>
          </c:val>
          <c:extLst>
            <c:ext xmlns:c16="http://schemas.microsoft.com/office/drawing/2014/chart" uri="{C3380CC4-5D6E-409C-BE32-E72D297353CC}">
              <c16:uniqueId val="{00000001-FA62-4697-8B61-F2772E37151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N=4</c:v>
                </c:pt>
                <c:pt idx="1">
                  <c:v>Confinement, total N=14</c:v>
                </c:pt>
                <c:pt idx="2">
                  <c:v>Delinquent Findings, total N=570</c:v>
                </c:pt>
                <c:pt idx="3">
                  <c:v>Petitions, total N=1251</c:v>
                </c:pt>
                <c:pt idx="4">
                  <c:v>Detentions, total N=709</c:v>
                </c:pt>
                <c:pt idx="5">
                  <c:v>Referrals, total N=2117</c:v>
                </c:pt>
                <c:pt idx="6">
                  <c:v>Arrests, total N=1343</c:v>
                </c:pt>
                <c:pt idx="7">
                  <c:v>Population, total N=69902</c:v>
                </c:pt>
              </c:strCache>
            </c:strRef>
          </c:cat>
          <c:val>
            <c:numRef>
              <c:f>'Stacked 100%'!$H$7:$H$14</c:f>
              <c:numCache>
                <c:formatCode>0%</c:formatCode>
                <c:ptCount val="8"/>
                <c:pt idx="0">
                  <c:v>0</c:v>
                </c:pt>
                <c:pt idx="1">
                  <c:v>0</c:v>
                </c:pt>
                <c:pt idx="2">
                  <c:v>1.600492459218221E-4</c:v>
                </c:pt>
                <c:pt idx="3">
                  <c:v>5.2396132654228339E-5</c:v>
                </c:pt>
                <c:pt idx="4">
                  <c:v>1.7108265480493594E-4</c:v>
                </c:pt>
                <c:pt idx="5">
                  <c:v>3.3246394383903037E-5</c:v>
                </c:pt>
                <c:pt idx="6">
                  <c:v>6.6531791939562514E-6</c:v>
                </c:pt>
                <c:pt idx="7">
                  <c:v>6.618518880568586E-7</c:v>
                </c:pt>
              </c:numCache>
            </c:numRef>
          </c:val>
          <c:extLst>
            <c:ext xmlns:c16="http://schemas.microsoft.com/office/drawing/2014/chart" uri="{C3380CC4-5D6E-409C-BE32-E72D297353CC}">
              <c16:uniqueId val="{00000002-FA62-4697-8B61-F2772E37151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c:v>
                </c:pt>
                <c:pt idx="1">
                  <c:v>Confinement, total N=14</c:v>
                </c:pt>
                <c:pt idx="2">
                  <c:v>Delinquent Findings, total N=570</c:v>
                </c:pt>
                <c:pt idx="3">
                  <c:v>Petitions, total N=1251</c:v>
                </c:pt>
                <c:pt idx="4">
                  <c:v>Detentions, total N=709</c:v>
                </c:pt>
                <c:pt idx="5">
                  <c:v>Referrals, total N=2117</c:v>
                </c:pt>
                <c:pt idx="6">
                  <c:v>Arrests, total N=1343</c:v>
                </c:pt>
                <c:pt idx="7">
                  <c:v>Population, total N=69902</c:v>
                </c:pt>
              </c:strCache>
            </c:strRef>
          </c:cat>
          <c:val>
            <c:numRef>
              <c:f>'Stacked 100%'!$I$7:$I$14</c:f>
              <c:numCache>
                <c:formatCode>0%</c:formatCode>
                <c:ptCount val="8"/>
                <c:pt idx="0">
                  <c:v>0.25</c:v>
                </c:pt>
                <c:pt idx="1">
                  <c:v>0.42857142857142855</c:v>
                </c:pt>
                <c:pt idx="2">
                  <c:v>0.27894736842105261</c:v>
                </c:pt>
                <c:pt idx="3">
                  <c:v>0.32933653077537972</c:v>
                </c:pt>
                <c:pt idx="4">
                  <c:v>0.19040902679830748</c:v>
                </c:pt>
                <c:pt idx="5">
                  <c:v>0.40434577231931979</c:v>
                </c:pt>
                <c:pt idx="6">
                  <c:v>0.43186895011169024</c:v>
                </c:pt>
                <c:pt idx="7">
                  <c:v>0.63108351692369313</c:v>
                </c:pt>
              </c:numCache>
            </c:numRef>
          </c:val>
          <c:extLst>
            <c:ext xmlns:c16="http://schemas.microsoft.com/office/drawing/2014/chart" uri="{C3380CC4-5D6E-409C-BE32-E72D297353CC}">
              <c16:uniqueId val="{00000003-FA62-4697-8B61-F2772E37151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N=4</c:v>
                </c:pt>
                <c:pt idx="1">
                  <c:v>Confinement, total N=14</c:v>
                </c:pt>
                <c:pt idx="2">
                  <c:v>Delinquent Findings, total N=570</c:v>
                </c:pt>
                <c:pt idx="3">
                  <c:v>Petitions, total N=1251</c:v>
                </c:pt>
                <c:pt idx="4">
                  <c:v>Detentions, total N=709</c:v>
                </c:pt>
                <c:pt idx="5">
                  <c:v>Referrals, total N=2117</c:v>
                </c:pt>
                <c:pt idx="6">
                  <c:v>Arrests, total N=1343</c:v>
                </c:pt>
                <c:pt idx="7">
                  <c:v>Population, total N=69902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A62-4697-8B61-F2772E37151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139</v>
      </c>
      <c r="B6" s="11">
        <f>SUM(C6:I6)+K6</f>
        <v>69902</v>
      </c>
      <c r="C6" s="11">
        <v>44114</v>
      </c>
      <c r="D6" s="11">
        <v>10052</v>
      </c>
      <c r="E6" s="11">
        <v>12502</v>
      </c>
      <c r="F6" s="11">
        <v>2948</v>
      </c>
      <c r="G6" s="11"/>
      <c r="H6" s="11">
        <v>286</v>
      </c>
      <c r="I6" s="11"/>
      <c r="J6" s="91">
        <f>SUM(D6:I6)</f>
        <v>25788</v>
      </c>
      <c r="K6" s="11"/>
    </row>
    <row r="7" spans="1:11" ht="15.75" customHeight="1" thickBot="1">
      <c r="A7" s="10" t="s">
        <v>8</v>
      </c>
      <c r="B7" s="11">
        <f t="shared" ref="B7:B15" si="0">SUM(C7:I7)+K7</f>
        <v>1343</v>
      </c>
      <c r="C7" s="11">
        <v>580</v>
      </c>
      <c r="D7" s="11">
        <v>655</v>
      </c>
      <c r="E7" s="11">
        <v>65</v>
      </c>
      <c r="F7" s="11">
        <v>9</v>
      </c>
      <c r="G7" s="11"/>
      <c r="H7" s="11">
        <v>3</v>
      </c>
      <c r="I7" s="11"/>
      <c r="J7" s="91">
        <f t="shared" ref="J7:J15" si="1">SUM(D7:I7)</f>
        <v>732</v>
      </c>
      <c r="K7" s="92">
        <v>31</v>
      </c>
    </row>
    <row r="8" spans="1:11" ht="15.75" customHeight="1" thickBot="1">
      <c r="A8" s="10" t="s">
        <v>9</v>
      </c>
      <c r="B8" s="11">
        <f t="shared" si="0"/>
        <v>2117</v>
      </c>
      <c r="C8" s="11">
        <v>856</v>
      </c>
      <c r="D8" s="11">
        <v>973</v>
      </c>
      <c r="E8" s="11">
        <v>129</v>
      </c>
      <c r="F8" s="11">
        <v>28</v>
      </c>
      <c r="G8" s="11"/>
      <c r="H8" s="11">
        <v>13</v>
      </c>
      <c r="I8" s="11">
        <v>108</v>
      </c>
      <c r="J8" s="91">
        <f t="shared" si="1"/>
        <v>1251</v>
      </c>
      <c r="K8" s="92">
        <v>10</v>
      </c>
    </row>
    <row r="9" spans="1:11" ht="15.75" customHeight="1" thickBot="1">
      <c r="A9" s="10" t="s">
        <v>10</v>
      </c>
      <c r="B9" s="11">
        <f t="shared" si="0"/>
        <v>477</v>
      </c>
      <c r="C9" s="11">
        <v>290</v>
      </c>
      <c r="D9" s="11">
        <v>127</v>
      </c>
      <c r="E9" s="11">
        <v>28</v>
      </c>
      <c r="F9" s="11">
        <v>3</v>
      </c>
      <c r="G9" s="11"/>
      <c r="H9" s="11">
        <v>3</v>
      </c>
      <c r="I9" s="11">
        <v>23</v>
      </c>
      <c r="J9" s="91">
        <f t="shared" si="1"/>
        <v>184</v>
      </c>
      <c r="K9" s="92">
        <v>3</v>
      </c>
    </row>
    <row r="10" spans="1:11" ht="15.75" customHeight="1" thickBot="1">
      <c r="A10" s="10" t="s">
        <v>11</v>
      </c>
      <c r="B10" s="11">
        <f t="shared" si="0"/>
        <v>709</v>
      </c>
      <c r="C10" s="11">
        <v>135</v>
      </c>
      <c r="D10" s="11">
        <v>414</v>
      </c>
      <c r="E10" s="11">
        <v>72</v>
      </c>
      <c r="F10" s="11">
        <v>6</v>
      </c>
      <c r="G10" s="11"/>
      <c r="H10" s="11">
        <v>3</v>
      </c>
      <c r="I10" s="11">
        <v>77</v>
      </c>
      <c r="J10" s="91">
        <f t="shared" si="1"/>
        <v>572</v>
      </c>
      <c r="K10" s="92">
        <v>2</v>
      </c>
    </row>
    <row r="11" spans="1:11" ht="15.75" customHeight="1" thickBot="1">
      <c r="A11" s="10" t="s">
        <v>12</v>
      </c>
      <c r="B11" s="11">
        <f t="shared" si="0"/>
        <v>1251</v>
      </c>
      <c r="C11" s="11">
        <v>412</v>
      </c>
      <c r="D11" s="11">
        <v>695</v>
      </c>
      <c r="E11" s="11">
        <v>59</v>
      </c>
      <c r="F11" s="11">
        <v>19</v>
      </c>
      <c r="G11" s="11"/>
      <c r="H11" s="11">
        <v>3</v>
      </c>
      <c r="I11" s="11">
        <v>60</v>
      </c>
      <c r="J11" s="91">
        <f t="shared" si="1"/>
        <v>836</v>
      </c>
      <c r="K11" s="92">
        <v>3</v>
      </c>
    </row>
    <row r="12" spans="1:11" ht="15.75" customHeight="1" thickBot="1">
      <c r="A12" s="10" t="s">
        <v>13</v>
      </c>
      <c r="B12" s="11">
        <f t="shared" si="0"/>
        <v>570</v>
      </c>
      <c r="C12" s="11">
        <v>159</v>
      </c>
      <c r="D12" s="11">
        <v>318</v>
      </c>
      <c r="E12" s="11">
        <v>38</v>
      </c>
      <c r="F12" s="11">
        <v>13</v>
      </c>
      <c r="G12" s="11"/>
      <c r="H12" s="11"/>
      <c r="I12" s="11">
        <v>39</v>
      </c>
      <c r="J12" s="91">
        <f t="shared" si="1"/>
        <v>408</v>
      </c>
      <c r="K12" s="92">
        <v>3</v>
      </c>
    </row>
    <row r="13" spans="1:11" ht="15.75" customHeight="1" thickBot="1">
      <c r="A13" s="10" t="s">
        <v>125</v>
      </c>
      <c r="B13" s="11">
        <f t="shared" si="0"/>
        <v>425</v>
      </c>
      <c r="C13" s="11">
        <v>160</v>
      </c>
      <c r="D13" s="11">
        <v>188</v>
      </c>
      <c r="E13" s="11">
        <v>30</v>
      </c>
      <c r="F13" s="11">
        <v>3</v>
      </c>
      <c r="G13" s="11"/>
      <c r="H13" s="11">
        <v>1</v>
      </c>
      <c r="I13" s="11">
        <v>40</v>
      </c>
      <c r="J13" s="91">
        <f t="shared" si="1"/>
        <v>262</v>
      </c>
      <c r="K13" s="92">
        <v>3</v>
      </c>
    </row>
    <row r="14" spans="1:11" ht="26.25" customHeight="1" thickBot="1">
      <c r="A14" s="10" t="s">
        <v>115</v>
      </c>
      <c r="B14" s="11">
        <f t="shared" si="0"/>
        <v>14</v>
      </c>
      <c r="C14" s="11">
        <v>6</v>
      </c>
      <c r="D14" s="11">
        <v>8</v>
      </c>
      <c r="E14" s="11"/>
      <c r="F14" s="11"/>
      <c r="G14" s="11"/>
      <c r="H14" s="11"/>
      <c r="I14" s="11"/>
      <c r="J14" s="91">
        <f t="shared" si="1"/>
        <v>8</v>
      </c>
      <c r="K14" s="92"/>
    </row>
    <row r="15" spans="1:11" ht="15.75" customHeight="1" thickBot="1">
      <c r="A15" s="10" t="s">
        <v>16</v>
      </c>
      <c r="B15" s="11">
        <f t="shared" si="0"/>
        <v>4</v>
      </c>
      <c r="C15" s="11">
        <v>1</v>
      </c>
      <c r="D15" s="11">
        <v>3</v>
      </c>
      <c r="E15" s="11"/>
      <c r="F15" s="11"/>
      <c r="G15" s="11"/>
      <c r="H15" s="11"/>
      <c r="I15" s="11"/>
      <c r="J15" s="91">
        <f t="shared" si="1"/>
        <v>3</v>
      </c>
      <c r="K15" s="11"/>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129</v>
      </c>
      <c r="B20" s="170"/>
      <c r="C20" s="8"/>
      <c r="D20" s="170" t="s">
        <v>130</v>
      </c>
      <c r="E20" s="170"/>
      <c r="F20" s="170"/>
      <c r="G20" s="170"/>
      <c r="H20" s="170"/>
      <c r="I20" s="170"/>
    </row>
    <row r="21" spans="1:9" ht="15" customHeight="1">
      <c r="A21" s="170" t="s">
        <v>131</v>
      </c>
      <c r="B21" s="170"/>
      <c r="C21" s="8"/>
      <c r="D21" s="170" t="s">
        <v>132</v>
      </c>
      <c r="E21" s="170"/>
      <c r="F21" s="170"/>
      <c r="G21" s="170"/>
      <c r="H21" s="170"/>
      <c r="I21" s="170"/>
    </row>
    <row r="22" spans="1:9" ht="15" customHeight="1">
      <c r="A22" s="170" t="s">
        <v>133</v>
      </c>
      <c r="B22" s="170"/>
      <c r="C22" s="8"/>
      <c r="D22" s="170" t="s">
        <v>134</v>
      </c>
      <c r="E22" s="170"/>
      <c r="F22" s="170"/>
      <c r="G22" s="170"/>
      <c r="H22" s="170"/>
      <c r="I22" s="170"/>
    </row>
    <row r="23" spans="1:9" ht="15" customHeight="1">
      <c r="A23" s="170" t="s">
        <v>135</v>
      </c>
      <c r="B23" s="170"/>
      <c r="C23" s="8"/>
      <c r="D23" s="170" t="s">
        <v>136</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44114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580</v>
      </c>
      <c r="D7" s="34">
        <f>IF((AND(C66&gt;0,C7&gt;0)),(C7/C66),0)</f>
        <v>13.147753547626605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580</v>
      </c>
      <c r="Q7" s="42">
        <f>C6-C7</f>
        <v>43534</v>
      </c>
      <c r="R7" s="42">
        <f t="shared" ref="R7:R15" si="5">SUM(N7:Q7)</f>
        <v>44114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856</v>
      </c>
      <c r="D8" s="34">
        <f>IF((AND(C67&gt;0,C8&gt;0)),(C8/C67),0)</f>
        <v>147.58620689655172</v>
      </c>
      <c r="E8" s="33">
        <f>'Data Entry'!I8</f>
        <v>108</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108</v>
      </c>
      <c r="O8" s="42">
        <f>((D67*L67)-E8)+0.05</f>
        <v>-107.95</v>
      </c>
      <c r="P8" s="42">
        <f t="shared" si="4"/>
        <v>856</v>
      </c>
      <c r="Q8" s="42">
        <f>(C$67*L67)-C8</f>
        <v>-276</v>
      </c>
      <c r="R8" s="42">
        <f t="shared" si="5"/>
        <v>580.04999999999995</v>
      </c>
      <c r="S8" s="30">
        <f t="shared" si="6"/>
        <v>2272873400219.5918</v>
      </c>
      <c r="T8" s="30">
        <f t="shared" si="7"/>
        <v>-10733706.19999939</v>
      </c>
      <c r="U8" s="31">
        <f t="shared" si="8"/>
        <v>-211751.03527798448</v>
      </c>
    </row>
    <row r="9" spans="2:21" ht="18" customHeight="1">
      <c r="B9" s="32" t="str">
        <f>'Data Entry'!A9</f>
        <v xml:space="preserve">4. Cases Diverted </v>
      </c>
      <c r="C9" s="33">
        <f>'Data Entry'!C9</f>
        <v>290</v>
      </c>
      <c r="D9" s="34">
        <f>IF((AND(C68&gt;0,C9&gt;0)),((C9/C68)),0)</f>
        <v>33.878504672897193</v>
      </c>
      <c r="E9" s="33">
        <f>'Data Entry'!I9</f>
        <v>23</v>
      </c>
      <c r="F9" s="34">
        <f>IF((AND($E$9&gt;0,$D$68&gt;0)),(($E$9/$D$68)),0)</f>
        <v>21.296296296296294</v>
      </c>
      <c r="G9" s="39" t="str">
        <f t="shared" si="0"/>
        <v>*</v>
      </c>
      <c r="H9" s="40"/>
      <c r="I9" s="41"/>
      <c r="J9" s="40">
        <f>IF((ABS($U9)&gt;Defaults!D$7),1,2)</f>
        <v>1</v>
      </c>
      <c r="K9" s="39">
        <f>IF((AND(N9&gt;Defaults!B$12,(N9+O9)&gt;Defaults!B$13, P9 &gt; Defaults!B$12, (P9+Q9) &gt; Defaults!B$13)),1,20)</f>
        <v>1</v>
      </c>
      <c r="L9" s="1">
        <f t="shared" si="1"/>
        <v>100</v>
      </c>
      <c r="M9" s="1" t="b">
        <f t="shared" si="2"/>
        <v>1</v>
      </c>
      <c r="N9" s="42">
        <f t="shared" si="3"/>
        <v>23</v>
      </c>
      <c r="O9" s="42">
        <f>(D$68*L68)-E9</f>
        <v>85</v>
      </c>
      <c r="P9" s="42">
        <f t="shared" si="4"/>
        <v>290</v>
      </c>
      <c r="Q9" s="42">
        <f>(C$68*L68)-C9</f>
        <v>566</v>
      </c>
      <c r="R9" s="42">
        <f t="shared" si="5"/>
        <v>964</v>
      </c>
      <c r="S9" s="30">
        <f t="shared" si="6"/>
        <v>130432500736</v>
      </c>
      <c r="T9" s="30">
        <f t="shared" si="7"/>
        <v>18837481824</v>
      </c>
      <c r="U9" s="31">
        <f t="shared" si="8"/>
        <v>6.9240943112588296</v>
      </c>
    </row>
    <row r="10" spans="2:21" ht="18" customHeight="1">
      <c r="B10" s="32" t="str">
        <f>'Data Entry'!A10</f>
        <v>5. Cases Involving Secure Detention</v>
      </c>
      <c r="C10" s="33">
        <f>'Data Entry'!C10</f>
        <v>135</v>
      </c>
      <c r="D10" s="34">
        <f>IF(((AND(C68&gt;0,C10&gt;0))),(C10/(C68)),0)</f>
        <v>15.771028037383177</v>
      </c>
      <c r="E10" s="33">
        <f>'Data Entry'!I10</f>
        <v>77</v>
      </c>
      <c r="F10" s="34">
        <f>IF(((AND($E$10&gt;0,$D$68&gt;0))),($E$10/($D$68)),0)</f>
        <v>71.296296296296291</v>
      </c>
      <c r="G10" s="39" t="str">
        <f t="shared" si="0"/>
        <v>*</v>
      </c>
      <c r="H10" s="40"/>
      <c r="I10" s="41"/>
      <c r="J10" s="40">
        <f>IF((ABS($U10)&gt;Defaults!D$7),1,2)</f>
        <v>1</v>
      </c>
      <c r="K10" s="39">
        <f>IF((AND(N10&gt;Defaults!B$12,(N10+O10)&gt;Defaults!B$13, P10 &gt; Defaults!B$12, (P10+Q10) &gt; Defaults!B$13)),1,20)</f>
        <v>1</v>
      </c>
      <c r="L10" s="1">
        <f t="shared" si="1"/>
        <v>100</v>
      </c>
      <c r="M10" s="1" t="b">
        <f t="shared" si="2"/>
        <v>1</v>
      </c>
      <c r="N10" s="42">
        <f t="shared" si="3"/>
        <v>77</v>
      </c>
      <c r="O10" s="42">
        <f>(D$68*L68)-E10</f>
        <v>31</v>
      </c>
      <c r="P10" s="42">
        <f t="shared" si="4"/>
        <v>135</v>
      </c>
      <c r="Q10" s="42">
        <f>(C$68*L68)-C10</f>
        <v>721</v>
      </c>
      <c r="R10" s="42">
        <f t="shared" si="5"/>
        <v>964</v>
      </c>
      <c r="S10" s="30">
        <f t="shared" si="6"/>
        <v>2540115151936</v>
      </c>
      <c r="T10" s="30">
        <f t="shared" si="7"/>
        <v>14738429952</v>
      </c>
      <c r="U10" s="31">
        <f t="shared" si="8"/>
        <v>172.34638697667435</v>
      </c>
    </row>
    <row r="11" spans="2:21" ht="18" customHeight="1">
      <c r="B11" s="32" t="str">
        <f>'Data Entry'!A11</f>
        <v>6. Cases Petitioned (Charge Filed)</v>
      </c>
      <c r="C11" s="33">
        <f>'Data Entry'!C11</f>
        <v>412</v>
      </c>
      <c r="D11" s="34">
        <f>IF(((AND(C68&gt;0,C11&gt;0))),(C11/(C68)),0)</f>
        <v>48.130841121495322</v>
      </c>
      <c r="E11" s="33">
        <f>'Data Entry'!I11</f>
        <v>60</v>
      </c>
      <c r="F11" s="34">
        <f>IF(((AND($E$11&gt;0,$D$68&gt;0))),($E$11/($D$68)),0)</f>
        <v>55.55555555555555</v>
      </c>
      <c r="G11" s="39" t="str">
        <f t="shared" si="0"/>
        <v>*</v>
      </c>
      <c r="H11" s="40"/>
      <c r="I11" s="41"/>
      <c r="J11" s="40">
        <f>IF((ABS($U11)&gt;Defaults!D$7),1,2)</f>
        <v>2</v>
      </c>
      <c r="K11" s="39">
        <f>IF((AND(N11&gt;Defaults!B$12,(N11+O11)&gt;Defaults!B$13, P11 &gt; Defaults!B$12, (P11+Q11) &gt; Defaults!B$13)),1,20)</f>
        <v>1</v>
      </c>
      <c r="L11" s="1">
        <f t="shared" si="1"/>
        <v>101</v>
      </c>
      <c r="M11" s="1" t="b">
        <f t="shared" si="2"/>
        <v>1</v>
      </c>
      <c r="N11" s="42">
        <f t="shared" si="3"/>
        <v>60</v>
      </c>
      <c r="O11" s="42">
        <f>(D$68*L68)-E11</f>
        <v>48</v>
      </c>
      <c r="P11" s="42">
        <f t="shared" si="4"/>
        <v>412</v>
      </c>
      <c r="Q11" s="42">
        <f>(C$68*L68)-C11</f>
        <v>444</v>
      </c>
      <c r="R11" s="42">
        <f t="shared" si="5"/>
        <v>964</v>
      </c>
      <c r="S11" s="30">
        <f t="shared" si="6"/>
        <v>45418374144</v>
      </c>
      <c r="T11" s="30">
        <f t="shared" si="7"/>
        <v>21468644352</v>
      </c>
      <c r="U11" s="31">
        <f t="shared" si="8"/>
        <v>2.1155678672262725</v>
      </c>
    </row>
    <row r="12" spans="2:21" ht="18" customHeight="1">
      <c r="B12" s="32" t="str">
        <f>'Data Entry'!A12</f>
        <v>7. Cases Resulting in Delinquent Findings</v>
      </c>
      <c r="C12" s="33">
        <f>'Data Entry'!C12</f>
        <v>159</v>
      </c>
      <c r="D12" s="34">
        <f>IF(((AND(C69&gt;0,C12&gt;0))),(C12/(C69)),0)</f>
        <v>38.592233009708735</v>
      </c>
      <c r="E12" s="33">
        <f>'Data Entry'!I12</f>
        <v>39</v>
      </c>
      <c r="F12" s="34">
        <f>IF(((AND($D$69&gt;0,$E$12&gt;0))),(E12/(D69)),0)</f>
        <v>65</v>
      </c>
      <c r="G12" s="39" t="str">
        <f t="shared" si="0"/>
        <v>*</v>
      </c>
      <c r="H12" s="40"/>
      <c r="I12" s="41"/>
      <c r="J12" s="40">
        <f>IF((ABS($U12)&gt;Defaults!D$7),1,2)</f>
        <v>1</v>
      </c>
      <c r="K12" s="39">
        <f>IF((AND(N12&gt;Defaults!B$12,(N12+O12)&gt;Defaults!B$13, P12 &gt; Defaults!B$12, (P12+Q12) &gt; Defaults!B$13)),1,20)</f>
        <v>1</v>
      </c>
      <c r="L12" s="1">
        <f t="shared" si="1"/>
        <v>100</v>
      </c>
      <c r="M12" s="1" t="b">
        <f t="shared" si="2"/>
        <v>1</v>
      </c>
      <c r="N12" s="42">
        <f t="shared" si="3"/>
        <v>39</v>
      </c>
      <c r="O12" s="42">
        <f>(D69*L69)-E12</f>
        <v>21</v>
      </c>
      <c r="P12" s="42">
        <f t="shared" si="4"/>
        <v>159</v>
      </c>
      <c r="Q12" s="42">
        <f>(C69*L69)-C12</f>
        <v>253</v>
      </c>
      <c r="R12" s="42">
        <f t="shared" si="5"/>
        <v>472</v>
      </c>
      <c r="S12" s="30">
        <f t="shared" si="6"/>
        <v>20114178048</v>
      </c>
      <c r="T12" s="30">
        <f t="shared" si="7"/>
        <v>1341109440</v>
      </c>
      <c r="U12" s="31">
        <f t="shared" si="8"/>
        <v>14.998163049243766</v>
      </c>
    </row>
    <row r="13" spans="2:21" ht="18" customHeight="1">
      <c r="B13" s="32" t="str">
        <f>'Data Entry'!A13</f>
        <v>8. Cases Resulting in Probation Placement</v>
      </c>
      <c r="C13" s="33">
        <f>'Data Entry'!C13</f>
        <v>160</v>
      </c>
      <c r="D13" s="34">
        <f>IF(((AND(C70&gt;0,C13&gt;0))),(C13/(C70)),0)</f>
        <v>100.62893081761005</v>
      </c>
      <c r="E13" s="33">
        <f>'Data Entry'!I13</f>
        <v>40</v>
      </c>
      <c r="F13" s="34">
        <f>IF(((AND($D$70&gt;0,$E$13&gt;0))),($E$13/($D$70)),0)</f>
        <v>102.56410256410255</v>
      </c>
      <c r="G13" s="39" t="str">
        <f t="shared" si="0"/>
        <v>*</v>
      </c>
      <c r="H13" s="40"/>
      <c r="I13" s="41"/>
      <c r="J13" s="40">
        <f>IF((ABS($U13)&gt;Defaults!D$7),1,2)</f>
        <v>2</v>
      </c>
      <c r="K13" s="39">
        <f>IF((AND(N13&gt;Defaults!B$12,(N13+O13)&gt;Defaults!B$13, P13 &gt; Defaults!B$12, (P13+Q13) &gt; Defaults!B$13)),1,20)</f>
        <v>1</v>
      </c>
      <c r="L13" s="1">
        <f t="shared" si="1"/>
        <v>101</v>
      </c>
      <c r="M13" s="1" t="b">
        <f t="shared" si="2"/>
        <v>1</v>
      </c>
      <c r="N13" s="42">
        <f t="shared" si="3"/>
        <v>40</v>
      </c>
      <c r="O13" s="42">
        <f>(D70*L70)-E13</f>
        <v>-1</v>
      </c>
      <c r="P13" s="42">
        <f t="shared" si="4"/>
        <v>160</v>
      </c>
      <c r="Q13" s="42">
        <f>(C70*L70)-C13</f>
        <v>-1</v>
      </c>
      <c r="R13" s="42">
        <f t="shared" si="5"/>
        <v>198</v>
      </c>
      <c r="S13" s="30">
        <f t="shared" si="6"/>
        <v>2851200</v>
      </c>
      <c r="T13" s="30">
        <f t="shared" si="7"/>
        <v>-2480400</v>
      </c>
      <c r="U13" s="31">
        <f t="shared" si="8"/>
        <v>-1.1494920174165457</v>
      </c>
    </row>
    <row r="14" spans="2:21" ht="30.75" customHeight="1">
      <c r="B14" s="32" t="str">
        <f>'Data Entry'!A14</f>
        <v xml:space="preserve">9. Cases Resulting in Confinement in Secure Juvenile Correctional Facilities </v>
      </c>
      <c r="C14" s="33">
        <f>'Data Entry'!C14</f>
        <v>6</v>
      </c>
      <c r="D14" s="34">
        <f>IF(((AND(C70&gt;0,C14&gt;0))), ((C14/(C70))),0)</f>
        <v>3.773584905660377</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39</v>
      </c>
      <c r="P14" s="42">
        <f t="shared" si="4"/>
        <v>6</v>
      </c>
      <c r="Q14" s="42">
        <f>(C70*L70)-C14</f>
        <v>153</v>
      </c>
      <c r="R14" s="42">
        <f t="shared" si="5"/>
        <v>198</v>
      </c>
      <c r="S14" s="30">
        <f t="shared" si="6"/>
        <v>10841688</v>
      </c>
      <c r="T14" s="30">
        <f t="shared" si="7"/>
        <v>7143552</v>
      </c>
      <c r="U14" s="31">
        <f t="shared" si="8"/>
        <v>1.5176886792452831</v>
      </c>
    </row>
    <row r="15" spans="2:21" ht="15.75" customHeight="1">
      <c r="B15" s="32" t="str">
        <f>'Data Entry'!A15</f>
        <v xml:space="preserve">10. Cases Transferred to Adult Court </v>
      </c>
      <c r="C15" s="33">
        <f>'Data Entry'!C15</f>
        <v>1</v>
      </c>
      <c r="D15" s="34">
        <f>IF(((AND(C69&gt;0,C15&gt;0))),((C15/(C69))),0)</f>
        <v>0.24271844660194175</v>
      </c>
      <c r="E15" s="33">
        <f>'Data Entry'!I15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60</v>
      </c>
      <c r="P15" s="42">
        <f t="shared" si="4"/>
        <v>1</v>
      </c>
      <c r="Q15" s="42">
        <f>(C69*L69)-C15</f>
        <v>411</v>
      </c>
      <c r="R15" s="42">
        <f t="shared" si="5"/>
        <v>472</v>
      </c>
      <c r="S15" s="30">
        <f t="shared" si="6"/>
        <v>1699200</v>
      </c>
      <c r="T15" s="30">
        <f t="shared" si="7"/>
        <v>11643120</v>
      </c>
      <c r="U15" s="31">
        <f t="shared" si="8"/>
        <v>0.1459402634345433</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44.113999999999997</v>
      </c>
      <c r="D42" s="56">
        <f>E6/1000</f>
        <v>0</v>
      </c>
      <c r="E42" s="56">
        <f>MAX(C42:D42)</f>
        <v>44.113999999999997</v>
      </c>
      <c r="G42" s="1" t="str">
        <f>B42</f>
        <v>per 1000 youth</v>
      </c>
      <c r="L42" s="57">
        <v>1000</v>
      </c>
      <c r="M42" s="57"/>
      <c r="R42" s="49"/>
    </row>
    <row r="43" spans="2:18" ht="15" hidden="1" customHeight="1">
      <c r="B43" s="49" t="s">
        <v>87</v>
      </c>
      <c r="C43" s="56">
        <f>C7/100</f>
        <v>5.8</v>
      </c>
      <c r="D43" s="56">
        <f>E7/100</f>
        <v>0</v>
      </c>
      <c r="E43" s="56">
        <f>MAX(C43:D43,0)</f>
        <v>5.8</v>
      </c>
      <c r="G43" s="1" t="str">
        <f>B43</f>
        <v>per 100 arrests</v>
      </c>
      <c r="L43" s="57">
        <v>100</v>
      </c>
      <c r="M43" s="57"/>
      <c r="R43" s="49"/>
    </row>
    <row r="44" spans="2:18" ht="15" hidden="1" customHeight="1">
      <c r="B44" s="49" t="s">
        <v>88</v>
      </c>
      <c r="C44" s="56">
        <f>C8/100</f>
        <v>8.56</v>
      </c>
      <c r="D44" s="56">
        <f>E8/100</f>
        <v>1.08</v>
      </c>
      <c r="E44" s="56">
        <f>MAX(C44:D44,0)</f>
        <v>8.56</v>
      </c>
      <c r="G44" s="1" t="str">
        <f>B44</f>
        <v>per 100 referrals</v>
      </c>
      <c r="L44" s="57">
        <v>100</v>
      </c>
      <c r="M44" s="57"/>
      <c r="R44" s="49"/>
    </row>
    <row r="45" spans="2:18" ht="15" hidden="1" customHeight="1">
      <c r="B45" s="49" t="s">
        <v>89</v>
      </c>
      <c r="C45" s="49">
        <f>C11/100</f>
        <v>4.12</v>
      </c>
      <c r="D45" s="49">
        <f>E11/100</f>
        <v>0.6</v>
      </c>
      <c r="E45" s="56">
        <f>MAX(C45:D45,0)</f>
        <v>4.12</v>
      </c>
      <c r="G45" s="1" t="str">
        <f>B45</f>
        <v>per 100 youth petitioned</v>
      </c>
      <c r="L45" s="57">
        <v>100</v>
      </c>
      <c r="M45" s="57"/>
      <c r="R45" s="49"/>
    </row>
    <row r="46" spans="2:18" ht="15" hidden="1" customHeight="1">
      <c r="B46" s="49" t="s">
        <v>90</v>
      </c>
      <c r="C46" s="49">
        <f>C12/100</f>
        <v>1.59</v>
      </c>
      <c r="D46" s="49">
        <f>E12/100</f>
        <v>0.39</v>
      </c>
      <c r="E46" s="56">
        <f>MAX(C46:D46)</f>
        <v>1.59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44.113999999999997</v>
      </c>
      <c r="D48" s="56">
        <f>D42</f>
        <v>0</v>
      </c>
      <c r="E48" s="56">
        <f>MAX(C48:D48)</f>
        <v>44.113999999999997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5.8</v>
      </c>
      <c r="D49" s="49">
        <f t="shared" si="9"/>
        <v>0</v>
      </c>
      <c r="E49" s="49">
        <f>MAX(C49:D49)</f>
        <v>5.8</v>
      </c>
      <c r="G49" s="1" t="str">
        <f>G43</f>
        <v>per 100 arrests</v>
      </c>
      <c r="L49" s="58">
        <f>IF(($E43&gt;0),L43,L42)</f>
        <v>100</v>
      </c>
      <c r="M49" s="58"/>
      <c r="N49" s="21"/>
      <c r="O49" s="21"/>
      <c r="P49" s="21"/>
      <c r="Q49" s="21"/>
      <c r="R49" s="21"/>
    </row>
    <row r="50" spans="2:18" ht="15" hidden="1" customHeight="1">
      <c r="B50" s="49" t="str">
        <f t="shared" si="9"/>
        <v>per 100 referrals</v>
      </c>
      <c r="C50" s="49">
        <f t="shared" si="9"/>
        <v>8.56</v>
      </c>
      <c r="D50" s="49">
        <f t="shared" si="9"/>
        <v>1.08</v>
      </c>
      <c r="E50" s="49">
        <f>MAX(C50:D50)</f>
        <v>8.56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4.12</v>
      </c>
      <c r="D51" s="49">
        <f>IF(($E45&gt;0),D45,D44)</f>
        <v>0.6</v>
      </c>
      <c r="E51" s="49">
        <f>MAX(C51:D51)</f>
        <v>4.12</v>
      </c>
      <c r="G51" s="1" t="str">
        <f>G45</f>
        <v>per 100 youth petitioned</v>
      </c>
      <c r="L51" s="58">
        <f>IF(($E45&gt;0),L45,L44)</f>
        <v>100</v>
      </c>
      <c r="M51" s="58"/>
    </row>
    <row r="52" spans="2:18" ht="15" hidden="1" customHeight="1">
      <c r="B52" s="49" t="str">
        <f>IF(($E46&gt;0),B46,B45)</f>
        <v>per 100 youth found delinquent</v>
      </c>
      <c r="C52" s="49">
        <f>IF(($E46&gt;0),C46,C45)</f>
        <v>1.59</v>
      </c>
      <c r="D52" s="49">
        <f>IF(($E46&gt;0),D46,D45)</f>
        <v>0.39</v>
      </c>
      <c r="E52" s="56">
        <f>MAX(C52:D52)</f>
        <v>1.59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44.113999999999997</v>
      </c>
      <c r="D54" s="56">
        <f>D48</f>
        <v>0</v>
      </c>
      <c r="E54" s="56">
        <f>MAX(C54:D54)</f>
        <v>44.113999999999997</v>
      </c>
      <c r="G54" s="1" t="str">
        <f>G48</f>
        <v>per 1000 youth</v>
      </c>
      <c r="L54" s="58">
        <f>L48</f>
        <v>1000</v>
      </c>
      <c r="M54" s="58"/>
    </row>
    <row r="55" spans="2:18" ht="15" hidden="1" customHeight="1">
      <c r="B55" s="49" t="str">
        <f t="shared" ref="B55:D56" si="10">IF(($E49&gt;0),B49,B48)</f>
        <v>per 100 arrests</v>
      </c>
      <c r="C55" s="49">
        <f t="shared" si="10"/>
        <v>5.8</v>
      </c>
      <c r="D55" s="49">
        <f t="shared" si="10"/>
        <v>0</v>
      </c>
      <c r="E55" s="49">
        <f>MAX(C55:D55)</f>
        <v>5.8</v>
      </c>
      <c r="G55" s="1" t="str">
        <f>G49</f>
        <v>per 100 arrests</v>
      </c>
      <c r="L55" s="58">
        <f>IF(($E49&gt;0),L49,L48)</f>
        <v>100</v>
      </c>
      <c r="M55" s="58"/>
    </row>
    <row r="56" spans="2:18" ht="15" hidden="1" customHeight="1">
      <c r="B56" s="49" t="str">
        <f t="shared" si="10"/>
        <v>per 100 referrals</v>
      </c>
      <c r="C56" s="49">
        <f t="shared" si="10"/>
        <v>8.56</v>
      </c>
      <c r="D56" s="49">
        <f t="shared" si="10"/>
        <v>1.08</v>
      </c>
      <c r="E56" s="49">
        <f>MAX(C56:D56)</f>
        <v>8.56</v>
      </c>
      <c r="G56" s="1" t="str">
        <f>G50</f>
        <v>per 100 referrals</v>
      </c>
      <c r="L56" s="58">
        <f>IF(($E50&gt;0),L50,L49)</f>
        <v>100</v>
      </c>
      <c r="M56" s="58"/>
    </row>
    <row r="57" spans="2:18" ht="15" hidden="1" customHeight="1">
      <c r="B57" s="49" t="str">
        <f>IF(($E51&gt;0),B51,B49)</f>
        <v>per 100 youth petitioned</v>
      </c>
      <c r="C57" s="49">
        <f>IF(($E51&gt;0),C51,C50)</f>
        <v>4.12</v>
      </c>
      <c r="D57" s="49">
        <f>IF(($E51&gt;0),D51,D50)</f>
        <v>0.6</v>
      </c>
      <c r="E57" s="49">
        <f>MAX(C57:D57)</f>
        <v>4.12</v>
      </c>
      <c r="G57" s="1" t="str">
        <f>G51</f>
        <v>per 100 youth petitioned</v>
      </c>
      <c r="L57" s="58">
        <f>IF(($E51&gt;0),L51,L50)</f>
        <v>100</v>
      </c>
      <c r="M57" s="58"/>
    </row>
    <row r="58" spans="2:18" ht="15" hidden="1" customHeight="1">
      <c r="B58" s="49" t="str">
        <f>IF(($E52&gt;0),B52,B51)</f>
        <v>per 100 youth found delinquent</v>
      </c>
      <c r="C58" s="49">
        <f>IF(($E52&gt;0),C52,C51)</f>
        <v>1.59</v>
      </c>
      <c r="D58" s="49">
        <f>IF(($E52&gt;0),D52,D51)</f>
        <v>0.39</v>
      </c>
      <c r="E58" s="56">
        <f>MAX(C58:D58)</f>
        <v>1.59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44.113999999999997</v>
      </c>
      <c r="D60" s="56">
        <f>D54</f>
        <v>0</v>
      </c>
      <c r="E60" s="56">
        <f>MAX(C60:D60)</f>
        <v>44.113999999999997</v>
      </c>
      <c r="G60" s="1" t="str">
        <f>G54</f>
        <v>per 1000 youth</v>
      </c>
      <c r="L60" s="58">
        <f>L54</f>
        <v>1000</v>
      </c>
      <c r="M60" s="58"/>
    </row>
    <row r="61" spans="2:18" ht="15" hidden="1" customHeight="1">
      <c r="B61" s="49" t="str">
        <f t="shared" ref="B61:D62" si="11">IF(($E55&gt;0),B55,B54)</f>
        <v>per 100 arrests</v>
      </c>
      <c r="C61" s="49">
        <f t="shared" si="11"/>
        <v>5.8</v>
      </c>
      <c r="D61" s="49">
        <f t="shared" si="11"/>
        <v>0</v>
      </c>
      <c r="E61" s="49">
        <f>MAX(C61:D61)</f>
        <v>5.8</v>
      </c>
      <c r="G61" s="1" t="str">
        <f>G55</f>
        <v>per 100 arrests</v>
      </c>
      <c r="L61" s="58">
        <f>IF(($E55&gt;0),L55,L54)</f>
        <v>100</v>
      </c>
      <c r="M61" s="58"/>
    </row>
    <row r="62" spans="2:18" ht="15" hidden="1" customHeight="1">
      <c r="B62" s="49" t="str">
        <f t="shared" si="11"/>
        <v>per 100 referrals</v>
      </c>
      <c r="C62" s="49">
        <f t="shared" si="11"/>
        <v>8.56</v>
      </c>
      <c r="D62" s="49">
        <f t="shared" si="11"/>
        <v>1.08</v>
      </c>
      <c r="E62" s="49">
        <f>MAX(C62:D62)</f>
        <v>8.56</v>
      </c>
      <c r="G62" s="1" t="str">
        <f>G56</f>
        <v>per 100 referrals</v>
      </c>
      <c r="L62" s="58">
        <f>IF(($E56&gt;0),L56,L55)</f>
        <v>100</v>
      </c>
      <c r="M62" s="58"/>
    </row>
    <row r="63" spans="2:18" ht="15" hidden="1" customHeight="1">
      <c r="B63" s="49" t="str">
        <f>IF(($E57&gt;0),B57,B55)</f>
        <v>per 100 youth petitioned</v>
      </c>
      <c r="C63" s="49">
        <f>IF(($E57&gt;0),C57,C56)</f>
        <v>4.12</v>
      </c>
      <c r="D63" s="49">
        <f>IF(($E57&gt;0),D57,D56)</f>
        <v>0.6</v>
      </c>
      <c r="E63" s="49">
        <f>MAX(C63:D63)</f>
        <v>4.12</v>
      </c>
      <c r="G63" s="1" t="str">
        <f>G57</f>
        <v>per 100 youth petitioned</v>
      </c>
      <c r="L63" s="58">
        <f>IF(($E57&gt;0),L57,L56)</f>
        <v>100</v>
      </c>
      <c r="M63" s="58"/>
    </row>
    <row r="64" spans="2:18" ht="15" hidden="1" customHeight="1">
      <c r="B64" s="49" t="str">
        <f>IF(($E58&gt;0),B58,B57)</f>
        <v>per 100 youth found delinquent</v>
      </c>
      <c r="C64" s="49">
        <f>IF(($E58&gt;0),C58,C57)</f>
        <v>1.59</v>
      </c>
      <c r="D64" s="49">
        <f>IF(($E58&gt;0),D58,D57)</f>
        <v>0.39</v>
      </c>
      <c r="E64" s="56">
        <f>MAX(C64:D64)</f>
        <v>1.59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44.113999999999997</v>
      </c>
      <c r="D66" s="56">
        <f>D60</f>
        <v>0</v>
      </c>
      <c r="E66" s="56">
        <f>MAX(C66:D66)</f>
        <v>44.113999999999997</v>
      </c>
      <c r="G66" s="1" t="str">
        <f>G60</f>
        <v>per 1000 youth</v>
      </c>
      <c r="L66" s="58">
        <f>L60</f>
        <v>1000</v>
      </c>
      <c r="M66" s="58">
        <f>IF((B66=G66),1,2)</f>
        <v>1</v>
      </c>
    </row>
    <row r="67" spans="2:13" ht="15" hidden="1" customHeight="1">
      <c r="B67" s="49" t="str">
        <f t="shared" ref="B67:D68" si="12">IF(($E61&gt;0),B61,B60)</f>
        <v>per 100 arrests</v>
      </c>
      <c r="C67" s="49">
        <f t="shared" si="12"/>
        <v>5.8</v>
      </c>
      <c r="D67" s="49">
        <f t="shared" si="12"/>
        <v>0</v>
      </c>
      <c r="E67" s="49">
        <f>MAX(C67:D67)</f>
        <v>5.8</v>
      </c>
      <c r="G67" s="1" t="str">
        <f>G61</f>
        <v>per 100 arrests</v>
      </c>
      <c r="L67" s="58">
        <f>IF(($E61&gt;0),L61,L60)</f>
        <v>100</v>
      </c>
      <c r="M67" s="58">
        <f>IF((B67=G67),1,2)</f>
        <v>1</v>
      </c>
    </row>
    <row r="68" spans="2:13" ht="15" hidden="1" customHeight="1">
      <c r="B68" s="49" t="str">
        <f t="shared" si="12"/>
        <v>per 100 referrals</v>
      </c>
      <c r="C68" s="49">
        <f t="shared" si="12"/>
        <v>8.56</v>
      </c>
      <c r="D68" s="49">
        <f t="shared" si="12"/>
        <v>1.08</v>
      </c>
      <c r="E68" s="49">
        <f>MAX(C68:D68)</f>
        <v>8.56</v>
      </c>
      <c r="G68" s="1" t="str">
        <f>G62</f>
        <v>per 100 referrals</v>
      </c>
      <c r="L68" s="58">
        <f>IF(($E62&gt;0),L62,L61)</f>
        <v>100</v>
      </c>
      <c r="M68" s="58">
        <f>IF((B68=G68),1,2)</f>
        <v>1</v>
      </c>
    </row>
    <row r="69" spans="2:13" ht="15" hidden="1" customHeight="1">
      <c r="B69" s="49" t="str">
        <f>IF(($E63&gt;0),B63,B61)</f>
        <v>per 100 youth petitioned</v>
      </c>
      <c r="C69" s="49">
        <f>IF(($E63&gt;0),C63,C62)</f>
        <v>4.12</v>
      </c>
      <c r="D69" s="49">
        <f>IF(($E63&gt;0),D63,D62)</f>
        <v>0.6</v>
      </c>
      <c r="E69" s="49">
        <f>MAX(C69:D69)</f>
        <v>4.12</v>
      </c>
      <c r="G69" s="1" t="str">
        <f>G63</f>
        <v>per 100 youth petitioned</v>
      </c>
      <c r="L69" s="58">
        <f>IF(($E63&gt;0),L63,L62)</f>
        <v>100</v>
      </c>
      <c r="M69" s="58">
        <f>IF((B69=G69),1,2)</f>
        <v>1</v>
      </c>
    </row>
    <row r="70" spans="2:13" ht="15" hidden="1" customHeight="1">
      <c r="B70" s="49" t="str">
        <f>IF(($E64&gt;0),B64,B63)</f>
        <v>per 100 youth found delinquent</v>
      </c>
      <c r="C70" s="49">
        <f>IF(($E64&gt;0),C64,C63)</f>
        <v>1.59</v>
      </c>
      <c r="D70" s="49">
        <f>IF(($E64&gt;0),D64,D63)</f>
        <v>0.39</v>
      </c>
      <c r="E70" s="56">
        <f>MAX(C70:D70)</f>
        <v>1.59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44114</v>
      </c>
      <c r="D6" s="34"/>
      <c r="E6" s="33">
        <f>'Data Entry'!J6</f>
        <v>25788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580</v>
      </c>
      <c r="D7" s="34">
        <f>IF((AND(C66&gt;0,C7&gt;0)),(C7/C66),0)</f>
        <v>13.147753547626605</v>
      </c>
      <c r="E7" s="33">
        <f>'Data Entry'!J7</f>
        <v>732</v>
      </c>
      <c r="F7" s="34">
        <f>IF((AND($E$7&gt;0,$D$66&gt;0)),($E$7/$D$66),0)</f>
        <v>28.385295486272685</v>
      </c>
      <c r="G7" s="39">
        <f t="shared" ref="G7:G15" si="0">IF(L$6=100,"*",IF(M7=FALSE,"--",IF(K7=20,"**",($F7/$D7))))</f>
        <v>2.158946422554195</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732</v>
      </c>
      <c r="O7" s="42">
        <f>E6-E7</f>
        <v>25056</v>
      </c>
      <c r="P7" s="42">
        <f t="shared" ref="P7:P15" si="4">C7</f>
        <v>580</v>
      </c>
      <c r="Q7" s="42">
        <f>C6-C7</f>
        <v>43534</v>
      </c>
      <c r="R7" s="42">
        <f t="shared" ref="R7:R15" si="5">SUM(N7:Q7)</f>
        <v>69902</v>
      </c>
      <c r="S7" s="30">
        <f t="shared" ref="S7:S15" si="6">R7*((((N7*Q7)-(O7*P7))^2))</f>
        <v>2.1004271843062854E+19</v>
      </c>
      <c r="T7" s="30">
        <f t="shared" ref="T7:T15" si="7">(N7+O7)*(P7+Q7)*(N7+P7)*(O7+Q7)</f>
        <v>1.0237377977062656E+17</v>
      </c>
      <c r="U7" s="31">
        <f t="shared" ref="U7:U15" si="8">IF((S7&gt;0),S7/T7,"- -")</f>
        <v>205.17237802613079</v>
      </c>
    </row>
    <row r="8" spans="2:21" ht="18" customHeight="1">
      <c r="B8" s="32" t="str">
        <f>'Data Entry'!A8</f>
        <v>3. Refer to Juvenile Court</v>
      </c>
      <c r="C8" s="33">
        <f>'Data Entry'!C8</f>
        <v>856</v>
      </c>
      <c r="D8" s="34">
        <f>IF((AND(C67&gt;0,C8&gt;0)),(C8/C67),0)</f>
        <v>147.58620689655172</v>
      </c>
      <c r="E8" s="33">
        <f>'Data Entry'!J8</f>
        <v>1251</v>
      </c>
      <c r="F8" s="34">
        <f>IF((AND($E$8&gt;0,$D$67&gt;0)),($E8/$D67),0)</f>
        <v>170.90163934426229</v>
      </c>
      <c r="G8" s="39">
        <f t="shared" si="0"/>
        <v>1.1579783974260764</v>
      </c>
      <c r="H8" s="40"/>
      <c r="I8" s="41"/>
      <c r="J8" s="40">
        <f>IF((ABS($U8)&gt;Defaults!D$7),1,2)</f>
        <v>1</v>
      </c>
      <c r="K8" s="39">
        <f>IF((AND(N8&gt;Defaults!B$12,(N8+O8)&gt;Defaults!B$13, P8 &gt; Defaults!B$12, (P8+Q8) &gt; Defaults!B$13)),1,20)</f>
        <v>1</v>
      </c>
      <c r="L8" s="1">
        <f t="shared" si="1"/>
        <v>1</v>
      </c>
      <c r="M8" s="1" t="b">
        <f t="shared" si="2"/>
        <v>1</v>
      </c>
      <c r="N8" s="42">
        <f t="shared" si="3"/>
        <v>1251</v>
      </c>
      <c r="O8" s="42">
        <f>((D67*L67)-E8)+0.05</f>
        <v>-518.95000000000005</v>
      </c>
      <c r="P8" s="42">
        <f t="shared" si="4"/>
        <v>856</v>
      </c>
      <c r="Q8" s="42">
        <f>(C$67*L67)-C8</f>
        <v>-276</v>
      </c>
      <c r="R8" s="42">
        <f t="shared" si="5"/>
        <v>1312.05</v>
      </c>
      <c r="S8" s="30">
        <f t="shared" si="6"/>
        <v>12845169722818.635</v>
      </c>
      <c r="T8" s="30">
        <f t="shared" si="7"/>
        <v>-711169442833.8501</v>
      </c>
      <c r="U8" s="31">
        <f t="shared" si="8"/>
        <v>-18.062038312042102</v>
      </c>
    </row>
    <row r="9" spans="2:21" ht="18" customHeight="1">
      <c r="B9" s="32" t="str">
        <f>'Data Entry'!A9</f>
        <v xml:space="preserve">4. Cases Diverted </v>
      </c>
      <c r="C9" s="33">
        <f>'Data Entry'!C9</f>
        <v>290</v>
      </c>
      <c r="D9" s="34">
        <f>IF((AND(C68&gt;0,C9&gt;0)),((C9/C68)),0)</f>
        <v>33.878504672897193</v>
      </c>
      <c r="E9" s="33">
        <f>'Data Entry'!J9</f>
        <v>184</v>
      </c>
      <c r="F9" s="34">
        <f>IF((AND($E$9&gt;0,$D$68&gt;0)),(($E$9/$D$68)),0)</f>
        <v>14.708233413269385</v>
      </c>
      <c r="G9" s="39">
        <f t="shared" si="0"/>
        <v>0.43414647592271016</v>
      </c>
      <c r="H9" s="40"/>
      <c r="I9" s="41"/>
      <c r="J9" s="40">
        <f>IF((ABS($U9)&gt;Defaults!D$7),1,2)</f>
        <v>1</v>
      </c>
      <c r="K9" s="39">
        <f>IF((AND(N9&gt;Defaults!B$12,(N9+O9)&gt;Defaults!B$13, P9 &gt; Defaults!B$12, (P9+Q9) &gt; Defaults!B$13)),1,20)</f>
        <v>1</v>
      </c>
      <c r="L9" s="1">
        <f t="shared" si="1"/>
        <v>1</v>
      </c>
      <c r="M9" s="1" t="b">
        <f t="shared" si="2"/>
        <v>1</v>
      </c>
      <c r="N9" s="42">
        <f t="shared" si="3"/>
        <v>184</v>
      </c>
      <c r="O9" s="42">
        <f>(D$68*L68)-E9</f>
        <v>1067</v>
      </c>
      <c r="P9" s="42">
        <f t="shared" si="4"/>
        <v>290</v>
      </c>
      <c r="Q9" s="42">
        <f>(C$68*L68)-C9</f>
        <v>566</v>
      </c>
      <c r="R9" s="42">
        <f t="shared" si="5"/>
        <v>2107</v>
      </c>
      <c r="S9" s="30">
        <f t="shared" si="6"/>
        <v>88793914164172</v>
      </c>
      <c r="T9" s="30">
        <f t="shared" si="7"/>
        <v>828887519952</v>
      </c>
      <c r="U9" s="31">
        <f t="shared" si="8"/>
        <v>107.12420205013336</v>
      </c>
    </row>
    <row r="10" spans="2:21" ht="18" customHeight="1">
      <c r="B10" s="32" t="str">
        <f>'Data Entry'!A10</f>
        <v>5. Cases Involving Secure Detention</v>
      </c>
      <c r="C10" s="33">
        <f>'Data Entry'!C10</f>
        <v>135</v>
      </c>
      <c r="D10" s="34">
        <f>IF(((AND(C68&gt;0,C10&gt;0))),(C10/(C68)),0)</f>
        <v>15.771028037383177</v>
      </c>
      <c r="E10" s="33">
        <f>'Data Entry'!J10</f>
        <v>572</v>
      </c>
      <c r="F10" s="34">
        <f>IF(((AND($E$10&gt;0,$D$68&gt;0))),($E$10/($D$68)),0)</f>
        <v>45.723421262989611</v>
      </c>
      <c r="G10" s="39">
        <f t="shared" si="0"/>
        <v>2.8992036000828971</v>
      </c>
      <c r="H10" s="40"/>
      <c r="I10" s="41"/>
      <c r="J10" s="40">
        <f>IF((ABS($U10)&gt;Defaults!D$7),1,2)</f>
        <v>1</v>
      </c>
      <c r="K10" s="39">
        <f>IF((AND(N10&gt;Defaults!B$12,(N10+O10)&gt;Defaults!B$13, P10 &gt; Defaults!B$12, (P10+Q10) &gt; Defaults!B$13)),1,20)</f>
        <v>1</v>
      </c>
      <c r="L10" s="1">
        <f t="shared" si="1"/>
        <v>1</v>
      </c>
      <c r="M10" s="1" t="b">
        <f t="shared" si="2"/>
        <v>1</v>
      </c>
      <c r="N10" s="42">
        <f t="shared" si="3"/>
        <v>572</v>
      </c>
      <c r="O10" s="42">
        <f>(D$68*L68)-E10</f>
        <v>679</v>
      </c>
      <c r="P10" s="42">
        <f t="shared" si="4"/>
        <v>135</v>
      </c>
      <c r="Q10" s="42">
        <f>(C$68*L68)-C10</f>
        <v>721</v>
      </c>
      <c r="R10" s="42">
        <f t="shared" si="5"/>
        <v>2107</v>
      </c>
      <c r="S10" s="30">
        <f t="shared" si="6"/>
        <v>216765290284963</v>
      </c>
      <c r="T10" s="30">
        <f t="shared" si="7"/>
        <v>1059933268800</v>
      </c>
      <c r="U10" s="31">
        <f t="shared" si="8"/>
        <v>204.50843148868523</v>
      </c>
    </row>
    <row r="11" spans="2:21" ht="18" customHeight="1">
      <c r="B11" s="32" t="str">
        <f>'Data Entry'!A11</f>
        <v>6. Cases Petitioned (Charge Filed)</v>
      </c>
      <c r="C11" s="33">
        <f>'Data Entry'!C11</f>
        <v>412</v>
      </c>
      <c r="D11" s="34">
        <f>IF(((AND(C68&gt;0,C11&gt;0))),(C11/(C68)),0)</f>
        <v>48.130841121495322</v>
      </c>
      <c r="E11" s="33">
        <f>'Data Entry'!J11</f>
        <v>836</v>
      </c>
      <c r="F11" s="34">
        <f>IF(((AND($E$11&gt;0,$D$68&gt;0))),($E$11/($D$68)),0)</f>
        <v>66.826538768984818</v>
      </c>
      <c r="G11" s="39">
        <f t="shared" si="0"/>
        <v>1.3884348831614324</v>
      </c>
      <c r="H11" s="40"/>
      <c r="I11" s="41"/>
      <c r="J11" s="40">
        <f>IF((ABS($U11)&gt;Defaults!D$7),1,2)</f>
        <v>1</v>
      </c>
      <c r="K11" s="39">
        <f>IF((AND(N11&gt;Defaults!B$12,(N11+O11)&gt;Defaults!B$13, P11 &gt; Defaults!B$12, (P11+Q11) &gt; Defaults!B$13)),1,20)</f>
        <v>1</v>
      </c>
      <c r="L11" s="1">
        <f t="shared" si="1"/>
        <v>1</v>
      </c>
      <c r="M11" s="1" t="b">
        <f t="shared" si="2"/>
        <v>1</v>
      </c>
      <c r="N11" s="42">
        <f t="shared" si="3"/>
        <v>836</v>
      </c>
      <c r="O11" s="42">
        <f>(D$68*L68)-E11</f>
        <v>415</v>
      </c>
      <c r="P11" s="42">
        <f t="shared" si="4"/>
        <v>412</v>
      </c>
      <c r="Q11" s="42">
        <f>(C$68*L68)-C11</f>
        <v>444</v>
      </c>
      <c r="R11" s="42">
        <f t="shared" si="5"/>
        <v>2107</v>
      </c>
      <c r="S11" s="30">
        <f t="shared" si="6"/>
        <v>84452018884912</v>
      </c>
      <c r="T11" s="30">
        <f t="shared" si="7"/>
        <v>1147991899392</v>
      </c>
      <c r="U11" s="31">
        <f t="shared" si="8"/>
        <v>73.564995475699362</v>
      </c>
    </row>
    <row r="12" spans="2:21" ht="18" customHeight="1">
      <c r="B12" s="32" t="str">
        <f>'Data Entry'!A12</f>
        <v>7. Cases Resulting in Delinquent Findings</v>
      </c>
      <c r="C12" s="33">
        <f>'Data Entry'!C12</f>
        <v>159</v>
      </c>
      <c r="D12" s="34">
        <f>IF(((AND(C69&gt;0,C12&gt;0))),(C12/(C69)),0)</f>
        <v>38.592233009708735</v>
      </c>
      <c r="E12" s="33">
        <f>'Data Entry'!J12</f>
        <v>408</v>
      </c>
      <c r="F12" s="34">
        <f>IF(((AND($D$69&gt;0,$E$12&gt;0))),(E12/(D69)),0)</f>
        <v>48.803827751196174</v>
      </c>
      <c r="G12" s="39">
        <f t="shared" si="0"/>
        <v>1.2646023291504922</v>
      </c>
      <c r="H12" s="40"/>
      <c r="I12" s="41"/>
      <c r="J12" s="40">
        <f>IF((ABS($U12)&gt;Defaults!D$7),1,2)</f>
        <v>1</v>
      </c>
      <c r="K12" s="39">
        <f>IF((AND(N12&gt;Defaults!B$12,(N12+O12)&gt;Defaults!B$13, P12 &gt; Defaults!B$12, (P12+Q12) &gt; Defaults!B$13)),1,20)</f>
        <v>1</v>
      </c>
      <c r="L12" s="1">
        <f t="shared" si="1"/>
        <v>1</v>
      </c>
      <c r="M12" s="1" t="b">
        <f t="shared" si="2"/>
        <v>1</v>
      </c>
      <c r="N12" s="42">
        <f t="shared" si="3"/>
        <v>408</v>
      </c>
      <c r="O12" s="42">
        <f>(D69*L69)-E12</f>
        <v>428</v>
      </c>
      <c r="P12" s="42">
        <f t="shared" si="4"/>
        <v>159</v>
      </c>
      <c r="Q12" s="42">
        <f>(C69*L69)-C12</f>
        <v>253</v>
      </c>
      <c r="R12" s="42">
        <f t="shared" si="5"/>
        <v>1248</v>
      </c>
      <c r="S12" s="30">
        <f t="shared" si="6"/>
        <v>1543862840832</v>
      </c>
      <c r="T12" s="30">
        <f t="shared" si="7"/>
        <v>132994494864</v>
      </c>
      <c r="U12" s="31">
        <f t="shared" si="8"/>
        <v>11.608471782315142</v>
      </c>
    </row>
    <row r="13" spans="2:21" ht="18" customHeight="1">
      <c r="B13" s="32" t="str">
        <f>'Data Entry'!A13</f>
        <v>8. Cases Resulting in Probation Placement</v>
      </c>
      <c r="C13" s="33">
        <f>'Data Entry'!C13</f>
        <v>160</v>
      </c>
      <c r="D13" s="34">
        <f>IF(((AND(C70&gt;0,C13&gt;0))),(C13/(C70)),0)</f>
        <v>100.62893081761005</v>
      </c>
      <c r="E13" s="33">
        <f>'Data Entry'!J13</f>
        <v>262</v>
      </c>
      <c r="F13" s="34">
        <f>IF(((AND($D$70&gt;0,$E$13&gt;0))),($E$13/($D$70)),0)</f>
        <v>64.215686274509807</v>
      </c>
      <c r="G13" s="39">
        <f t="shared" si="0"/>
        <v>0.63814338235294121</v>
      </c>
      <c r="H13" s="40"/>
      <c r="I13" s="41"/>
      <c r="J13" s="40">
        <f>IF((ABS($U13)&gt;Defaults!D$7),1,2)</f>
        <v>1</v>
      </c>
      <c r="K13" s="39">
        <f>IF((AND(N13&gt;Defaults!B$12,(N13+O13)&gt;Defaults!B$13, P13 &gt; Defaults!B$12, (P13+Q13) &gt; Defaults!B$13)),1,20)</f>
        <v>1</v>
      </c>
      <c r="L13" s="1">
        <f t="shared" si="1"/>
        <v>1</v>
      </c>
      <c r="M13" s="1" t="b">
        <f t="shared" si="2"/>
        <v>1</v>
      </c>
      <c r="N13" s="42">
        <f t="shared" si="3"/>
        <v>262</v>
      </c>
      <c r="O13" s="42">
        <f>(D70*L70)-E13</f>
        <v>146</v>
      </c>
      <c r="P13" s="42">
        <f t="shared" si="4"/>
        <v>160</v>
      </c>
      <c r="Q13" s="42">
        <f>(C70*L70)-C13</f>
        <v>-1</v>
      </c>
      <c r="R13" s="42">
        <f t="shared" si="5"/>
        <v>567</v>
      </c>
      <c r="S13" s="30">
        <f t="shared" si="6"/>
        <v>316385367228</v>
      </c>
      <c r="T13" s="30">
        <f t="shared" si="7"/>
        <v>3969517680</v>
      </c>
      <c r="U13" s="31">
        <f t="shared" si="8"/>
        <v>79.70373046127861</v>
      </c>
    </row>
    <row r="14" spans="2:21" ht="30.75" customHeight="1">
      <c r="B14" s="32" t="str">
        <f>'Data Entry'!A14</f>
        <v xml:space="preserve">9. Cases Resulting in Confinement in Secure Juvenile Correctional Facilities </v>
      </c>
      <c r="C14" s="33">
        <f>'Data Entry'!C14</f>
        <v>6</v>
      </c>
      <c r="D14" s="34">
        <f>IF(((AND(C70&gt;0,C14&gt;0))), ((C14/(C70))),0)</f>
        <v>3.773584905660377</v>
      </c>
      <c r="E14" s="33">
        <f>'Data Entry'!J14</f>
        <v>8</v>
      </c>
      <c r="F14" s="34">
        <f>IF(((AND($D$70&gt;0,$E$14&gt;0))), (($E$14/($D$70))),0)</f>
        <v>1.9607843137254901</v>
      </c>
      <c r="G14" s="39">
        <f t="shared" si="0"/>
        <v>0.51960784313725494</v>
      </c>
      <c r="H14" s="40"/>
      <c r="I14" s="41"/>
      <c r="J14" s="40">
        <f>IF((ABS($U14)&gt;Defaults!D$7),1,2)</f>
        <v>2</v>
      </c>
      <c r="K14" s="39">
        <f>IF((AND(N14&gt;Defaults!B$12,(N14+O14)&gt;Defaults!B$13, P14 &gt; Defaults!B$12, (P14+Q14) &gt; Defaults!B$13)),1,20)</f>
        <v>1</v>
      </c>
      <c r="L14" s="1">
        <f t="shared" si="1"/>
        <v>2</v>
      </c>
      <c r="M14" s="1" t="b">
        <f t="shared" si="2"/>
        <v>1</v>
      </c>
      <c r="N14" s="42">
        <f t="shared" si="3"/>
        <v>8</v>
      </c>
      <c r="O14" s="42">
        <f>(D70*L70)-E14</f>
        <v>400</v>
      </c>
      <c r="P14" s="42">
        <f t="shared" si="4"/>
        <v>6</v>
      </c>
      <c r="Q14" s="42">
        <f>(C70*L70)-C14</f>
        <v>153</v>
      </c>
      <c r="R14" s="42">
        <f t="shared" si="5"/>
        <v>567</v>
      </c>
      <c r="S14" s="30">
        <f t="shared" si="6"/>
        <v>784147392</v>
      </c>
      <c r="T14" s="30">
        <f t="shared" si="7"/>
        <v>502239024</v>
      </c>
      <c r="U14" s="31">
        <f t="shared" si="8"/>
        <v>1.5613031933575914</v>
      </c>
    </row>
    <row r="15" spans="2:21" ht="15.75" customHeight="1">
      <c r="B15" s="32" t="str">
        <f>'Data Entry'!A15</f>
        <v xml:space="preserve">10. Cases Transferred to Adult Court </v>
      </c>
      <c r="C15" s="33">
        <f>'Data Entry'!C15</f>
        <v>1</v>
      </c>
      <c r="D15" s="34">
        <f>IF(((AND(C69&gt;0,C15&gt;0))),((C15/(C69))),0)</f>
        <v>0.24271844660194175</v>
      </c>
      <c r="E15" s="33">
        <f>'Data Entry'!J15</f>
        <v>3</v>
      </c>
      <c r="F15" s="34">
        <f>IF(((AND($D$69&gt;0,$E$15&gt;0))),(($E$15/($D$69))),0)</f>
        <v>0.35885167464114837</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3</v>
      </c>
      <c r="O15" s="42">
        <f>(D69*L69)-E15</f>
        <v>833</v>
      </c>
      <c r="P15" s="42">
        <f t="shared" si="4"/>
        <v>1</v>
      </c>
      <c r="Q15" s="42">
        <f>(C69*L69)-C15</f>
        <v>411</v>
      </c>
      <c r="R15" s="42">
        <f t="shared" si="5"/>
        <v>1248</v>
      </c>
      <c r="S15" s="30">
        <f t="shared" si="6"/>
        <v>199680000</v>
      </c>
      <c r="T15" s="30">
        <f t="shared" si="7"/>
        <v>1713893632</v>
      </c>
      <c r="U15" s="31">
        <f t="shared" si="8"/>
        <v>0.11650664677888248</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44.113999999999997</v>
      </c>
      <c r="D42" s="56">
        <f>E6/1000</f>
        <v>25.788</v>
      </c>
      <c r="E42" s="56">
        <f>MAX(C42:D42)</f>
        <v>44.113999999999997</v>
      </c>
      <c r="G42" s="1" t="str">
        <f>B42</f>
        <v>per 1000 youth</v>
      </c>
      <c r="L42" s="57">
        <v>1000</v>
      </c>
      <c r="M42" s="57"/>
      <c r="R42" s="49"/>
    </row>
    <row r="43" spans="2:18" ht="15" hidden="1" customHeight="1">
      <c r="B43" s="49" t="s">
        <v>87</v>
      </c>
      <c r="C43" s="56">
        <f>C7/100</f>
        <v>5.8</v>
      </c>
      <c r="D43" s="56">
        <f>E7/100</f>
        <v>7.32</v>
      </c>
      <c r="E43" s="56">
        <f>MAX(C43:D43,0)</f>
        <v>7.32</v>
      </c>
      <c r="G43" s="1" t="str">
        <f>B43</f>
        <v>per 100 arrests</v>
      </c>
      <c r="L43" s="57">
        <v>100</v>
      </c>
      <c r="M43" s="57"/>
      <c r="R43" s="49"/>
    </row>
    <row r="44" spans="2:18" ht="15" hidden="1" customHeight="1">
      <c r="B44" s="49" t="s">
        <v>88</v>
      </c>
      <c r="C44" s="56">
        <f>C8/100</f>
        <v>8.56</v>
      </c>
      <c r="D44" s="56">
        <f>E8/100</f>
        <v>12.51</v>
      </c>
      <c r="E44" s="56">
        <f>MAX(C44:D44,0)</f>
        <v>12.51</v>
      </c>
      <c r="G44" s="1" t="str">
        <f>B44</f>
        <v>per 100 referrals</v>
      </c>
      <c r="L44" s="57">
        <v>100</v>
      </c>
      <c r="M44" s="57"/>
      <c r="R44" s="49"/>
    </row>
    <row r="45" spans="2:18" ht="15" hidden="1" customHeight="1">
      <c r="B45" s="49" t="s">
        <v>89</v>
      </c>
      <c r="C45" s="49">
        <f>C11/100</f>
        <v>4.12</v>
      </c>
      <c r="D45" s="49">
        <f>E11/100</f>
        <v>8.36</v>
      </c>
      <c r="E45" s="56">
        <f>MAX(C45:D45,0)</f>
        <v>8.36</v>
      </c>
      <c r="G45" s="1" t="str">
        <f>B45</f>
        <v>per 100 youth petitioned</v>
      </c>
      <c r="L45" s="57">
        <v>100</v>
      </c>
      <c r="M45" s="57"/>
      <c r="R45" s="49"/>
    </row>
    <row r="46" spans="2:18" ht="15" hidden="1" customHeight="1">
      <c r="B46" s="49" t="s">
        <v>90</v>
      </c>
      <c r="C46" s="49">
        <f>C12/100</f>
        <v>1.59</v>
      </c>
      <c r="D46" s="49">
        <f>E12/100</f>
        <v>4.08</v>
      </c>
      <c r="E46" s="56">
        <f>MAX(C46:D46)</f>
        <v>4.08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44.113999999999997</v>
      </c>
      <c r="D48" s="56">
        <f>D42</f>
        <v>25.788</v>
      </c>
      <c r="E48" s="56">
        <f>MAX(C48:D48)</f>
        <v>44.113999999999997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5.8</v>
      </c>
      <c r="D49" s="49">
        <f t="shared" si="9"/>
        <v>7.32</v>
      </c>
      <c r="E49" s="49">
        <f>MAX(C49:D49)</f>
        <v>7.32</v>
      </c>
      <c r="G49" s="1" t="str">
        <f>G43</f>
        <v>per 100 arrests</v>
      </c>
      <c r="L49" s="58">
        <f>IF(($E43&gt;0),L43,L42)</f>
        <v>100</v>
      </c>
      <c r="M49" s="58"/>
      <c r="N49" s="21"/>
      <c r="O49" s="21"/>
      <c r="P49" s="21"/>
      <c r="Q49" s="21"/>
      <c r="R49" s="21"/>
    </row>
    <row r="50" spans="2:18" ht="15" hidden="1" customHeight="1">
      <c r="B50" s="49" t="str">
        <f t="shared" si="9"/>
        <v>per 100 referrals</v>
      </c>
      <c r="C50" s="49">
        <f t="shared" si="9"/>
        <v>8.56</v>
      </c>
      <c r="D50" s="49">
        <f t="shared" si="9"/>
        <v>12.51</v>
      </c>
      <c r="E50" s="49">
        <f>MAX(C50:D50)</f>
        <v>12.51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4.12</v>
      </c>
      <c r="D51" s="49">
        <f>IF(($E45&gt;0),D45,D44)</f>
        <v>8.36</v>
      </c>
      <c r="E51" s="49">
        <f>MAX(C51:D51)</f>
        <v>8.36</v>
      </c>
      <c r="G51" s="1" t="str">
        <f>G45</f>
        <v>per 100 youth petitioned</v>
      </c>
      <c r="L51" s="58">
        <f>IF(($E45&gt;0),L45,L44)</f>
        <v>100</v>
      </c>
      <c r="M51" s="58"/>
    </row>
    <row r="52" spans="2:18" ht="15" hidden="1" customHeight="1">
      <c r="B52" s="49" t="str">
        <f>IF(($E46&gt;0),B46,B45)</f>
        <v>per 100 youth found delinquent</v>
      </c>
      <c r="C52" s="49">
        <f>IF(($E46&gt;0),C46,C45)</f>
        <v>1.59</v>
      </c>
      <c r="D52" s="49">
        <f>IF(($E46&gt;0),D46,D45)</f>
        <v>4.08</v>
      </c>
      <c r="E52" s="56">
        <f>MAX(C52:D52)</f>
        <v>4.08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44.113999999999997</v>
      </c>
      <c r="D54" s="56">
        <f>D48</f>
        <v>25.788</v>
      </c>
      <c r="E54" s="56">
        <f>MAX(C54:D54)</f>
        <v>44.113999999999997</v>
      </c>
      <c r="G54" s="1" t="str">
        <f>G48</f>
        <v>per 1000 youth</v>
      </c>
      <c r="L54" s="58">
        <f>L48</f>
        <v>1000</v>
      </c>
      <c r="M54" s="58"/>
    </row>
    <row r="55" spans="2:18" ht="15" hidden="1" customHeight="1">
      <c r="B55" s="49" t="str">
        <f t="shared" ref="B55:D56" si="10">IF(($E49&gt;0),B49,B48)</f>
        <v>per 100 arrests</v>
      </c>
      <c r="C55" s="49">
        <f t="shared" si="10"/>
        <v>5.8</v>
      </c>
      <c r="D55" s="49">
        <f t="shared" si="10"/>
        <v>7.32</v>
      </c>
      <c r="E55" s="49">
        <f>MAX(C55:D55)</f>
        <v>7.32</v>
      </c>
      <c r="G55" s="1" t="str">
        <f>G49</f>
        <v>per 100 arrests</v>
      </c>
      <c r="L55" s="58">
        <f>IF(($E49&gt;0),L49,L48)</f>
        <v>100</v>
      </c>
      <c r="M55" s="58"/>
    </row>
    <row r="56" spans="2:18" ht="15" hidden="1" customHeight="1">
      <c r="B56" s="49" t="str">
        <f t="shared" si="10"/>
        <v>per 100 referrals</v>
      </c>
      <c r="C56" s="49">
        <f t="shared" si="10"/>
        <v>8.56</v>
      </c>
      <c r="D56" s="49">
        <f t="shared" si="10"/>
        <v>12.51</v>
      </c>
      <c r="E56" s="49">
        <f>MAX(C56:D56)</f>
        <v>12.51</v>
      </c>
      <c r="G56" s="1" t="str">
        <f>G50</f>
        <v>per 100 referrals</v>
      </c>
      <c r="L56" s="58">
        <f>IF(($E50&gt;0),L50,L49)</f>
        <v>100</v>
      </c>
      <c r="M56" s="58"/>
    </row>
    <row r="57" spans="2:18" ht="15" hidden="1" customHeight="1">
      <c r="B57" s="49" t="str">
        <f>IF(($E51&gt;0),B51,B49)</f>
        <v>per 100 youth petitioned</v>
      </c>
      <c r="C57" s="49">
        <f>IF(($E51&gt;0),C51,C50)</f>
        <v>4.12</v>
      </c>
      <c r="D57" s="49">
        <f>IF(($E51&gt;0),D51,D50)</f>
        <v>8.36</v>
      </c>
      <c r="E57" s="49">
        <f>MAX(C57:D57)</f>
        <v>8.36</v>
      </c>
      <c r="G57" s="1" t="str">
        <f>G51</f>
        <v>per 100 youth petitioned</v>
      </c>
      <c r="L57" s="58">
        <f>IF(($E51&gt;0),L51,L50)</f>
        <v>100</v>
      </c>
      <c r="M57" s="58"/>
    </row>
    <row r="58" spans="2:18" ht="15" hidden="1" customHeight="1">
      <c r="B58" s="49" t="str">
        <f>IF(($E52&gt;0),B52,B51)</f>
        <v>per 100 youth found delinquent</v>
      </c>
      <c r="C58" s="49">
        <f>IF(($E52&gt;0),C52,C51)</f>
        <v>1.59</v>
      </c>
      <c r="D58" s="49">
        <f>IF(($E52&gt;0),D52,D51)</f>
        <v>4.08</v>
      </c>
      <c r="E58" s="56">
        <f>MAX(C58:D58)</f>
        <v>4.08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44.113999999999997</v>
      </c>
      <c r="D60" s="56">
        <f>D54</f>
        <v>25.788</v>
      </c>
      <c r="E60" s="56">
        <f>MAX(C60:D60)</f>
        <v>44.113999999999997</v>
      </c>
      <c r="G60" s="1" t="str">
        <f>G54</f>
        <v>per 1000 youth</v>
      </c>
      <c r="L60" s="58">
        <f>L54</f>
        <v>1000</v>
      </c>
      <c r="M60" s="58"/>
    </row>
    <row r="61" spans="2:18" ht="15" hidden="1" customHeight="1">
      <c r="B61" s="49" t="str">
        <f t="shared" ref="B61:D62" si="11">IF(($E55&gt;0),B55,B54)</f>
        <v>per 100 arrests</v>
      </c>
      <c r="C61" s="49">
        <f t="shared" si="11"/>
        <v>5.8</v>
      </c>
      <c r="D61" s="49">
        <f t="shared" si="11"/>
        <v>7.32</v>
      </c>
      <c r="E61" s="49">
        <f>MAX(C61:D61)</f>
        <v>7.32</v>
      </c>
      <c r="G61" s="1" t="str">
        <f>G55</f>
        <v>per 100 arrests</v>
      </c>
      <c r="L61" s="58">
        <f>IF(($E55&gt;0),L55,L54)</f>
        <v>100</v>
      </c>
      <c r="M61" s="58"/>
    </row>
    <row r="62" spans="2:18" ht="15" hidden="1" customHeight="1">
      <c r="B62" s="49" t="str">
        <f t="shared" si="11"/>
        <v>per 100 referrals</v>
      </c>
      <c r="C62" s="49">
        <f t="shared" si="11"/>
        <v>8.56</v>
      </c>
      <c r="D62" s="49">
        <f t="shared" si="11"/>
        <v>12.51</v>
      </c>
      <c r="E62" s="49">
        <f>MAX(C62:D62)</f>
        <v>12.51</v>
      </c>
      <c r="G62" s="1" t="str">
        <f>G56</f>
        <v>per 100 referrals</v>
      </c>
      <c r="L62" s="58">
        <f>IF(($E56&gt;0),L56,L55)</f>
        <v>100</v>
      </c>
      <c r="M62" s="58"/>
    </row>
    <row r="63" spans="2:18" ht="15" hidden="1" customHeight="1">
      <c r="B63" s="49" t="str">
        <f>IF(($E57&gt;0),B57,B55)</f>
        <v>per 100 youth petitioned</v>
      </c>
      <c r="C63" s="49">
        <f>IF(($E57&gt;0),C57,C56)</f>
        <v>4.12</v>
      </c>
      <c r="D63" s="49">
        <f>IF(($E57&gt;0),D57,D56)</f>
        <v>8.36</v>
      </c>
      <c r="E63" s="49">
        <f>MAX(C63:D63)</f>
        <v>8.36</v>
      </c>
      <c r="G63" s="1" t="str">
        <f>G57</f>
        <v>per 100 youth petitioned</v>
      </c>
      <c r="L63" s="58">
        <f>IF(($E57&gt;0),L57,L56)</f>
        <v>100</v>
      </c>
      <c r="M63" s="58"/>
    </row>
    <row r="64" spans="2:18" ht="15" hidden="1" customHeight="1">
      <c r="B64" s="49" t="str">
        <f>IF(($E58&gt;0),B58,B57)</f>
        <v>per 100 youth found delinquent</v>
      </c>
      <c r="C64" s="49">
        <f>IF(($E58&gt;0),C58,C57)</f>
        <v>1.59</v>
      </c>
      <c r="D64" s="49">
        <f>IF(($E58&gt;0),D58,D57)</f>
        <v>4.08</v>
      </c>
      <c r="E64" s="56">
        <f>MAX(C64:D64)</f>
        <v>4.08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44.113999999999997</v>
      </c>
      <c r="D66" s="56">
        <f>D60</f>
        <v>25.788</v>
      </c>
      <c r="E66" s="56">
        <f>MAX(C66:D66)</f>
        <v>44.113999999999997</v>
      </c>
      <c r="G66" s="1" t="str">
        <f>G60</f>
        <v>per 1000 youth</v>
      </c>
      <c r="L66" s="58">
        <f>L60</f>
        <v>1000</v>
      </c>
      <c r="M66" s="58">
        <f>IF((B66=G66),1,2)</f>
        <v>1</v>
      </c>
    </row>
    <row r="67" spans="2:13" ht="15" hidden="1" customHeight="1">
      <c r="B67" s="49" t="str">
        <f t="shared" ref="B67:D68" si="12">IF(($E61&gt;0),B61,B60)</f>
        <v>per 100 arrests</v>
      </c>
      <c r="C67" s="49">
        <f t="shared" si="12"/>
        <v>5.8</v>
      </c>
      <c r="D67" s="49">
        <f t="shared" si="12"/>
        <v>7.32</v>
      </c>
      <c r="E67" s="49">
        <f>MAX(C67:D67)</f>
        <v>7.32</v>
      </c>
      <c r="G67" s="1" t="str">
        <f>G61</f>
        <v>per 100 arrests</v>
      </c>
      <c r="L67" s="58">
        <f>IF(($E61&gt;0),L61,L60)</f>
        <v>100</v>
      </c>
      <c r="M67" s="58">
        <f>IF((B67=G67),1,2)</f>
        <v>1</v>
      </c>
    </row>
    <row r="68" spans="2:13" ht="15" hidden="1" customHeight="1">
      <c r="B68" s="49" t="str">
        <f t="shared" si="12"/>
        <v>per 100 referrals</v>
      </c>
      <c r="C68" s="49">
        <f t="shared" si="12"/>
        <v>8.56</v>
      </c>
      <c r="D68" s="49">
        <f t="shared" si="12"/>
        <v>12.51</v>
      </c>
      <c r="E68" s="49">
        <f>MAX(C68:D68)</f>
        <v>12.51</v>
      </c>
      <c r="G68" s="1" t="str">
        <f>G62</f>
        <v>per 100 referrals</v>
      </c>
      <c r="L68" s="58">
        <f>IF(($E62&gt;0),L62,L61)</f>
        <v>100</v>
      </c>
      <c r="M68" s="58">
        <f>IF((B68=G68),1,2)</f>
        <v>1</v>
      </c>
    </row>
    <row r="69" spans="2:13" ht="15" hidden="1" customHeight="1">
      <c r="B69" s="49" t="str">
        <f>IF(($E63&gt;0),B63,B61)</f>
        <v>per 100 youth petitioned</v>
      </c>
      <c r="C69" s="49">
        <f>IF(($E63&gt;0),C63,C62)</f>
        <v>4.12</v>
      </c>
      <c r="D69" s="49">
        <f>IF(($E63&gt;0),D63,D62)</f>
        <v>8.36</v>
      </c>
      <c r="E69" s="49">
        <f>MAX(C69:D69)</f>
        <v>8.36</v>
      </c>
      <c r="G69" s="1" t="str">
        <f>G63</f>
        <v>per 100 youth petitioned</v>
      </c>
      <c r="L69" s="58">
        <f>IF(($E63&gt;0),L63,L62)</f>
        <v>100</v>
      </c>
      <c r="M69" s="58">
        <f>IF((B69=G69),1,2)</f>
        <v>1</v>
      </c>
    </row>
    <row r="70" spans="2:13" ht="15" hidden="1" customHeight="1">
      <c r="B70" s="49" t="str">
        <f>IF(($E64&gt;0),B64,B63)</f>
        <v>per 100 youth found delinquent</v>
      </c>
      <c r="C70" s="49">
        <f>IF(($E64&gt;0),C64,C63)</f>
        <v>1.59</v>
      </c>
      <c r="D70" s="49">
        <f>IF(($E64&gt;0),D64,D63)</f>
        <v>4.08</v>
      </c>
      <c r="E70" s="56">
        <f>MAX(C70:D70)</f>
        <v>4.08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Kent</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4.9560681010469692</v>
      </c>
      <c r="D7" s="72">
        <f>Hispanic!G7</f>
        <v>0.39544155693709687</v>
      </c>
      <c r="E7" s="72">
        <f>Asian!G7</f>
        <v>0.23220067374725117</v>
      </c>
      <c r="F7" s="72" t="str">
        <f>Hawaiian!G7</f>
        <v>*</v>
      </c>
      <c r="G7" s="72" t="str">
        <f>'Am Indian'!G7</f>
        <v>*</v>
      </c>
      <c r="H7" s="72" t="str">
        <f>'Other - Mixed'!G7</f>
        <v>*</v>
      </c>
      <c r="I7" s="73">
        <f>'All Minorities'!G7</f>
        <v>2.158946422554195</v>
      </c>
      <c r="L7" s="1">
        <f>'Black or African-American'!L7</f>
        <v>1</v>
      </c>
      <c r="M7" s="1">
        <f>Hispanic!L7</f>
        <v>1</v>
      </c>
      <c r="N7" s="1">
        <f>Asian!L7</f>
        <v>1</v>
      </c>
      <c r="O7" s="1" t="e">
        <f>Hawaiian!L7</f>
        <v>#VALUE!</v>
      </c>
      <c r="P7" s="1">
        <f>'Am Indian'!L7</f>
        <v>139</v>
      </c>
      <c r="Q7" s="1" t="e">
        <f>'Other - Mixed'!L7</f>
        <v>#VALUE!</v>
      </c>
      <c r="R7" s="1">
        <f>'All Minorities'!L7</f>
        <v>1</v>
      </c>
    </row>
    <row r="8" spans="2:18" ht="15" customHeight="1">
      <c r="B8" s="71" t="s">
        <v>9</v>
      </c>
      <c r="C8" s="72">
        <f>'Black or African-American'!$G8</f>
        <v>1.006527787686381</v>
      </c>
      <c r="D8" s="72">
        <f>Hispanic!G8</f>
        <v>1.3447160316319196</v>
      </c>
      <c r="E8" s="72" t="str">
        <f>Asian!G8</f>
        <v>**</v>
      </c>
      <c r="F8" s="72" t="str">
        <f>Hawaiian!G8</f>
        <v>*</v>
      </c>
      <c r="G8" s="72" t="str">
        <f>'Am Indian'!G8</f>
        <v>*</v>
      </c>
      <c r="H8" s="72" t="str">
        <f>'Other - Mixed'!G8</f>
        <v>*</v>
      </c>
      <c r="I8" s="73">
        <f>'All Minorities'!G8</f>
        <v>1.1579783974260764</v>
      </c>
      <c r="L8" s="1">
        <f>'Black or African-American'!L8</f>
        <v>2</v>
      </c>
      <c r="M8" s="1">
        <f>Hispanic!L8</f>
        <v>1</v>
      </c>
      <c r="N8" s="1">
        <f>Asian!L8</f>
        <v>20</v>
      </c>
      <c r="O8" s="1">
        <f>Hawaiian!L8</f>
        <v>139</v>
      </c>
      <c r="P8" s="1">
        <f>'Am Indian'!L8</f>
        <v>119</v>
      </c>
      <c r="Q8" s="1">
        <f>'Other - Mixed'!L8</f>
        <v>119</v>
      </c>
      <c r="R8" s="1">
        <f>'All Minorities'!L8</f>
        <v>1</v>
      </c>
    </row>
    <row r="9" spans="2:18" ht="15" customHeight="1">
      <c r="B9" s="71" t="s">
        <v>10</v>
      </c>
      <c r="C9" s="72">
        <f>'Black or African-American'!$G9</f>
        <v>0.38527129035687707</v>
      </c>
      <c r="D9" s="72">
        <f>Hispanic!G9</f>
        <v>0.64068430900828655</v>
      </c>
      <c r="E9" s="72" t="str">
        <f>Asian!G9</f>
        <v>**</v>
      </c>
      <c r="F9" s="72" t="str">
        <f>Hawaiian!G9</f>
        <v>*</v>
      </c>
      <c r="G9" s="72" t="str">
        <f>'Am Indian'!G9</f>
        <v>*</v>
      </c>
      <c r="H9" s="72" t="str">
        <f>'Other - Mixed'!G9</f>
        <v>*</v>
      </c>
      <c r="I9" s="73">
        <f>'All Minorities'!G9</f>
        <v>0.43414647592271016</v>
      </c>
      <c r="L9" s="1">
        <f>'Black or African-American'!L9</f>
        <v>1</v>
      </c>
      <c r="M9" s="1">
        <f>Hispanic!L9</f>
        <v>1</v>
      </c>
      <c r="N9" s="1">
        <f>Asian!L9</f>
        <v>20</v>
      </c>
      <c r="O9" s="1" t="e">
        <f>Hawaiian!L9</f>
        <v>#VALUE!</v>
      </c>
      <c r="P9" s="1">
        <f>'Am Indian'!L9</f>
        <v>139</v>
      </c>
      <c r="Q9" s="1">
        <f>'Other - Mixed'!L9</f>
        <v>100</v>
      </c>
      <c r="R9" s="1">
        <f>'All Minorities'!L9</f>
        <v>1</v>
      </c>
    </row>
    <row r="10" spans="2:18" ht="15" customHeight="1">
      <c r="B10" s="71" t="s">
        <v>11</v>
      </c>
      <c r="C10" s="72">
        <f>'Black or African-American'!$G10</f>
        <v>2.6979102432339843</v>
      </c>
      <c r="D10" s="72">
        <f>Hispanic!G10</f>
        <v>3.5390180878552973</v>
      </c>
      <c r="E10" s="72" t="str">
        <f>Asian!G10</f>
        <v>**</v>
      </c>
      <c r="F10" s="72" t="str">
        <f>Hawaiian!G10</f>
        <v>*</v>
      </c>
      <c r="G10" s="72" t="str">
        <f>'Am Indian'!G10</f>
        <v>*</v>
      </c>
      <c r="H10" s="72" t="str">
        <f>'Other - Mixed'!G10</f>
        <v>*</v>
      </c>
      <c r="I10" s="73">
        <f>'All Minorities'!G10</f>
        <v>2.8992036000828971</v>
      </c>
      <c r="L10" s="1">
        <f>'Black or African-American'!L10</f>
        <v>1</v>
      </c>
      <c r="M10" s="1">
        <f>Hispanic!L10</f>
        <v>1</v>
      </c>
      <c r="N10" s="1">
        <f>Asian!L10</f>
        <v>40</v>
      </c>
      <c r="O10" s="1" t="e">
        <f>Hawaiian!L10</f>
        <v>#VALUE!</v>
      </c>
      <c r="P10" s="1">
        <f>'Am Indian'!L10</f>
        <v>139</v>
      </c>
      <c r="Q10" s="1">
        <f>'Other - Mixed'!L10</f>
        <v>100</v>
      </c>
      <c r="R10" s="1">
        <f>'All Minorities'!L10</f>
        <v>1</v>
      </c>
    </row>
    <row r="11" spans="2:18" ht="15" customHeight="1">
      <c r="B11" s="71" t="s">
        <v>95</v>
      </c>
      <c r="C11" s="72">
        <f>'Black or African-American'!$G11</f>
        <v>1.4840499306518726</v>
      </c>
      <c r="D11" s="72">
        <f>Hispanic!G11</f>
        <v>0.95025212613833066</v>
      </c>
      <c r="E11" s="72" t="str">
        <f>Asian!G11</f>
        <v>**</v>
      </c>
      <c r="F11" s="72" t="str">
        <f>Hawaiian!G11</f>
        <v>*</v>
      </c>
      <c r="G11" s="72" t="str">
        <f>'Am Indian'!G11</f>
        <v>*</v>
      </c>
      <c r="H11" s="72" t="str">
        <f>'Other - Mixed'!G11</f>
        <v>*</v>
      </c>
      <c r="I11" s="73">
        <f>'All Minorities'!G11</f>
        <v>1.3884348831614324</v>
      </c>
      <c r="L11" s="1">
        <f>'Black or African-American'!L11</f>
        <v>1</v>
      </c>
      <c r="M11" s="1">
        <f>Hispanic!L11</f>
        <v>2</v>
      </c>
      <c r="N11" s="1">
        <f>Asian!L11</f>
        <v>20</v>
      </c>
      <c r="O11" s="1" t="e">
        <f>Hawaiian!L11</f>
        <v>#VALUE!</v>
      </c>
      <c r="P11" s="1">
        <f>'Am Indian'!L11</f>
        <v>139</v>
      </c>
      <c r="Q11" s="1">
        <f>'Other - Mixed'!L11</f>
        <v>101</v>
      </c>
      <c r="R11" s="1">
        <f>'All Minorities'!L11</f>
        <v>1</v>
      </c>
    </row>
    <row r="12" spans="2:18" ht="15" customHeight="1">
      <c r="B12" s="71" t="s">
        <v>13</v>
      </c>
      <c r="C12" s="72">
        <f>'Black or African-American'!$G12</f>
        <v>1.185611510791367</v>
      </c>
      <c r="D12" s="72">
        <f>Hispanic!G12</f>
        <v>1.6689052339835841</v>
      </c>
      <c r="E12" s="72" t="str">
        <f>Asian!G12</f>
        <v>**</v>
      </c>
      <c r="F12" s="72" t="str">
        <f>Hawaiian!G12</f>
        <v>*</v>
      </c>
      <c r="G12" s="72" t="str">
        <f>'Am Indian'!G12</f>
        <v>*</v>
      </c>
      <c r="H12" s="72" t="str">
        <f>'Other - Mixed'!G12</f>
        <v>*</v>
      </c>
      <c r="I12" s="73">
        <f>'All Minorities'!G12</f>
        <v>1.2646023291504922</v>
      </c>
      <c r="L12" s="1">
        <f>'Black or African-American'!L12</f>
        <v>1</v>
      </c>
      <c r="M12" s="1">
        <f>Hispanic!L12</f>
        <v>1</v>
      </c>
      <c r="N12" s="1">
        <f>Asian!L12</f>
        <v>20</v>
      </c>
      <c r="O12" s="1" t="e">
        <f>Hawaiian!L12</f>
        <v>#VALUE!</v>
      </c>
      <c r="P12" s="1">
        <f>'Am Indian'!L12</f>
        <v>139</v>
      </c>
      <c r="Q12" s="1">
        <f>'Other - Mixed'!L12</f>
        <v>100</v>
      </c>
      <c r="R12" s="1">
        <f>'All Minorities'!L12</f>
        <v>1</v>
      </c>
    </row>
    <row r="13" spans="2:18" ht="15" customHeight="1">
      <c r="B13" s="71" t="s">
        <v>14</v>
      </c>
      <c r="C13" s="72">
        <f>'Black or African-American'!$G13</f>
        <v>0.58750000000000002</v>
      </c>
      <c r="D13" s="72">
        <f>Hispanic!G13</f>
        <v>0.78453947368421062</v>
      </c>
      <c r="E13" s="72" t="str">
        <f>Asian!G13</f>
        <v>**</v>
      </c>
      <c r="F13" s="72" t="str">
        <f>Hawaiian!G13</f>
        <v>*</v>
      </c>
      <c r="G13" s="72" t="str">
        <f>'Am Indian'!G13</f>
        <v>*</v>
      </c>
      <c r="H13" s="72" t="str">
        <f>'Other - Mixed'!G13</f>
        <v>*</v>
      </c>
      <c r="I13" s="73">
        <f>'All Minorities'!G13</f>
        <v>0.63814338235294121</v>
      </c>
      <c r="L13" s="1">
        <f>'Black or African-American'!L13</f>
        <v>1</v>
      </c>
      <c r="M13" s="1">
        <f>Hispanic!L13</f>
        <v>1</v>
      </c>
      <c r="N13" s="1">
        <f>Asian!L13</f>
        <v>20</v>
      </c>
      <c r="O13" s="1" t="e">
        <f>Hawaiian!L13</f>
        <v>#VALUE!</v>
      </c>
      <c r="P13" s="1" t="e">
        <f>'Am Indian'!L13</f>
        <v>#DIV/0!</v>
      </c>
      <c r="Q13" s="1">
        <f>'Other - Mixed'!L13</f>
        <v>101</v>
      </c>
      <c r="R13" s="1">
        <f>'All Minorities'!L13</f>
        <v>1</v>
      </c>
    </row>
    <row r="14" spans="2:18" ht="25.5" customHeight="1">
      <c r="B14" s="71" t="s">
        <v>15</v>
      </c>
      <c r="C14" s="72">
        <f>'Black or African-American'!$G14</f>
        <v>0.66666666666666674</v>
      </c>
      <c r="D14" s="72" t="str">
        <f>Hispanic!G14</f>
        <v>**</v>
      </c>
      <c r="E14" s="72" t="str">
        <f>Asian!G14</f>
        <v>**</v>
      </c>
      <c r="F14" s="72" t="str">
        <f>Hawaiian!G14</f>
        <v>*</v>
      </c>
      <c r="G14" s="72" t="str">
        <f>'Am Indian'!G14</f>
        <v>*</v>
      </c>
      <c r="H14" s="72" t="str">
        <f>'Other - Mixed'!G14</f>
        <v>*</v>
      </c>
      <c r="I14" s="73">
        <f>'All Minorities'!G14</f>
        <v>0.51960784313725494</v>
      </c>
      <c r="L14" s="1">
        <f>'Black or African-American'!L14</f>
        <v>2</v>
      </c>
      <c r="M14" s="1">
        <f>Hispanic!L14</f>
        <v>40</v>
      </c>
      <c r="N14" s="1">
        <f>Asian!L14</f>
        <v>40</v>
      </c>
      <c r="O14" s="1" t="e">
        <f>Hawaiian!L14</f>
        <v>#VALUE!</v>
      </c>
      <c r="P14" s="1" t="e">
        <f>'Am Indian'!L14</f>
        <v>#VALUE!</v>
      </c>
      <c r="Q14" s="1">
        <f>'Other - Mixed'!L14</f>
        <v>139</v>
      </c>
      <c r="R14" s="1">
        <f>'All Minorities'!L14</f>
        <v>2</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f>Hispanic!L15</f>
        <v>40</v>
      </c>
      <c r="N15" s="1">
        <f>Asian!L15</f>
        <v>40</v>
      </c>
      <c r="O15" s="1" t="e">
        <f>Hawaiian!L15</f>
        <v>#VALUE!</v>
      </c>
      <c r="P15" s="1">
        <f>'Am Indian'!L15</f>
        <v>139</v>
      </c>
      <c r="Q15" s="1">
        <f>'Other - Mixed'!L15</f>
        <v>139</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69902</v>
      </c>
      <c r="D3" s="57">
        <f>'Data Entry'!C6</f>
        <v>44114</v>
      </c>
      <c r="E3" s="57">
        <f>'Data Entry'!D6</f>
        <v>10052</v>
      </c>
      <c r="F3" s="57">
        <f>'Data Entry'!E6</f>
        <v>12502</v>
      </c>
      <c r="G3" s="57">
        <f>'Data Entry'!F6</f>
        <v>2948</v>
      </c>
      <c r="H3" s="57">
        <f>'Data Entry'!G6</f>
        <v>0</v>
      </c>
      <c r="I3" s="57">
        <f>'Data Entry'!H6</f>
        <v>286</v>
      </c>
      <c r="J3" s="57">
        <f>'Data Entry'!I6</f>
        <v>0</v>
      </c>
      <c r="K3" s="57">
        <f>'Data Entry'!J6</f>
        <v>25788</v>
      </c>
    </row>
    <row r="4" spans="2:11" ht="15" customHeight="1">
      <c r="B4" s="16" t="s">
        <v>8</v>
      </c>
      <c r="C4" s="1">
        <f>IF((C$3&gt;0),(1000*('Data Entry'!B7/'Data Entry'!B$6)), 0)</f>
        <v>19.212611942433696</v>
      </c>
      <c r="D4" s="1">
        <f>IF((D$3&gt;0),(1000*('Data Entry'!C7/'Data Entry'!C$6)), 0)</f>
        <v>13.147753547626603</v>
      </c>
      <c r="E4" s="1">
        <f>IF((E$3&gt;0),(1000*('Data Entry'!D7/'Data Entry'!D$6)), 0)</f>
        <v>65.161161957819331</v>
      </c>
      <c r="F4" s="1">
        <f>IF((F$3&gt;0),(1000*('Data Entry'!E7/'Data Entry'!E$6)), 0)</f>
        <v>5.1991681330987047</v>
      </c>
      <c r="G4" s="1">
        <f>IF((G$3&gt;0),(1000*('Data Entry'!F7/'Data Entry'!F$6)), 0)</f>
        <v>3.0529172320217097</v>
      </c>
      <c r="H4" s="1">
        <f>IF((H$3&gt;0),(1000*('Data Entry'!G7/'Data Entry'!G$6)), 0)</f>
        <v>0</v>
      </c>
      <c r="I4" s="1">
        <f>IF((I$3&gt;0),(1000*('Data Entry'!H7/'Data Entry'!H$6)), 0)</f>
        <v>10.48951048951049</v>
      </c>
      <c r="J4" s="1">
        <f>IF((J$3&gt;0),(1000*('Data Entry'!I7/'Data Entry'!I$6)), 0)</f>
        <v>0</v>
      </c>
      <c r="K4" s="1">
        <f>IF((K$3&gt;0),(1000*('Data Entry'!J7/'Data Entry'!J$6)), 0)</f>
        <v>28.385295486272685</v>
      </c>
    </row>
    <row r="5" spans="2:11" ht="15" customHeight="1">
      <c r="B5" s="16" t="s">
        <v>9</v>
      </c>
      <c r="C5" s="1">
        <f>IF((C$3&gt;0),(1000*('Data Entry'!B8/'Data Entry'!B$6)), 0)</f>
        <v>30.285256501959886</v>
      </c>
      <c r="D5" s="1">
        <f>IF((D$3&gt;0),(1000*('Data Entry'!C8/'Data Entry'!C$6)), 0)</f>
        <v>19.40427075304892</v>
      </c>
      <c r="E5" s="1">
        <f>IF((E$3&gt;0),(1000*('Data Entry'!D8/'Data Entry'!D$6)), 0)</f>
        <v>96.796657381615589</v>
      </c>
      <c r="F5" s="1">
        <f>IF((F$3&gt;0),(1000*('Data Entry'!E8/'Data Entry'!E$6)), 0)</f>
        <v>10.318349064149738</v>
      </c>
      <c r="G5" s="1">
        <f>IF((G$3&gt;0),(1000*('Data Entry'!F8/'Data Entry'!F$6)), 0)</f>
        <v>9.4979647218453191</v>
      </c>
      <c r="H5" s="1">
        <f>IF((H$3&gt;0),(1000*('Data Entry'!G8/'Data Entry'!G$6)), 0)</f>
        <v>0</v>
      </c>
      <c r="I5" s="1">
        <f>IF((I$3&gt;0),(1000*('Data Entry'!H8/'Data Entry'!H$6)), 0)</f>
        <v>45.454545454545453</v>
      </c>
      <c r="J5" s="1">
        <f>IF((J$3&gt;0),(1000*('Data Entry'!I8/'Data Entry'!I$6)), 0)</f>
        <v>0</v>
      </c>
      <c r="K5" s="1">
        <f>IF((K$3&gt;0),(1000*('Data Entry'!J8/'Data Entry'!J$6)), 0)</f>
        <v>48.510935318752914</v>
      </c>
    </row>
    <row r="6" spans="2:11" ht="15" customHeight="1">
      <c r="B6" s="16" t="s">
        <v>10</v>
      </c>
      <c r="C6" s="1">
        <f>IF((C$3&gt;0),(1000*('Data Entry'!B9/'Data Entry'!B$6)), 0)</f>
        <v>6.8238390890103284</v>
      </c>
      <c r="D6" s="1">
        <f>IF((D$3&gt;0),(1000*('Data Entry'!C9/'Data Entry'!C$6)), 0)</f>
        <v>6.5738767738133017</v>
      </c>
      <c r="E6" s="1">
        <f>IF((E$3&gt;0),(1000*('Data Entry'!D9/'Data Entry'!D$6)), 0)</f>
        <v>12.634301631516117</v>
      </c>
      <c r="F6" s="1">
        <f>IF((F$3&gt;0),(1000*('Data Entry'!E9/'Data Entry'!E$6)), 0)</f>
        <v>2.2396416573348263</v>
      </c>
      <c r="G6" s="1">
        <f>IF((G$3&gt;0),(1000*('Data Entry'!F9/'Data Entry'!F$6)), 0)</f>
        <v>1.0176390773405699</v>
      </c>
      <c r="H6" s="1">
        <f>IF((H$3&gt;0),(1000*('Data Entry'!G9/'Data Entry'!G$6)), 0)</f>
        <v>0</v>
      </c>
      <c r="I6" s="1">
        <f>IF((I$3&gt;0),(1000*('Data Entry'!H9/'Data Entry'!H$6)), 0)</f>
        <v>10.48951048951049</v>
      </c>
      <c r="J6" s="1">
        <f>IF((J$3&gt;0),(1000*('Data Entry'!I9/'Data Entry'!I$6)), 0)</f>
        <v>0</v>
      </c>
      <c r="K6" s="1">
        <f>IF((K$3&gt;0),(1000*('Data Entry'!J9/'Data Entry'!J$6)), 0)</f>
        <v>7.1351015976423149</v>
      </c>
    </row>
    <row r="7" spans="2:11" ht="15" customHeight="1">
      <c r="B7" s="16" t="s">
        <v>11</v>
      </c>
      <c r="C7" s="1">
        <f>IF((C$3&gt;0),(1000*('Data Entry'!B10/'Data Entry'!B$6)), 0)</f>
        <v>10.142771308403194</v>
      </c>
      <c r="D7" s="1">
        <f>IF((D$3&gt;0),(1000*('Data Entry'!C10/'Data Entry'!C$6)), 0)</f>
        <v>3.0602529809130887</v>
      </c>
      <c r="E7" s="1">
        <f>IF((E$3&gt;0),(1000*('Data Entry'!D10/'Data Entry'!D$6)), 0)</f>
        <v>41.185833664942301</v>
      </c>
      <c r="F7" s="1">
        <f>IF((F$3&gt;0),(1000*('Data Entry'!E10/'Data Entry'!E$6)), 0)</f>
        <v>5.7590785474324111</v>
      </c>
      <c r="G7" s="1">
        <f>IF((G$3&gt;0),(1000*('Data Entry'!F10/'Data Entry'!F$6)), 0)</f>
        <v>2.0352781546811398</v>
      </c>
      <c r="H7" s="1">
        <f>IF((H$3&gt;0),(1000*('Data Entry'!G10/'Data Entry'!G$6)), 0)</f>
        <v>0</v>
      </c>
      <c r="I7" s="1">
        <f>IF((I$3&gt;0),(1000*('Data Entry'!H10/'Data Entry'!H$6)), 0)</f>
        <v>10.48951048951049</v>
      </c>
      <c r="J7" s="1">
        <f>IF((J$3&gt;0),(1000*('Data Entry'!I10/'Data Entry'!I$6)), 0)</f>
        <v>0</v>
      </c>
      <c r="K7" s="1">
        <f>IF((K$3&gt;0),(1000*('Data Entry'!J10/'Data Entry'!J$6)), 0)</f>
        <v>22.180859314409805</v>
      </c>
    </row>
    <row r="8" spans="2:11" ht="15" customHeight="1">
      <c r="B8" s="16" t="s">
        <v>95</v>
      </c>
      <c r="C8" s="1">
        <f>IF((C$3&gt;0),(1000*('Data Entry'!B11/'Data Entry'!B$6)), 0)</f>
        <v>17.89648364853652</v>
      </c>
      <c r="D8" s="1">
        <f>IF((D$3&gt;0),(1000*('Data Entry'!C11/'Data Entry'!C$6)), 0)</f>
        <v>9.339438726934759</v>
      </c>
      <c r="E8" s="1">
        <f>IF((E$3&gt;0),(1000*('Data Entry'!D11/'Data Entry'!D$6)), 0)</f>
        <v>69.140469558296857</v>
      </c>
      <c r="F8" s="1">
        <f>IF((F$3&gt;0),(1000*('Data Entry'!E11/'Data Entry'!E$6)), 0)</f>
        <v>4.7192449208126703</v>
      </c>
      <c r="G8" s="1">
        <f>IF((G$3&gt;0),(1000*('Data Entry'!F11/'Data Entry'!F$6)), 0)</f>
        <v>6.445047489823609</v>
      </c>
      <c r="H8" s="1">
        <f>IF((H$3&gt;0),(1000*('Data Entry'!G11/'Data Entry'!G$6)), 0)</f>
        <v>0</v>
      </c>
      <c r="I8" s="1">
        <f>IF((I$3&gt;0),(1000*('Data Entry'!H11/'Data Entry'!H$6)), 0)</f>
        <v>10.48951048951049</v>
      </c>
      <c r="J8" s="1">
        <f>IF((J$3&gt;0),(1000*('Data Entry'!I11/'Data Entry'!I$6)), 0)</f>
        <v>0</v>
      </c>
      <c r="K8" s="1">
        <f>IF((K$3&gt;0),(1000*('Data Entry'!J11/'Data Entry'!J$6)), 0)</f>
        <v>32.418178997983553</v>
      </c>
    </row>
    <row r="9" spans="2:11" ht="15" customHeight="1">
      <c r="B9" s="16" t="s">
        <v>13</v>
      </c>
      <c r="C9" s="1">
        <f>IF((C$3&gt;0),(1000*('Data Entry'!B12/'Data Entry'!B$6)), 0)</f>
        <v>8.1542731252324678</v>
      </c>
      <c r="D9" s="1">
        <f>IF((D$3&gt;0),(1000*('Data Entry'!C12/'Data Entry'!C$6)), 0)</f>
        <v>3.6042979552976382</v>
      </c>
      <c r="E9" s="1">
        <f>IF((E$3&gt;0),(1000*('Data Entry'!D12/'Data Entry'!D$6)), 0)</f>
        <v>31.635495423796261</v>
      </c>
      <c r="F9" s="1">
        <f>IF((F$3&gt;0),(1000*('Data Entry'!E12/'Data Entry'!E$6)), 0)</f>
        <v>3.0395136778115504</v>
      </c>
      <c r="G9" s="1">
        <f>IF((G$3&gt;0),(1000*('Data Entry'!F12/'Data Entry'!F$6)), 0)</f>
        <v>4.4097693351424692</v>
      </c>
      <c r="H9" s="1">
        <f>IF((H$3&gt;0),(1000*('Data Entry'!G12/'Data Entry'!G$6)), 0)</f>
        <v>0</v>
      </c>
      <c r="I9" s="1">
        <f>IF((I$3&gt;0),(1000*('Data Entry'!H12/'Data Entry'!H$6)), 0)</f>
        <v>0</v>
      </c>
      <c r="J9" s="1">
        <f>IF((J$3&gt;0),(1000*('Data Entry'!I12/'Data Entry'!I$6)), 0)</f>
        <v>0</v>
      </c>
      <c r="K9" s="1">
        <f>IF((K$3&gt;0),(1000*('Data Entry'!J12/'Data Entry'!J$6)), 0)</f>
        <v>15.82131223825035</v>
      </c>
    </row>
    <row r="10" spans="2:11" ht="15" customHeight="1">
      <c r="B10" s="16" t="s">
        <v>14</v>
      </c>
      <c r="C10" s="1">
        <f>IF((C$3&gt;0),(1000*('Data Entry'!B13/'Data Entry'!B$6)), 0)</f>
        <v>6.0799404881119283</v>
      </c>
      <c r="D10" s="1">
        <f>IF((D$3&gt;0),(1000*('Data Entry'!C13/'Data Entry'!C$6)), 0)</f>
        <v>3.626966495896994</v>
      </c>
      <c r="E10" s="1">
        <f>IF((E$3&gt;0),(1000*('Data Entry'!D13/'Data Entry'!D$6)), 0)</f>
        <v>18.70274572224433</v>
      </c>
      <c r="F10" s="1">
        <f>IF((F$3&gt;0),(1000*('Data Entry'!E13/'Data Entry'!E$6)), 0)</f>
        <v>2.3996160614301711</v>
      </c>
      <c r="G10" s="1">
        <f>IF((G$3&gt;0),(1000*('Data Entry'!F13/'Data Entry'!F$6)), 0)</f>
        <v>1.0176390773405699</v>
      </c>
      <c r="H10" s="1">
        <f>IF((H$3&gt;0),(1000*('Data Entry'!G13/'Data Entry'!G$6)), 0)</f>
        <v>0</v>
      </c>
      <c r="I10" s="1">
        <f>IF((I$3&gt;0),(1000*('Data Entry'!H13/'Data Entry'!H$6)), 0)</f>
        <v>3.4965034965034967</v>
      </c>
      <c r="J10" s="1">
        <f>IF((J$3&gt;0),(1000*('Data Entry'!I13/'Data Entry'!I$6)), 0)</f>
        <v>0</v>
      </c>
      <c r="K10" s="1">
        <f>IF((K$3&gt;0),(1000*('Data Entry'!J13/'Data Entry'!J$6)), 0)</f>
        <v>10.159764231425468</v>
      </c>
    </row>
    <row r="11" spans="2:11" ht="25.5" customHeight="1">
      <c r="B11" s="16" t="s">
        <v>15</v>
      </c>
      <c r="C11" s="1">
        <f>IF((C$3&gt;0),(1000*('Data Entry'!B14/'Data Entry'!B$6)), 0)</f>
        <v>0.20028039254956939</v>
      </c>
      <c r="D11" s="1">
        <f>IF((D$3&gt;0),(1000*('Data Entry'!C14/'Data Entry'!C$6)), 0)</f>
        <v>0.13601124359613728</v>
      </c>
      <c r="E11" s="1">
        <f>IF((E$3&gt;0),(1000*('Data Entry'!D14/'Data Entry'!D$6)), 0)</f>
        <v>0.79586152009550337</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0.31022180859314413</v>
      </c>
    </row>
    <row r="12" spans="2:11" ht="15" customHeight="1">
      <c r="B12" s="16" t="s">
        <v>16</v>
      </c>
      <c r="C12" s="1">
        <f>IF((C$3&gt;0),(1000*('Data Entry'!B15/'Data Entry'!B$6)), 0)</f>
        <v>5.7222969299876969E-2</v>
      </c>
      <c r="D12" s="1">
        <f>IF((D$3&gt;0),(1000*('Data Entry'!C15/'Data Entry'!C$6)), 0)</f>
        <v>2.2668540599356215E-2</v>
      </c>
      <c r="E12" s="1">
        <f>IF((E$3&gt;0),(1000*('Data Entry'!D15/'Data Entry'!D$6)), 0)</f>
        <v>0.29844807003581375</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0.11633317822242904</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Kent</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4.9560681010469692</v>
      </c>
      <c r="E19" s="72">
        <f t="shared" si="1"/>
        <v>0.39544155693709704</v>
      </c>
      <c r="F19" s="72">
        <f t="shared" si="1"/>
        <v>0.23220067374725123</v>
      </c>
      <c r="G19" s="72" t="str">
        <f t="shared" si="1"/>
        <v>--</v>
      </c>
      <c r="H19" s="72">
        <f t="shared" si="1"/>
        <v>0.79781769954183757</v>
      </c>
      <c r="I19" s="72" t="str">
        <f t="shared" si="1"/>
        <v>--</v>
      </c>
      <c r="J19" s="73">
        <f t="shared" si="1"/>
        <v>2.1589464225541954</v>
      </c>
    </row>
    <row r="20" spans="2:10" ht="15" customHeight="1">
      <c r="B20" s="71" t="s">
        <v>9</v>
      </c>
      <c r="C20" s="72">
        <f t="shared" ref="C20:J27" si="2">IF(AND(($D5&gt;0),(D5&gt;0)), (D5/$D5),"--")</f>
        <v>1</v>
      </c>
      <c r="D20" s="72">
        <f t="shared" si="2"/>
        <v>4.9884202613698481</v>
      </c>
      <c r="E20" s="72">
        <f t="shared" si="2"/>
        <v>0.53175660118680079</v>
      </c>
      <c r="F20" s="72">
        <f t="shared" si="2"/>
        <v>0.48947805577042569</v>
      </c>
      <c r="G20" s="72" t="str">
        <f t="shared" si="2"/>
        <v>--</v>
      </c>
      <c r="H20" s="72">
        <f t="shared" si="2"/>
        <v>2.3425021240441799</v>
      </c>
      <c r="I20" s="72" t="str">
        <f t="shared" si="2"/>
        <v>--</v>
      </c>
      <c r="J20" s="73">
        <f t="shared" si="2"/>
        <v>2.5000133185180675</v>
      </c>
    </row>
    <row r="21" spans="2:10" ht="15" customHeight="1">
      <c r="B21" s="71" t="s">
        <v>10</v>
      </c>
      <c r="C21" s="72">
        <f t="shared" si="2"/>
        <v>1</v>
      </c>
      <c r="D21" s="72">
        <f t="shared" si="2"/>
        <v>1.9218951109403517</v>
      </c>
      <c r="E21" s="72">
        <f t="shared" si="2"/>
        <v>0.34068811059196047</v>
      </c>
      <c r="F21" s="72">
        <f t="shared" si="2"/>
        <v>0.15480044916483415</v>
      </c>
      <c r="G21" s="72" t="str">
        <f t="shared" si="2"/>
        <v>--</v>
      </c>
      <c r="H21" s="72">
        <f t="shared" si="2"/>
        <v>1.5956353990836751</v>
      </c>
      <c r="I21" s="72" t="str">
        <f t="shared" si="2"/>
        <v>--</v>
      </c>
      <c r="J21" s="73">
        <f t="shared" si="2"/>
        <v>1.085371971994459</v>
      </c>
    </row>
    <row r="22" spans="2:10" ht="15" customHeight="1">
      <c r="B22" s="71" t="s">
        <v>11</v>
      </c>
      <c r="C22" s="72">
        <f t="shared" si="2"/>
        <v>1</v>
      </c>
      <c r="D22" s="72">
        <f t="shared" si="2"/>
        <v>13.458310120705665</v>
      </c>
      <c r="E22" s="72">
        <f t="shared" si="2"/>
        <v>1.8818962299365436</v>
      </c>
      <c r="F22" s="72">
        <f t="shared" si="2"/>
        <v>0.66506859641187999</v>
      </c>
      <c r="G22" s="72" t="str">
        <f t="shared" si="2"/>
        <v>--</v>
      </c>
      <c r="H22" s="72">
        <f t="shared" si="2"/>
        <v>3.4276612276612277</v>
      </c>
      <c r="I22" s="72" t="str">
        <f t="shared" si="2"/>
        <v>--</v>
      </c>
      <c r="J22" s="73">
        <f t="shared" si="2"/>
        <v>7.2480476133027718</v>
      </c>
    </row>
    <row r="23" spans="2:10" ht="15" customHeight="1">
      <c r="B23" s="71" t="s">
        <v>95</v>
      </c>
      <c r="C23" s="72">
        <f t="shared" si="2"/>
        <v>1</v>
      </c>
      <c r="D23" s="72">
        <f t="shared" si="2"/>
        <v>7.4030647429483203</v>
      </c>
      <c r="E23" s="72">
        <f t="shared" si="2"/>
        <v>0.50530284086584987</v>
      </c>
      <c r="F23" s="72">
        <f t="shared" si="2"/>
        <v>0.690089380985628</v>
      </c>
      <c r="G23" s="72" t="str">
        <f t="shared" si="2"/>
        <v>--</v>
      </c>
      <c r="H23" s="72">
        <f t="shared" si="2"/>
        <v>1.1231414216851112</v>
      </c>
      <c r="I23" s="72" t="str">
        <f t="shared" si="2"/>
        <v>--</v>
      </c>
      <c r="J23" s="73">
        <f t="shared" si="2"/>
        <v>3.4711056997986569</v>
      </c>
    </row>
    <row r="24" spans="2:10" ht="15" customHeight="1">
      <c r="B24" s="71" t="s">
        <v>13</v>
      </c>
      <c r="C24" s="72">
        <f t="shared" si="2"/>
        <v>1</v>
      </c>
      <c r="D24" s="72">
        <f t="shared" si="2"/>
        <v>8.7771587743732589</v>
      </c>
      <c r="E24" s="72">
        <f t="shared" si="2"/>
        <v>0.84330255586779068</v>
      </c>
      <c r="F24" s="72">
        <f t="shared" si="2"/>
        <v>1.2234752481161941</v>
      </c>
      <c r="G24" s="72" t="str">
        <f t="shared" si="2"/>
        <v>--</v>
      </c>
      <c r="H24" s="72" t="str">
        <f t="shared" si="2"/>
        <v>--</v>
      </c>
      <c r="I24" s="72" t="str">
        <f t="shared" si="2"/>
        <v>--</v>
      </c>
      <c r="J24" s="73">
        <f t="shared" si="2"/>
        <v>4.3895683526929306</v>
      </c>
    </row>
    <row r="25" spans="2:10" ht="15" customHeight="1">
      <c r="B25" s="71" t="s">
        <v>14</v>
      </c>
      <c r="C25" s="72">
        <f t="shared" si="2"/>
        <v>1</v>
      </c>
      <c r="D25" s="72">
        <f t="shared" si="2"/>
        <v>5.1565807799442904</v>
      </c>
      <c r="E25" s="72">
        <f t="shared" si="2"/>
        <v>0.66160414333706608</v>
      </c>
      <c r="F25" s="72">
        <f t="shared" si="2"/>
        <v>0.28057581411126187</v>
      </c>
      <c r="G25" s="72" t="str">
        <f t="shared" si="2"/>
        <v>--</v>
      </c>
      <c r="H25" s="72">
        <f t="shared" si="2"/>
        <v>0.96402972027972034</v>
      </c>
      <c r="I25" s="72" t="str">
        <f t="shared" si="2"/>
        <v>--</v>
      </c>
      <c r="J25" s="73">
        <f t="shared" si="2"/>
        <v>2.8011739956568946</v>
      </c>
    </row>
    <row r="26" spans="2:10" ht="25.5" customHeight="1">
      <c r="B26" s="71" t="s">
        <v>15</v>
      </c>
      <c r="C26" s="72">
        <f t="shared" si="2"/>
        <v>1</v>
      </c>
      <c r="D26" s="72">
        <f t="shared" si="2"/>
        <v>5.8514391829155059</v>
      </c>
      <c r="E26" s="72" t="str">
        <f t="shared" si="2"/>
        <v>--</v>
      </c>
      <c r="F26" s="72" t="str">
        <f t="shared" si="2"/>
        <v>--</v>
      </c>
      <c r="G26" s="72" t="str">
        <f t="shared" si="2"/>
        <v>--</v>
      </c>
      <c r="H26" s="72" t="str">
        <f t="shared" si="2"/>
        <v>--</v>
      </c>
      <c r="I26" s="72" t="str">
        <f t="shared" si="2"/>
        <v>--</v>
      </c>
      <c r="J26" s="73">
        <f t="shared" si="2"/>
        <v>2.2808541440463266</v>
      </c>
    </row>
    <row r="27" spans="2:10" ht="15" customHeight="1">
      <c r="B27" s="71" t="s">
        <v>16</v>
      </c>
      <c r="C27" s="72">
        <f t="shared" si="2"/>
        <v>1</v>
      </c>
      <c r="D27" s="72">
        <f t="shared" si="2"/>
        <v>13.165738161559887</v>
      </c>
      <c r="E27" s="72" t="str">
        <f t="shared" si="2"/>
        <v>--</v>
      </c>
      <c r="F27" s="72" t="str">
        <f t="shared" si="2"/>
        <v>--</v>
      </c>
      <c r="G27" s="72" t="str">
        <f t="shared" si="2"/>
        <v>--</v>
      </c>
      <c r="H27" s="72" t="str">
        <f t="shared" si="2"/>
        <v>--</v>
      </c>
      <c r="I27" s="72" t="str">
        <f t="shared" si="2"/>
        <v>--</v>
      </c>
      <c r="J27" s="73">
        <f t="shared" si="2"/>
        <v>5.1319218241042348</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Kent</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44114</v>
      </c>
      <c r="D7" s="104">
        <f>'Data Entry'!D6</f>
        <v>10052</v>
      </c>
      <c r="E7" s="105"/>
      <c r="F7" s="106">
        <f>'Data Entry'!E6</f>
        <v>12502</v>
      </c>
      <c r="G7" s="105"/>
      <c r="H7" s="106">
        <f>'Data Entry'!F6</f>
        <v>2948</v>
      </c>
      <c r="I7" s="105"/>
      <c r="J7" s="106">
        <f>'Data Entry'!G6</f>
        <v>0</v>
      </c>
      <c r="K7" s="105"/>
      <c r="L7" s="106">
        <f>'Data Entry'!H6</f>
        <v>286</v>
      </c>
      <c r="M7" s="105"/>
      <c r="N7" s="106">
        <f>'Data Entry'!I6</f>
        <v>0</v>
      </c>
      <c r="O7" s="105"/>
      <c r="P7" s="106">
        <f>'Data Entry'!J6</f>
        <v>25788</v>
      </c>
      <c r="Q7" s="107"/>
    </row>
    <row r="8" spans="2:26" s="1" customFormat="1" ht="15" customHeight="1">
      <c r="B8" s="142" t="s">
        <v>8</v>
      </c>
      <c r="C8" s="103">
        <f>'Data Entry'!C7</f>
        <v>580</v>
      </c>
      <c r="D8" s="104">
        <f>'Data Entry'!D7</f>
        <v>655</v>
      </c>
      <c r="E8" s="105">
        <f>'Black or African-American'!$G7</f>
        <v>4.9560681010469692</v>
      </c>
      <c r="F8" s="106">
        <f>'Data Entry'!E7</f>
        <v>65</v>
      </c>
      <c r="G8" s="105">
        <f>Hispanic!G7</f>
        <v>0.39544155693709687</v>
      </c>
      <c r="H8" s="106">
        <f>'Data Entry'!F7</f>
        <v>9</v>
      </c>
      <c r="I8" s="105">
        <f>Asian!G7</f>
        <v>0.23220067374725117</v>
      </c>
      <c r="J8" s="106">
        <f>'Data Entry'!G7</f>
        <v>0</v>
      </c>
      <c r="K8" s="105" t="str">
        <f>Hawaiian!G7</f>
        <v>*</v>
      </c>
      <c r="L8" s="106">
        <f>'Data Entry'!H7</f>
        <v>3</v>
      </c>
      <c r="M8" s="105" t="str">
        <f>'Am Indian'!G7</f>
        <v>*</v>
      </c>
      <c r="N8" s="106">
        <f>'Data Entry'!I7</f>
        <v>0</v>
      </c>
      <c r="O8" s="105" t="str">
        <f>'Other - Mixed'!G7</f>
        <v>*</v>
      </c>
      <c r="P8" s="106">
        <f>'Data Entry'!J7</f>
        <v>732</v>
      </c>
      <c r="Q8" s="107">
        <f>'All Minorities'!G7</f>
        <v>2.158946422554195</v>
      </c>
      <c r="R8"/>
      <c r="T8" s="1">
        <f>'Black or African-American'!L7</f>
        <v>1</v>
      </c>
      <c r="U8" s="1">
        <f>Hispanic!L7</f>
        <v>1</v>
      </c>
      <c r="V8" s="1">
        <f>Asian!L7</f>
        <v>1</v>
      </c>
      <c r="W8" s="1" t="e">
        <f>Hawaiian!L7</f>
        <v>#VALUE!</v>
      </c>
      <c r="X8" s="1">
        <f>'Am Indian'!L7</f>
        <v>139</v>
      </c>
      <c r="Y8" s="1" t="e">
        <f>'Other - Mixed'!L7</f>
        <v>#VALUE!</v>
      </c>
      <c r="Z8" s="1">
        <f>'All Minorities'!L7</f>
        <v>1</v>
      </c>
    </row>
    <row r="9" spans="2:26" s="1" customFormat="1" ht="15" customHeight="1">
      <c r="B9" s="142" t="s">
        <v>126</v>
      </c>
      <c r="C9" s="103">
        <f>'Data Entry'!C8</f>
        <v>856</v>
      </c>
      <c r="D9" s="108">
        <f>'Data Entry'!D8</f>
        <v>973</v>
      </c>
      <c r="E9" s="109">
        <f>'Black or African-American'!$G8</f>
        <v>1.006527787686381</v>
      </c>
      <c r="F9" s="110">
        <f>'Data Entry'!E8</f>
        <v>129</v>
      </c>
      <c r="G9" s="109">
        <f>Hispanic!G8</f>
        <v>1.3447160316319196</v>
      </c>
      <c r="H9" s="110">
        <f>'Data Entry'!F8</f>
        <v>28</v>
      </c>
      <c r="I9" s="109" t="str">
        <f>Asian!G8</f>
        <v>**</v>
      </c>
      <c r="J9" s="110">
        <f>'Data Entry'!G8</f>
        <v>0</v>
      </c>
      <c r="K9" s="109" t="str">
        <f>Hawaiian!G8</f>
        <v>*</v>
      </c>
      <c r="L9" s="110">
        <f>'Data Entry'!H8</f>
        <v>13</v>
      </c>
      <c r="M9" s="109" t="str">
        <f>'Am Indian'!G8</f>
        <v>*</v>
      </c>
      <c r="N9" s="110">
        <f>'Data Entry'!I8</f>
        <v>108</v>
      </c>
      <c r="O9" s="109" t="str">
        <f>'Other - Mixed'!G8</f>
        <v>*</v>
      </c>
      <c r="P9" s="110">
        <f>'Data Entry'!J8</f>
        <v>1251</v>
      </c>
      <c r="Q9" s="111">
        <f>'All Minorities'!G8</f>
        <v>1.1579783974260764</v>
      </c>
      <c r="R9"/>
      <c r="T9" s="1">
        <f>'Black or African-American'!L8</f>
        <v>2</v>
      </c>
      <c r="U9" s="1">
        <f>Hispanic!L8</f>
        <v>1</v>
      </c>
      <c r="V9" s="1">
        <f>Asian!L8</f>
        <v>20</v>
      </c>
      <c r="W9" s="1">
        <f>Hawaiian!L8</f>
        <v>139</v>
      </c>
      <c r="X9" s="1">
        <f>'Am Indian'!L8</f>
        <v>119</v>
      </c>
      <c r="Y9" s="1">
        <f>'Other - Mixed'!L8</f>
        <v>119</v>
      </c>
      <c r="Z9" s="1">
        <f>'All Minorities'!L8</f>
        <v>1</v>
      </c>
    </row>
    <row r="10" spans="2:26" s="1" customFormat="1" ht="15" customHeight="1">
      <c r="B10" s="142" t="s">
        <v>10</v>
      </c>
      <c r="C10" s="103">
        <f>'Data Entry'!C9</f>
        <v>290</v>
      </c>
      <c r="D10" s="112">
        <f>'Data Entry'!D9</f>
        <v>127</v>
      </c>
      <c r="E10" s="113">
        <f>'Black or African-American'!$G9</f>
        <v>0.38527129035687707</v>
      </c>
      <c r="F10" s="114">
        <f>'Data Entry'!E9</f>
        <v>28</v>
      </c>
      <c r="G10" s="113">
        <f>Hispanic!G9</f>
        <v>0.64068430900828655</v>
      </c>
      <c r="H10" s="114">
        <f>'Data Entry'!F9</f>
        <v>3</v>
      </c>
      <c r="I10" s="113" t="str">
        <f>Asian!G9</f>
        <v>**</v>
      </c>
      <c r="J10" s="114">
        <f>'Data Entry'!G9</f>
        <v>0</v>
      </c>
      <c r="K10" s="113" t="str">
        <f>Hawaiian!G9</f>
        <v>*</v>
      </c>
      <c r="L10" s="114">
        <f>'Data Entry'!H9</f>
        <v>3</v>
      </c>
      <c r="M10" s="113" t="str">
        <f>'Am Indian'!G9</f>
        <v>*</v>
      </c>
      <c r="N10" s="114">
        <f>'Data Entry'!I9</f>
        <v>23</v>
      </c>
      <c r="O10" s="113" t="str">
        <f>'Other - Mixed'!G9</f>
        <v>*</v>
      </c>
      <c r="P10" s="114">
        <f>'Data Entry'!J9</f>
        <v>184</v>
      </c>
      <c r="Q10" s="115">
        <f>'All Minorities'!G9</f>
        <v>0.43414647592271016</v>
      </c>
      <c r="R10"/>
      <c r="T10" s="1">
        <f>'Black or African-American'!L9</f>
        <v>1</v>
      </c>
      <c r="U10" s="1">
        <f>Hispanic!L9</f>
        <v>1</v>
      </c>
      <c r="V10" s="1">
        <f>Asian!L9</f>
        <v>20</v>
      </c>
      <c r="W10" s="1" t="e">
        <f>Hawaiian!L9</f>
        <v>#VALUE!</v>
      </c>
      <c r="X10" s="1">
        <f>'Am Indian'!L9</f>
        <v>139</v>
      </c>
      <c r="Y10" s="1">
        <f>'Other - Mixed'!L9</f>
        <v>100</v>
      </c>
      <c r="Z10" s="1">
        <f>'All Minorities'!L9</f>
        <v>1</v>
      </c>
    </row>
    <row r="11" spans="2:26" s="1" customFormat="1" ht="15" customHeight="1">
      <c r="B11" s="142" t="s">
        <v>11</v>
      </c>
      <c r="C11" s="103">
        <f>'Data Entry'!C10</f>
        <v>135</v>
      </c>
      <c r="D11" s="108">
        <f>'Data Entry'!D10</f>
        <v>414</v>
      </c>
      <c r="E11" s="109">
        <f>'Black or African-American'!$G10</f>
        <v>2.6979102432339843</v>
      </c>
      <c r="F11" s="110">
        <f>'Data Entry'!E10</f>
        <v>72</v>
      </c>
      <c r="G11" s="109">
        <f>Hispanic!G10</f>
        <v>3.5390180878552973</v>
      </c>
      <c r="H11" s="110">
        <f>'Data Entry'!F10</f>
        <v>6</v>
      </c>
      <c r="I11" s="109" t="str">
        <f>Asian!G10</f>
        <v>**</v>
      </c>
      <c r="J11" s="110">
        <f>'Data Entry'!G10</f>
        <v>0</v>
      </c>
      <c r="K11" s="109" t="str">
        <f>Hawaiian!G10</f>
        <v>*</v>
      </c>
      <c r="L11" s="110">
        <f>'Data Entry'!H10</f>
        <v>3</v>
      </c>
      <c r="M11" s="109" t="str">
        <f>'Am Indian'!G10</f>
        <v>*</v>
      </c>
      <c r="N11" s="110">
        <f>'Data Entry'!I10</f>
        <v>77</v>
      </c>
      <c r="O11" s="109" t="str">
        <f>'Other - Mixed'!G10</f>
        <v>*</v>
      </c>
      <c r="P11" s="110">
        <f>'Data Entry'!J10</f>
        <v>572</v>
      </c>
      <c r="Q11" s="111">
        <f>'All Minorities'!G10</f>
        <v>2.8992036000828971</v>
      </c>
      <c r="R11"/>
      <c r="T11" s="1">
        <f>'Black or African-American'!L10</f>
        <v>1</v>
      </c>
      <c r="U11" s="1">
        <f>Hispanic!L10</f>
        <v>1</v>
      </c>
      <c r="V11" s="1">
        <f>Asian!L10</f>
        <v>40</v>
      </c>
      <c r="W11" s="1" t="e">
        <f>Hawaiian!L10</f>
        <v>#VALUE!</v>
      </c>
      <c r="X11" s="1">
        <f>'Am Indian'!L10</f>
        <v>139</v>
      </c>
      <c r="Y11" s="1">
        <f>'Other - Mixed'!L10</f>
        <v>100</v>
      </c>
      <c r="Z11" s="1">
        <f>'All Minorities'!L10</f>
        <v>1</v>
      </c>
    </row>
    <row r="12" spans="2:26" s="1" customFormat="1" ht="15" customHeight="1">
      <c r="B12" s="142" t="s">
        <v>95</v>
      </c>
      <c r="C12" s="103">
        <f>'Data Entry'!C11</f>
        <v>412</v>
      </c>
      <c r="D12" s="112">
        <f>'Data Entry'!D11</f>
        <v>695</v>
      </c>
      <c r="E12" s="113">
        <f>'Black or African-American'!$G11</f>
        <v>1.4840499306518726</v>
      </c>
      <c r="F12" s="114">
        <f>'Data Entry'!E11</f>
        <v>59</v>
      </c>
      <c r="G12" s="113">
        <f>Hispanic!G11</f>
        <v>0.95025212613833066</v>
      </c>
      <c r="H12" s="114">
        <f>'Data Entry'!F11</f>
        <v>19</v>
      </c>
      <c r="I12" s="113" t="str">
        <f>Asian!G11</f>
        <v>**</v>
      </c>
      <c r="J12" s="114">
        <f>'Data Entry'!G11</f>
        <v>0</v>
      </c>
      <c r="K12" s="113" t="str">
        <f>Hawaiian!G11</f>
        <v>*</v>
      </c>
      <c r="L12" s="114">
        <f>'Data Entry'!H11</f>
        <v>3</v>
      </c>
      <c r="M12" s="113" t="str">
        <f>'Am Indian'!G11</f>
        <v>*</v>
      </c>
      <c r="N12" s="114">
        <f>'Data Entry'!I11</f>
        <v>60</v>
      </c>
      <c r="O12" s="113" t="str">
        <f>'Other - Mixed'!G11</f>
        <v>*</v>
      </c>
      <c r="P12" s="114">
        <f>'Data Entry'!J11</f>
        <v>836</v>
      </c>
      <c r="Q12" s="115">
        <f>'All Minorities'!G11</f>
        <v>1.3884348831614324</v>
      </c>
      <c r="R12"/>
      <c r="T12" s="1">
        <f>'Black or African-American'!L11</f>
        <v>1</v>
      </c>
      <c r="U12" s="1">
        <f>Hispanic!L11</f>
        <v>2</v>
      </c>
      <c r="V12" s="1">
        <f>Asian!L11</f>
        <v>20</v>
      </c>
      <c r="W12" s="1" t="e">
        <f>Hawaiian!L11</f>
        <v>#VALUE!</v>
      </c>
      <c r="X12" s="1">
        <f>'Am Indian'!L11</f>
        <v>139</v>
      </c>
      <c r="Y12" s="1">
        <f>'Other - Mixed'!L11</f>
        <v>101</v>
      </c>
      <c r="Z12" s="1">
        <f>'All Minorities'!L11</f>
        <v>1</v>
      </c>
    </row>
    <row r="13" spans="2:26" s="1" customFormat="1" ht="15" customHeight="1">
      <c r="B13" s="142" t="s">
        <v>13</v>
      </c>
      <c r="C13" s="103">
        <f>'Data Entry'!C12</f>
        <v>159</v>
      </c>
      <c r="D13" s="108">
        <f>'Data Entry'!D12</f>
        <v>318</v>
      </c>
      <c r="E13" s="109">
        <f>'Black or African-American'!$G12</f>
        <v>1.185611510791367</v>
      </c>
      <c r="F13" s="110">
        <f>'Data Entry'!E12</f>
        <v>38</v>
      </c>
      <c r="G13" s="109">
        <f>Hispanic!G12</f>
        <v>1.6689052339835841</v>
      </c>
      <c r="H13" s="110">
        <f>'Data Entry'!F12</f>
        <v>13</v>
      </c>
      <c r="I13" s="109" t="str">
        <f>Asian!G12</f>
        <v>**</v>
      </c>
      <c r="J13" s="110">
        <f>'Data Entry'!G12</f>
        <v>0</v>
      </c>
      <c r="K13" s="109" t="str">
        <f>Hawaiian!G12</f>
        <v>*</v>
      </c>
      <c r="L13" s="110">
        <f>'Data Entry'!H12</f>
        <v>0</v>
      </c>
      <c r="M13" s="109" t="str">
        <f>'Am Indian'!G12</f>
        <v>*</v>
      </c>
      <c r="N13" s="110">
        <f>'Data Entry'!I12</f>
        <v>39</v>
      </c>
      <c r="O13" s="109" t="str">
        <f>'Other - Mixed'!G12</f>
        <v>*</v>
      </c>
      <c r="P13" s="110">
        <f>'Data Entry'!J12</f>
        <v>408</v>
      </c>
      <c r="Q13" s="111">
        <f>'All Minorities'!G12</f>
        <v>1.2646023291504922</v>
      </c>
      <c r="R13"/>
      <c r="T13" s="1">
        <f>'Black or African-American'!L12</f>
        <v>1</v>
      </c>
      <c r="U13" s="1">
        <f>Hispanic!L12</f>
        <v>1</v>
      </c>
      <c r="V13" s="1">
        <f>Asian!L12</f>
        <v>20</v>
      </c>
      <c r="W13" s="1" t="e">
        <f>Hawaiian!L12</f>
        <v>#VALUE!</v>
      </c>
      <c r="X13" s="1">
        <f>'Am Indian'!L12</f>
        <v>139</v>
      </c>
      <c r="Y13" s="1">
        <f>'Other - Mixed'!L12</f>
        <v>100</v>
      </c>
      <c r="Z13" s="1">
        <f>'All Minorities'!L12</f>
        <v>1</v>
      </c>
    </row>
    <row r="14" spans="2:26" s="1" customFormat="1" ht="15" customHeight="1">
      <c r="B14" s="142" t="s">
        <v>125</v>
      </c>
      <c r="C14" s="103">
        <f>'Data Entry'!C13</f>
        <v>160</v>
      </c>
      <c r="D14" s="112">
        <f>'Data Entry'!D13</f>
        <v>188</v>
      </c>
      <c r="E14" s="113">
        <f>'Black or African-American'!$G13</f>
        <v>0.58750000000000002</v>
      </c>
      <c r="F14" s="114">
        <f>'Data Entry'!E13</f>
        <v>30</v>
      </c>
      <c r="G14" s="113">
        <f>Hispanic!G13</f>
        <v>0.78453947368421062</v>
      </c>
      <c r="H14" s="114">
        <f>'Data Entry'!F13</f>
        <v>3</v>
      </c>
      <c r="I14" s="113" t="str">
        <f>Asian!G13</f>
        <v>**</v>
      </c>
      <c r="J14" s="114">
        <f>'Data Entry'!G13</f>
        <v>0</v>
      </c>
      <c r="K14" s="113" t="str">
        <f>Hawaiian!G13</f>
        <v>*</v>
      </c>
      <c r="L14" s="114">
        <f>'Data Entry'!H13</f>
        <v>1</v>
      </c>
      <c r="M14" s="113" t="str">
        <f>'Am Indian'!G13</f>
        <v>*</v>
      </c>
      <c r="N14" s="114">
        <f>'Data Entry'!I13</f>
        <v>40</v>
      </c>
      <c r="O14" s="113" t="str">
        <f>'Other - Mixed'!G13</f>
        <v>*</v>
      </c>
      <c r="P14" s="114">
        <f>'Data Entry'!J13</f>
        <v>262</v>
      </c>
      <c r="Q14" s="115">
        <f>'All Minorities'!G13</f>
        <v>0.63814338235294121</v>
      </c>
      <c r="R14"/>
      <c r="T14" s="1">
        <f>'Black or African-American'!L13</f>
        <v>1</v>
      </c>
      <c r="U14" s="1">
        <f>Hispanic!L13</f>
        <v>1</v>
      </c>
      <c r="V14" s="1">
        <f>Asian!L13</f>
        <v>20</v>
      </c>
      <c r="W14" s="1" t="e">
        <f>Hawaiian!L13</f>
        <v>#VALUE!</v>
      </c>
      <c r="X14" s="1" t="e">
        <f>'Am Indian'!L13</f>
        <v>#DIV/0!</v>
      </c>
      <c r="Y14" s="1">
        <f>'Other - Mixed'!L13</f>
        <v>101</v>
      </c>
      <c r="Z14" s="1">
        <f>'All Minorities'!L13</f>
        <v>1</v>
      </c>
    </row>
    <row r="15" spans="2:26" s="1" customFormat="1" ht="33">
      <c r="B15" s="144" t="s">
        <v>115</v>
      </c>
      <c r="C15" s="103">
        <f>'Data Entry'!C14</f>
        <v>6</v>
      </c>
      <c r="D15" s="108">
        <f>'Data Entry'!D14</f>
        <v>8</v>
      </c>
      <c r="E15" s="109">
        <f>'Black or African-American'!$G14</f>
        <v>0.66666666666666674</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8</v>
      </c>
      <c r="Q15" s="111">
        <f>'All Minorities'!G14</f>
        <v>0.51960784313725494</v>
      </c>
      <c r="R15"/>
      <c r="T15" s="1">
        <f>'Black or African-American'!L14</f>
        <v>2</v>
      </c>
      <c r="U15" s="1">
        <f>Hispanic!L14</f>
        <v>40</v>
      </c>
      <c r="V15" s="1">
        <f>Asian!L14</f>
        <v>40</v>
      </c>
      <c r="W15" s="1" t="e">
        <f>Hawaiian!L14</f>
        <v>#VALUE!</v>
      </c>
      <c r="X15" s="1" t="e">
        <f>'Am Indian'!L14</f>
        <v>#VALUE!</v>
      </c>
      <c r="Y15" s="1">
        <f>'Other - Mixed'!L14</f>
        <v>139</v>
      </c>
      <c r="Z15" s="1">
        <f>'All Minorities'!L14</f>
        <v>2</v>
      </c>
    </row>
    <row r="16" spans="2:26" s="1" customFormat="1" ht="15" customHeight="1">
      <c r="B16" s="142" t="s">
        <v>16</v>
      </c>
      <c r="C16" s="103">
        <f>'Data Entry'!C15</f>
        <v>1</v>
      </c>
      <c r="D16" s="116">
        <f>'Data Entry'!D15</f>
        <v>3</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3</v>
      </c>
      <c r="Q16" s="119" t="str">
        <f>'All Minorities'!G15</f>
        <v>**</v>
      </c>
      <c r="R16"/>
      <c r="T16" s="1">
        <f>'Black or African-American'!L15</f>
        <v>40</v>
      </c>
      <c r="U16" s="1">
        <f>Hispanic!L15</f>
        <v>40</v>
      </c>
      <c r="V16" s="1">
        <f>Asian!L15</f>
        <v>40</v>
      </c>
      <c r="W16" s="1" t="e">
        <f>Hawaiian!L15</f>
        <v>#VALUE!</v>
      </c>
      <c r="X16" s="1">
        <f>'Am Indian'!L15</f>
        <v>139</v>
      </c>
      <c r="Y16" s="1">
        <f>'Other - Mixed'!L15</f>
        <v>139</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Kent County Juvenile Court</v>
      </c>
      <c r="E27" s="1" t="str">
        <f>'Data Entry'!D20</f>
        <v>Item 4.Diversion: Kent County Juvenile Court</v>
      </c>
      <c r="I27" s="96"/>
      <c r="J27" s="96"/>
    </row>
    <row r="28" spans="2:18" ht="12.75" customHeight="1">
      <c r="B28" s="1" t="str">
        <f>'Data Entry'!A21</f>
        <v>Item 5.Detention: Kent County Juvenile Court</v>
      </c>
      <c r="E28" s="1" t="str">
        <f>'Data Entry'!D21</f>
        <v>Item 6.Petitioned: Kent County Juvenile Court</v>
      </c>
      <c r="I28" s="96"/>
      <c r="J28" s="96"/>
    </row>
    <row r="29" spans="2:18" ht="12.75" customHeight="1">
      <c r="B29" s="1" t="str">
        <f>'Data Entry'!A22</f>
        <v>Item 7.Delinquent: Kent County Juvenile Court</v>
      </c>
      <c r="E29" s="1" t="str">
        <f>'Data Entry'!D22</f>
        <v>Item 8.Probation: Kent County Juvenile Court</v>
      </c>
      <c r="I29" s="96"/>
      <c r="J29" s="96"/>
    </row>
    <row r="30" spans="2:18" ht="12.75" customHeight="1">
      <c r="B30" s="1" t="str">
        <f>'Data Entry'!A23</f>
        <v>Item 9.Confinement: Kent County Juvenile Court</v>
      </c>
      <c r="E30" s="1" t="str">
        <f>'Data Entry'!D23</f>
        <v>Item 10.Transferred: Kent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Kent</v>
      </c>
    </row>
    <row r="6" spans="1:12">
      <c r="A6" s="135" t="str">
        <f>CONCATENATE("Percentage of Minorities at Stages of the Juvenile Justice System, ", A5, " 2022")</f>
        <v>Percentage of Minorities at Stages of the Juvenile Justice System, County: Kent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N=4</v>
      </c>
      <c r="B7" s="150">
        <f>'Data Entry'!D15/'Data Entry'!B15</f>
        <v>0.75</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0.25</v>
      </c>
      <c r="K7" s="96" t="str">
        <f t="shared" ref="K7:K14" si="0">A7</f>
        <v>Waivers, total N=4</v>
      </c>
      <c r="L7">
        <f>I14/(SUM(B14:G14))</f>
        <v>1.7106406080347447</v>
      </c>
    </row>
    <row r="8" spans="1:12" ht="25.5" customHeight="1">
      <c r="A8" s="151" t="str">
        <f>CONCATENATE("Confinement, total N=", 'Data Entry'!B14)</f>
        <v>Confinement, total N=14</v>
      </c>
      <c r="B8" s="150">
        <f>'Data Entry'!D14/'Data Entry'!B14</f>
        <v>0.5714285714285714</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0.42857142857142855</v>
      </c>
      <c r="K8" s="96" t="str">
        <f>A8</f>
        <v>Confinement, total N=14</v>
      </c>
      <c r="L8">
        <f>I14/(SUM(B14:G14))</f>
        <v>1.7106406080347447</v>
      </c>
    </row>
    <row r="9" spans="1:12">
      <c r="A9" s="128" t="str">
        <f>CONCATENATE("Delinquent Findings, total N=", 'Data Entry'!B12)</f>
        <v>Delinquent Findings, total N=570</v>
      </c>
      <c r="B9" s="150">
        <f>'Data Entry'!D12/'Data Entry'!B12</f>
        <v>0.55789473684210522</v>
      </c>
      <c r="C9" s="150">
        <f>'Data Entry'!E12/'Data Entry'!B12</f>
        <v>6.6666666666666666E-2</v>
      </c>
      <c r="D9" s="150">
        <f>'Data Entry'!F12/'Data Entry'!B12</f>
        <v>2.2807017543859651E-2</v>
      </c>
      <c r="E9" s="150">
        <f>'Data Entry'!G12/'Data Entry'!B12</f>
        <v>0</v>
      </c>
      <c r="F9" s="150">
        <f>'Data Entry'!H12/'Data Entry'!B12</f>
        <v>0</v>
      </c>
      <c r="G9" s="150">
        <f>'Data Entry'!I12/'Data Entry'!B12</f>
        <v>6.8421052631578952E-2</v>
      </c>
      <c r="H9" s="150">
        <f>SUM(D9:G9)/'Data Entry'!B12</f>
        <v>1.600492459218221E-4</v>
      </c>
      <c r="I9" s="150">
        <f>'Data Entry'!C12/'Data Entry'!B12</f>
        <v>0.27894736842105261</v>
      </c>
      <c r="K9" s="96" t="str">
        <f t="shared" si="0"/>
        <v>Delinquent Findings, total N=570</v>
      </c>
      <c r="L9">
        <f>I14/(SUM(B14:G14))</f>
        <v>1.7106406080347447</v>
      </c>
    </row>
    <row r="10" spans="1:12">
      <c r="A10" s="128" t="str">
        <f>CONCATENATE("Petitions, total N=", 'Data Entry'!B11)</f>
        <v>Petitions, total N=1251</v>
      </c>
      <c r="B10" s="150">
        <f>'Data Entry'!D11/'Data Entry'!B11</f>
        <v>0.55555555555555558</v>
      </c>
      <c r="C10" s="150">
        <f>'Data Entry'!E11/'Data Entry'!B11</f>
        <v>4.7162270183852918E-2</v>
      </c>
      <c r="D10" s="150">
        <f>'Data Entry'!F11/'Data Entry'!B11</f>
        <v>1.5187849720223821E-2</v>
      </c>
      <c r="E10" s="150">
        <f>'Data Entry'!G11/'Data Entry'!B11</f>
        <v>0</v>
      </c>
      <c r="F10" s="150">
        <f>'Data Entry'!H11/'Data Entry'!B11</f>
        <v>2.3980815347721821E-3</v>
      </c>
      <c r="G10" s="150">
        <f>'Data Entry'!I11/'Data Entry'!B11</f>
        <v>4.7961630695443645E-2</v>
      </c>
      <c r="H10" s="150">
        <f>SUM(D10:G10)/'Data Entry'!B11</f>
        <v>5.2396132654228339E-5</v>
      </c>
      <c r="I10" s="150">
        <f>'Data Entry'!C11/'Data Entry'!B11</f>
        <v>0.32933653077537972</v>
      </c>
      <c r="K10" s="96" t="str">
        <f t="shared" si="0"/>
        <v>Petitions, total N=1251</v>
      </c>
      <c r="L10">
        <f>I14/(SUM(B14:G14))</f>
        <v>1.7106406080347447</v>
      </c>
    </row>
    <row r="11" spans="1:12">
      <c r="A11" s="128" t="str">
        <f>CONCATENATE("Detentions, total N=", 'Data Entry'!B10)</f>
        <v>Detentions, total N=709</v>
      </c>
      <c r="B11" s="150">
        <f>'Data Entry'!D10/'Data Entry'!B10</f>
        <v>0.58392101551480957</v>
      </c>
      <c r="C11" s="150">
        <f>'Data Entry'!E10/'Data Entry'!B10</f>
        <v>0.10155148095909731</v>
      </c>
      <c r="D11" s="150">
        <f>'Data Entry'!F10/'Data Entry'!B10</f>
        <v>8.4626234132581107E-3</v>
      </c>
      <c r="E11" s="150">
        <f>'Data Entry'!G10/'Data Entry'!B10</f>
        <v>0</v>
      </c>
      <c r="F11" s="150">
        <f>'Data Entry'!H10/'Data Entry'!B10</f>
        <v>4.2313117066290554E-3</v>
      </c>
      <c r="G11" s="150">
        <f>'Data Entry'!I10/'Data Entry'!B10</f>
        <v>0.10860366713681241</v>
      </c>
      <c r="H11" s="150">
        <f>SUM(D11:G11)/'Data Entry'!B10</f>
        <v>1.7108265480493594E-4</v>
      </c>
      <c r="I11" s="150">
        <f>'Data Entry'!C10/'Data Entry'!B10</f>
        <v>0.19040902679830748</v>
      </c>
      <c r="K11" s="96" t="str">
        <f t="shared" si="0"/>
        <v>Detentions, total N=709</v>
      </c>
      <c r="L11">
        <f>I14/(SUM(B14:G14))</f>
        <v>1.7106406080347447</v>
      </c>
    </row>
    <row r="12" spans="1:12">
      <c r="A12" s="128" t="str">
        <f>CONCATENATE("Referrals, total N=", 'Data Entry'!B8)</f>
        <v>Referrals, total N=2117</v>
      </c>
      <c r="B12" s="150">
        <f>'Data Entry'!D8/'Data Entry'!B8</f>
        <v>0.45961265942371282</v>
      </c>
      <c r="C12" s="150">
        <f>'Data Entry'!E8/'Data Entry'!B8</f>
        <v>6.093528578176665E-2</v>
      </c>
      <c r="D12" s="150">
        <f>'Data Entry'!F8/'Data Entry'!B8</f>
        <v>1.3226263580538498E-2</v>
      </c>
      <c r="E12" s="150">
        <f>'Data Entry'!G8/'Data Entry'!B8</f>
        <v>0</v>
      </c>
      <c r="F12" s="150">
        <f>'Data Entry'!H8/'Data Entry'!B8</f>
        <v>6.1407652338214451E-3</v>
      </c>
      <c r="G12" s="150">
        <f>'Data Entry'!I8/'Data Entry'!B8</f>
        <v>5.1015588096362779E-2</v>
      </c>
      <c r="H12" s="150">
        <f>SUM(D12:G12)/'Data Entry'!B8</f>
        <v>3.3246394383903037E-5</v>
      </c>
      <c r="I12" s="150">
        <f>'Data Entry'!C8/'Data Entry'!B8</f>
        <v>0.40434577231931979</v>
      </c>
      <c r="K12" s="96" t="str">
        <f t="shared" si="0"/>
        <v>Referrals, total N=2117</v>
      </c>
      <c r="L12">
        <f>I14/(SUM(B14:G14))</f>
        <v>1.7106406080347447</v>
      </c>
    </row>
    <row r="13" spans="1:12">
      <c r="A13" s="128" t="str">
        <f>CONCATENATE("Arrests, total N=", 'Data Entry'!B7)</f>
        <v>Arrests, total N=1343</v>
      </c>
      <c r="B13" s="150">
        <f>'Data Entry'!D7/'Data Entry'!B7</f>
        <v>0.48771407297096053</v>
      </c>
      <c r="C13" s="150">
        <f>'Data Entry'!E7/'Data Entry'!B7</f>
        <v>4.8399106478034248E-2</v>
      </c>
      <c r="D13" s="150">
        <f>'Data Entry'!F7/'Data Entry'!B7</f>
        <v>6.7014147431124346E-3</v>
      </c>
      <c r="E13" s="150">
        <f>'Data Entry'!G7/'Data Entry'!B7</f>
        <v>0</v>
      </c>
      <c r="F13" s="150">
        <f>'Data Entry'!H7/'Data Entry'!B7</f>
        <v>2.2338049143708115E-3</v>
      </c>
      <c r="G13" s="150">
        <f>'Data Entry'!I7/'Data Entry'!B7</f>
        <v>0</v>
      </c>
      <c r="H13" s="150">
        <f>SUM(D13:G13)/'Data Entry'!B7</f>
        <v>6.6531791939562514E-6</v>
      </c>
      <c r="I13" s="150">
        <f>'Data Entry'!C7/'Data Entry'!B7</f>
        <v>0.43186895011169024</v>
      </c>
      <c r="K13" s="96" t="str">
        <f t="shared" si="0"/>
        <v>Arrests, total N=1343</v>
      </c>
      <c r="L13">
        <f>I14/(SUM(B14:G14))</f>
        <v>1.7106406080347447</v>
      </c>
    </row>
    <row r="14" spans="1:12">
      <c r="A14" s="128" t="str">
        <f>CONCATENATE("Population, total N=", 'Data Entry'!B6)</f>
        <v>Population, total N=69902</v>
      </c>
      <c r="B14" s="150">
        <f>'Data Entry'!D6/'Data Entry'!B6</f>
        <v>0.14380132185059083</v>
      </c>
      <c r="C14" s="150">
        <f>'Data Entry'!E6/'Data Entry'!B6</f>
        <v>0.17885039054676546</v>
      </c>
      <c r="D14" s="150">
        <f>'Data Entry'!F6/'Data Entry'!B6</f>
        <v>4.2173328374009326E-2</v>
      </c>
      <c r="E14" s="150">
        <f>'Data Entry'!G6/'Data Entry'!B6</f>
        <v>0</v>
      </c>
      <c r="F14" s="150">
        <f>'Data Entry'!H6/'Data Entry'!B6</f>
        <v>4.0914423049412032E-3</v>
      </c>
      <c r="G14" s="150">
        <f>'Data Entry'!I6/'Data Entry'!B6</f>
        <v>0</v>
      </c>
      <c r="H14" s="150">
        <f>SUM(D14:G14)/'Data Entry'!B6</f>
        <v>6.618518880568586E-7</v>
      </c>
      <c r="I14" s="150">
        <f>'Data Entry'!C6/'Data Entry'!B6</f>
        <v>0.63108351692369313</v>
      </c>
      <c r="K14" s="96" t="str">
        <f t="shared" si="0"/>
        <v>Population, total N=69902</v>
      </c>
      <c r="L14">
        <f>I14/(SUM(B14:G14))</f>
        <v>1.7106406080347447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Kent</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44114</v>
      </c>
      <c r="D7" s="104">
        <f>'Data Entry'!D6</f>
        <v>10052</v>
      </c>
      <c r="E7" s="105"/>
      <c r="F7" s="106">
        <f>'Data Entry'!E6</f>
        <v>12502</v>
      </c>
      <c r="G7" s="105"/>
      <c r="H7" s="106">
        <f>'Data Entry'!F6</f>
        <v>2948</v>
      </c>
      <c r="I7" s="105"/>
      <c r="J7" s="106">
        <f>'Data Entry'!J6</f>
        <v>25788</v>
      </c>
      <c r="K7" s="107"/>
    </row>
    <row r="8" spans="2:30" s="1" customFormat="1" ht="15" customHeight="1">
      <c r="B8" s="121" t="s">
        <v>8</v>
      </c>
      <c r="C8" s="103">
        <f>'Data Entry'!C7</f>
        <v>580</v>
      </c>
      <c r="D8" s="104">
        <f>'Data Entry'!D7</f>
        <v>655</v>
      </c>
      <c r="E8" s="105">
        <f>'Black or African-American'!$G7</f>
        <v>4.9560681010469692</v>
      </c>
      <c r="F8" s="106">
        <f>'Data Entry'!E7</f>
        <v>65</v>
      </c>
      <c r="G8" s="105">
        <f>Hispanic!G7</f>
        <v>0.39544155693709687</v>
      </c>
      <c r="H8" s="106">
        <f>'Data Entry'!F7</f>
        <v>9</v>
      </c>
      <c r="I8" s="105">
        <f>Asian!G7</f>
        <v>0.23220067374725117</v>
      </c>
      <c r="J8" s="106">
        <f>'Data Entry'!J7</f>
        <v>732</v>
      </c>
      <c r="K8" s="107">
        <f>'All Minorities'!G7</f>
        <v>2.158946422554195</v>
      </c>
      <c r="L8"/>
      <c r="N8" s="1">
        <f>'Black or African-American'!L7</f>
        <v>1</v>
      </c>
      <c r="O8" s="1">
        <f>Hispanic!L7</f>
        <v>1</v>
      </c>
      <c r="P8" s="1">
        <f>Asian!L7</f>
        <v>1</v>
      </c>
      <c r="Q8" s="1" t="e">
        <f>Hawaiian!L7</f>
        <v>#VALUE!</v>
      </c>
      <c r="R8" s="1">
        <f>'Am Indian'!L7</f>
        <v>139</v>
      </c>
      <c r="S8" s="1" t="e">
        <f>'Other - Mixed'!L7</f>
        <v>#VALUE!</v>
      </c>
      <c r="T8" s="1">
        <f>'All Minorities'!L7</f>
        <v>1</v>
      </c>
    </row>
    <row r="9" spans="2:30" s="1" customFormat="1" ht="15" customHeight="1">
      <c r="B9" s="121" t="s">
        <v>126</v>
      </c>
      <c r="C9" s="103">
        <f>'Data Entry'!C8</f>
        <v>856</v>
      </c>
      <c r="D9" s="108">
        <f>'Data Entry'!D8</f>
        <v>973</v>
      </c>
      <c r="E9" s="109">
        <f>'Black or African-American'!$G8</f>
        <v>1.006527787686381</v>
      </c>
      <c r="F9" s="110">
        <f>'Data Entry'!E8</f>
        <v>129</v>
      </c>
      <c r="G9" s="109">
        <f>Hispanic!G8</f>
        <v>1.3447160316319196</v>
      </c>
      <c r="H9" s="110">
        <f>'Data Entry'!F8</f>
        <v>28</v>
      </c>
      <c r="I9" s="109" t="str">
        <f>Asian!G8</f>
        <v>**</v>
      </c>
      <c r="J9" s="110">
        <f>'Data Entry'!J8</f>
        <v>1251</v>
      </c>
      <c r="K9" s="111">
        <f>'All Minorities'!G8</f>
        <v>1.1579783974260764</v>
      </c>
      <c r="L9"/>
      <c r="N9" s="1">
        <f>'Black or African-American'!L8</f>
        <v>2</v>
      </c>
      <c r="O9" s="1">
        <f>Hispanic!L8</f>
        <v>1</v>
      </c>
      <c r="P9" s="1">
        <f>Asian!L8</f>
        <v>20</v>
      </c>
      <c r="Q9" s="1">
        <f>Hawaiian!L8</f>
        <v>139</v>
      </c>
      <c r="R9" s="1">
        <f>'Am Indian'!L8</f>
        <v>119</v>
      </c>
      <c r="S9" s="1">
        <f>'Other - Mixed'!L8</f>
        <v>119</v>
      </c>
      <c r="T9" s="1">
        <f>'All Minorities'!L8</f>
        <v>1</v>
      </c>
    </row>
    <row r="10" spans="2:30" s="1" customFormat="1" ht="15" customHeight="1">
      <c r="B10" s="121" t="s">
        <v>10</v>
      </c>
      <c r="C10" s="103">
        <f>'Data Entry'!C9</f>
        <v>290</v>
      </c>
      <c r="D10" s="112">
        <f>'Data Entry'!D9</f>
        <v>127</v>
      </c>
      <c r="E10" s="113">
        <f>'Black or African-American'!$G9</f>
        <v>0.38527129035687707</v>
      </c>
      <c r="F10" s="114">
        <f>'Data Entry'!E9</f>
        <v>28</v>
      </c>
      <c r="G10" s="113">
        <f>Hispanic!G9</f>
        <v>0.64068430900828655</v>
      </c>
      <c r="H10" s="114">
        <f>'Data Entry'!F9</f>
        <v>3</v>
      </c>
      <c r="I10" s="113" t="str">
        <f>Asian!G9</f>
        <v>**</v>
      </c>
      <c r="J10" s="114">
        <f>'Data Entry'!J9</f>
        <v>184</v>
      </c>
      <c r="K10" s="115">
        <f>'All Minorities'!G9</f>
        <v>0.43414647592271016</v>
      </c>
      <c r="L10"/>
      <c r="N10" s="1">
        <f>'Black or African-American'!L9</f>
        <v>1</v>
      </c>
      <c r="O10" s="1">
        <f>Hispanic!L9</f>
        <v>1</v>
      </c>
      <c r="P10" s="1">
        <f>Asian!L9</f>
        <v>20</v>
      </c>
      <c r="Q10" s="1" t="e">
        <f>Hawaiian!L9</f>
        <v>#VALUE!</v>
      </c>
      <c r="R10" s="1">
        <f>'Am Indian'!L9</f>
        <v>139</v>
      </c>
      <c r="S10" s="1">
        <f>'Other - Mixed'!L9</f>
        <v>100</v>
      </c>
      <c r="T10" s="1">
        <f>'All Minorities'!L9</f>
        <v>1</v>
      </c>
    </row>
    <row r="11" spans="2:30" s="1" customFormat="1" ht="15" customHeight="1">
      <c r="B11" s="121" t="s">
        <v>11</v>
      </c>
      <c r="C11" s="103">
        <f>'Data Entry'!C10</f>
        <v>135</v>
      </c>
      <c r="D11" s="108">
        <f>'Data Entry'!D10</f>
        <v>414</v>
      </c>
      <c r="E11" s="109">
        <f>'Black or African-American'!$G10</f>
        <v>2.6979102432339843</v>
      </c>
      <c r="F11" s="110">
        <f>'Data Entry'!E10</f>
        <v>72</v>
      </c>
      <c r="G11" s="109">
        <f>Hispanic!G10</f>
        <v>3.5390180878552973</v>
      </c>
      <c r="H11" s="110">
        <f>'Data Entry'!F10</f>
        <v>6</v>
      </c>
      <c r="I11" s="109" t="str">
        <f>Asian!G10</f>
        <v>**</v>
      </c>
      <c r="J11" s="110">
        <f>'Data Entry'!J10</f>
        <v>572</v>
      </c>
      <c r="K11" s="111">
        <f>'All Minorities'!G10</f>
        <v>2.8992036000828971</v>
      </c>
      <c r="L11"/>
      <c r="N11" s="1">
        <f>'Black or African-American'!L10</f>
        <v>1</v>
      </c>
      <c r="O11" s="1">
        <f>Hispanic!L10</f>
        <v>1</v>
      </c>
      <c r="P11" s="1">
        <f>Asian!L10</f>
        <v>40</v>
      </c>
      <c r="Q11" s="1" t="e">
        <f>Hawaiian!L10</f>
        <v>#VALUE!</v>
      </c>
      <c r="R11" s="1">
        <f>'Am Indian'!L10</f>
        <v>139</v>
      </c>
      <c r="S11" s="1">
        <f>'Other - Mixed'!L10</f>
        <v>100</v>
      </c>
      <c r="T11" s="1">
        <f>'All Minorities'!L10</f>
        <v>1</v>
      </c>
    </row>
    <row r="12" spans="2:30" s="1" customFormat="1" ht="15" customHeight="1">
      <c r="B12" s="121" t="s">
        <v>95</v>
      </c>
      <c r="C12" s="103">
        <f>'Data Entry'!C11</f>
        <v>412</v>
      </c>
      <c r="D12" s="112">
        <f>'Data Entry'!D11</f>
        <v>695</v>
      </c>
      <c r="E12" s="113">
        <f>'Black or African-American'!$G11</f>
        <v>1.4840499306518726</v>
      </c>
      <c r="F12" s="114">
        <f>'Data Entry'!E11</f>
        <v>59</v>
      </c>
      <c r="G12" s="113">
        <f>Hispanic!G11</f>
        <v>0.95025212613833066</v>
      </c>
      <c r="H12" s="114">
        <f>'Data Entry'!F11</f>
        <v>19</v>
      </c>
      <c r="I12" s="113" t="str">
        <f>Asian!G11</f>
        <v>**</v>
      </c>
      <c r="J12" s="114">
        <f>'Data Entry'!J11</f>
        <v>836</v>
      </c>
      <c r="K12" s="115">
        <f>'All Minorities'!G11</f>
        <v>1.3884348831614324</v>
      </c>
      <c r="L12"/>
      <c r="N12" s="1">
        <f>'Black or African-American'!L11</f>
        <v>1</v>
      </c>
      <c r="O12" s="1">
        <f>Hispanic!L11</f>
        <v>2</v>
      </c>
      <c r="P12" s="1">
        <f>Asian!L11</f>
        <v>20</v>
      </c>
      <c r="Q12" s="1" t="e">
        <f>Hawaiian!L11</f>
        <v>#VALUE!</v>
      </c>
      <c r="R12" s="1">
        <f>'Am Indian'!L11</f>
        <v>139</v>
      </c>
      <c r="S12" s="1">
        <f>'Other - Mixed'!L11</f>
        <v>101</v>
      </c>
      <c r="T12" s="1">
        <f>'All Minorities'!L11</f>
        <v>1</v>
      </c>
    </row>
    <row r="13" spans="2:30" s="1" customFormat="1" ht="15" customHeight="1">
      <c r="B13" s="121" t="s">
        <v>13</v>
      </c>
      <c r="C13" s="103">
        <f>'Data Entry'!C12</f>
        <v>159</v>
      </c>
      <c r="D13" s="108">
        <f>'Data Entry'!D12</f>
        <v>318</v>
      </c>
      <c r="E13" s="109">
        <f>'Black or African-American'!$G12</f>
        <v>1.185611510791367</v>
      </c>
      <c r="F13" s="110">
        <f>'Data Entry'!E12</f>
        <v>38</v>
      </c>
      <c r="G13" s="109">
        <f>Hispanic!G12</f>
        <v>1.6689052339835841</v>
      </c>
      <c r="H13" s="110">
        <f>'Data Entry'!F12</f>
        <v>13</v>
      </c>
      <c r="I13" s="109" t="str">
        <f>Asian!G12</f>
        <v>**</v>
      </c>
      <c r="J13" s="110">
        <f>'Data Entry'!J12</f>
        <v>408</v>
      </c>
      <c r="K13" s="111">
        <f>'All Minorities'!G12</f>
        <v>1.2646023291504922</v>
      </c>
      <c r="L13"/>
      <c r="N13" s="1">
        <f>'Black or African-American'!L12</f>
        <v>1</v>
      </c>
      <c r="O13" s="1">
        <f>Hispanic!L12</f>
        <v>1</v>
      </c>
      <c r="P13" s="1">
        <f>Asian!L12</f>
        <v>20</v>
      </c>
      <c r="Q13" s="1" t="e">
        <f>Hawaiian!L12</f>
        <v>#VALUE!</v>
      </c>
      <c r="R13" s="1">
        <f>'Am Indian'!L12</f>
        <v>139</v>
      </c>
      <c r="S13" s="1">
        <f>'Other - Mixed'!L12</f>
        <v>100</v>
      </c>
      <c r="T13" s="1">
        <f>'All Minorities'!L12</f>
        <v>1</v>
      </c>
      <c r="W13" s="8"/>
      <c r="X13" s="8"/>
      <c r="Y13" s="8"/>
      <c r="Z13" s="8"/>
      <c r="AA13" s="8"/>
      <c r="AB13" s="8"/>
      <c r="AC13" s="8"/>
      <c r="AD13" s="8"/>
    </row>
    <row r="14" spans="2:30" s="1" customFormat="1" ht="15" customHeight="1">
      <c r="B14" s="121" t="s">
        <v>14</v>
      </c>
      <c r="C14" s="103">
        <f>'Data Entry'!C13</f>
        <v>160</v>
      </c>
      <c r="D14" s="112">
        <f>'Data Entry'!D13</f>
        <v>188</v>
      </c>
      <c r="E14" s="113">
        <f>'Black or African-American'!$G13</f>
        <v>0.58750000000000002</v>
      </c>
      <c r="F14" s="114">
        <f>'Data Entry'!E13</f>
        <v>30</v>
      </c>
      <c r="G14" s="113">
        <f>Hispanic!G13</f>
        <v>0.78453947368421062</v>
      </c>
      <c r="H14" s="114">
        <f>'Data Entry'!F13</f>
        <v>3</v>
      </c>
      <c r="I14" s="113" t="str">
        <f>Asian!G13</f>
        <v>**</v>
      </c>
      <c r="J14" s="114">
        <f>'Data Entry'!J13</f>
        <v>262</v>
      </c>
      <c r="K14" s="115">
        <f>'All Minorities'!G13</f>
        <v>0.63814338235294121</v>
      </c>
      <c r="L14"/>
      <c r="N14" s="1">
        <f>'Black or African-American'!L13</f>
        <v>1</v>
      </c>
      <c r="O14" s="1">
        <f>Hispanic!L13</f>
        <v>1</v>
      </c>
      <c r="P14" s="1">
        <f>Asian!L13</f>
        <v>20</v>
      </c>
      <c r="Q14" s="1" t="e">
        <f>Hawaiian!L13</f>
        <v>#VALUE!</v>
      </c>
      <c r="R14" s="1" t="e">
        <f>'Am Indian'!L13</f>
        <v>#DIV/0!</v>
      </c>
      <c r="S14" s="1">
        <f>'Other - Mixed'!L13</f>
        <v>101</v>
      </c>
      <c r="T14" s="1">
        <f>'All Minorities'!L13</f>
        <v>1</v>
      </c>
      <c r="W14" s="8"/>
      <c r="X14" s="8"/>
      <c r="Y14" s="8"/>
      <c r="Z14" s="8"/>
      <c r="AA14" s="8"/>
      <c r="AB14" s="8"/>
      <c r="AC14" s="8"/>
      <c r="AD14" s="8"/>
    </row>
    <row r="15" spans="2:30" s="1" customFormat="1" ht="33">
      <c r="B15" s="126" t="s">
        <v>115</v>
      </c>
      <c r="C15" s="103">
        <f>'Data Entry'!C14</f>
        <v>6</v>
      </c>
      <c r="D15" s="108">
        <f>'Data Entry'!D14</f>
        <v>8</v>
      </c>
      <c r="E15" s="109">
        <f>'Black or African-American'!$G14</f>
        <v>0.66666666666666674</v>
      </c>
      <c r="F15" s="110">
        <f>'Data Entry'!E14</f>
        <v>0</v>
      </c>
      <c r="G15" s="109" t="str">
        <f>Hispanic!G14</f>
        <v>**</v>
      </c>
      <c r="H15" s="110">
        <f>'Data Entry'!F14</f>
        <v>0</v>
      </c>
      <c r="I15" s="109" t="str">
        <f>Asian!G14</f>
        <v>**</v>
      </c>
      <c r="J15" s="110">
        <f>'Data Entry'!J14</f>
        <v>8</v>
      </c>
      <c r="K15" s="111">
        <f>'All Minorities'!G14</f>
        <v>0.51960784313725494</v>
      </c>
      <c r="L15"/>
      <c r="N15" s="1">
        <f>'Black or African-American'!L14</f>
        <v>2</v>
      </c>
      <c r="O15" s="1">
        <f>Hispanic!L14</f>
        <v>40</v>
      </c>
      <c r="P15" s="1">
        <f>Asian!L14</f>
        <v>40</v>
      </c>
      <c r="Q15" s="1" t="e">
        <f>Hawaiian!L14</f>
        <v>#VALUE!</v>
      </c>
      <c r="R15" s="1" t="e">
        <f>'Am Indian'!L14</f>
        <v>#VALUE!</v>
      </c>
      <c r="S15" s="1">
        <f>'Other - Mixed'!L14</f>
        <v>139</v>
      </c>
      <c r="T15" s="1">
        <f>'All Minorities'!L14</f>
        <v>2</v>
      </c>
      <c r="W15" s="8"/>
      <c r="X15" s="8"/>
      <c r="Y15" s="8"/>
      <c r="Z15" s="8"/>
      <c r="AA15" s="8"/>
      <c r="AB15" s="8"/>
      <c r="AC15" s="8"/>
      <c r="AD15" s="8"/>
    </row>
    <row r="16" spans="2:30" s="1" customFormat="1" ht="15" customHeight="1">
      <c r="B16" s="121" t="s">
        <v>16</v>
      </c>
      <c r="C16" s="103">
        <f>'Data Entry'!C15</f>
        <v>1</v>
      </c>
      <c r="D16" s="116">
        <f>'Data Entry'!D15</f>
        <v>3</v>
      </c>
      <c r="E16" s="117" t="str">
        <f>'Black or African-American'!$G15</f>
        <v>**</v>
      </c>
      <c r="F16" s="118">
        <f>'Data Entry'!E15</f>
        <v>0</v>
      </c>
      <c r="G16" s="117" t="str">
        <f>Hispanic!G15</f>
        <v>**</v>
      </c>
      <c r="H16" s="118">
        <f>'Data Entry'!F15</f>
        <v>0</v>
      </c>
      <c r="I16" s="117" t="str">
        <f>Asian!G15</f>
        <v>**</v>
      </c>
      <c r="J16" s="118">
        <f>'Data Entry'!J15</f>
        <v>3</v>
      </c>
      <c r="K16" s="119" t="str">
        <f>'All Minorities'!G15</f>
        <v>**</v>
      </c>
      <c r="L16"/>
      <c r="N16" s="1">
        <f>'Black or African-American'!L15</f>
        <v>40</v>
      </c>
      <c r="O16" s="1">
        <f>Hispanic!L15</f>
        <v>40</v>
      </c>
      <c r="P16" s="1">
        <f>Asian!L15</f>
        <v>40</v>
      </c>
      <c r="Q16" s="1" t="e">
        <f>Hawaiian!L15</f>
        <v>#VALUE!</v>
      </c>
      <c r="R16" s="1">
        <f>'Am Indian'!L15</f>
        <v>139</v>
      </c>
      <c r="S16" s="1">
        <f>'Other - Mixed'!L15</f>
        <v>139</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112</v>
      </c>
      <c r="C19" s="201"/>
      <c r="D19" s="201"/>
      <c r="E19" s="201"/>
      <c r="F19" s="201"/>
      <c r="G19" s="201"/>
      <c r="H19" s="201"/>
      <c r="I19" s="202"/>
      <c r="J19" s="203"/>
      <c r="K19" s="204"/>
    </row>
    <row r="20" spans="2:30" ht="15.75">
      <c r="B20" s="153" t="s">
        <v>117</v>
      </c>
      <c r="C20" s="208" t="s">
        <v>53</v>
      </c>
      <c r="D20" s="209"/>
      <c r="E20" s="192" t="s">
        <v>56</v>
      </c>
      <c r="F20" s="193"/>
      <c r="G20" s="193"/>
      <c r="H20" s="193"/>
      <c r="I20" s="193"/>
      <c r="J20" s="193"/>
      <c r="K20" s="154" t="s">
        <v>57</v>
      </c>
    </row>
    <row r="21" spans="2:30" ht="15" customHeight="1">
      <c r="B21" s="155" t="s">
        <v>118</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Kent County Juvenile Court</v>
      </c>
      <c r="E27" s="1" t="str">
        <f>'Data Entry'!D20</f>
        <v>Item 4.Diversion: Kent County Juvenile Court</v>
      </c>
      <c r="I27" s="96"/>
    </row>
    <row r="28" spans="2:30" ht="12.75" customHeight="1">
      <c r="B28" s="1" t="str">
        <f>'Data Entry'!A21</f>
        <v>Item 5.Detention: Kent County Juvenile Court</v>
      </c>
      <c r="E28" s="1" t="str">
        <f>'Data Entry'!D21</f>
        <v>Item 6.Petitioned: Kent County Juvenile Court</v>
      </c>
      <c r="I28" s="96"/>
    </row>
    <row r="29" spans="2:30" ht="12.75" customHeight="1">
      <c r="B29" s="1" t="str">
        <f>'Data Entry'!A22</f>
        <v>Item 7.Delinquent: Kent County Juvenile Court</v>
      </c>
      <c r="E29" s="1" t="str">
        <f>'Data Entry'!D22</f>
        <v>Item 8.Probation: Kent County Juvenile Court</v>
      </c>
      <c r="I29" s="96"/>
    </row>
    <row r="30" spans="2:30" ht="12.75" customHeight="1">
      <c r="B30" s="1" t="str">
        <f>'Data Entry'!A23</f>
        <v>Item 9.Confinement: Kent County Juvenile Court</v>
      </c>
      <c r="E30" s="1" t="str">
        <f>'Data Entry'!D23</f>
        <v>Item 10.Transferred: Kent County Juvenile Court</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44114</v>
      </c>
      <c r="D6" s="34"/>
      <c r="E6" s="33">
        <f>'Data Entry'!D6</f>
        <v>10052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580</v>
      </c>
      <c r="D7" s="34">
        <f>IF((AND(C66&gt;0,C7&gt;0)),(C7/C66),0)</f>
        <v>13.147753547626605</v>
      </c>
      <c r="E7" s="33">
        <f>'Data Entry'!D7</f>
        <v>655</v>
      </c>
      <c r="F7" s="34">
        <f>IF((AND($E$7&gt;0,$D$66&gt;0)),($E$7/$D$66),0)</f>
        <v>65.161161957819346</v>
      </c>
      <c r="G7" s="39">
        <f>IF(L$6=100,"*",IF(M7=FALSE,"--",IF(K7=20,"**",($F7/$D7))))</f>
        <v>4.9560681010469692</v>
      </c>
      <c r="H7" s="40"/>
      <c r="I7" s="41"/>
      <c r="J7" s="40">
        <f>IF((ABS($U7)&gt;Defaults!D$7),1,2)</f>
        <v>1</v>
      </c>
      <c r="K7" s="39">
        <f>IF((AND(N7&gt;Defaults!B$12,(N7+O7)&gt;Defaults!B$13, P7 &gt; Defaults!B$12, (P7+Q7) &gt; Defaults!B$13)),1,20)</f>
        <v>1</v>
      </c>
      <c r="L7" s="1">
        <f>(J7*K7+L$6)-1</f>
        <v>1</v>
      </c>
      <c r="M7" s="1" t="b">
        <f t="shared" ref="M7:M15" si="0">(ISNUMBER(J7))</f>
        <v>1</v>
      </c>
      <c r="N7" s="42">
        <f t="shared" ref="N7:N15" si="1">E7</f>
        <v>655</v>
      </c>
      <c r="O7" s="42">
        <f>E6-E7</f>
        <v>9397</v>
      </c>
      <c r="P7" s="42">
        <f t="shared" ref="P7:P15" si="2">C7</f>
        <v>580</v>
      </c>
      <c r="Q7" s="42">
        <f>C6-C7</f>
        <v>43534</v>
      </c>
      <c r="R7" s="42">
        <f t="shared" ref="R7:R15" si="3">SUM(N7:Q7)</f>
        <v>54166</v>
      </c>
      <c r="S7" s="30">
        <f t="shared" ref="S7:S15" si="4">R7*((((N7*Q7)-(O7*P7))^2))</f>
        <v>2.8814774852341055E+19</v>
      </c>
      <c r="T7" s="30">
        <f t="shared" ref="T7:T15" si="5">(N7+O7)*(P7+Q7)*(N7+P7)*(O7+Q7)</f>
        <v>2.898718053506548E+16</v>
      </c>
      <c r="U7" s="31">
        <f t="shared" ref="U7:U15" si="6">IF((S7&gt;0),S7/T7,"- -")</f>
        <v>994.0523472948372</v>
      </c>
    </row>
    <row r="8" spans="2:21" ht="18" customHeight="1">
      <c r="B8" s="32" t="str">
        <f>'Data Entry'!A8</f>
        <v>3. Refer to Juvenile Court</v>
      </c>
      <c r="C8" s="33">
        <f>'Data Entry'!C8</f>
        <v>856</v>
      </c>
      <c r="D8" s="34">
        <f>IF((AND(C67&gt;0,C8&gt;0)),(C8/C67),0)</f>
        <v>147.58620689655172</v>
      </c>
      <c r="E8" s="33">
        <f>'Data Entry'!D8</f>
        <v>973</v>
      </c>
      <c r="F8" s="34">
        <f>IF((AND($E$8&gt;0,$D$67&gt;0)),($E8/$D67),0)</f>
        <v>148.5496183206107</v>
      </c>
      <c r="G8" s="39">
        <f t="shared" ref="G8:G15" si="7">IF(L$6=100,"*",IF(M8=FALSE,"--",IF(K8=20,"**",($F8/$D8))))</f>
        <v>1.006527787686381</v>
      </c>
      <c r="H8" s="40"/>
      <c r="I8" s="41"/>
      <c r="J8" s="40">
        <f>IF((ABS($U8)&gt;Defaults!D$7),1,2)</f>
        <v>2</v>
      </c>
      <c r="K8" s="39">
        <f>IF((AND(N8&gt;Defaults!B$12,(N8+O8)&gt;Defaults!B$13, P8 &gt; Defaults!B$12, (P8+Q8) &gt; Defaults!B$13)),1,20)</f>
        <v>1</v>
      </c>
      <c r="L8" s="1">
        <f t="shared" ref="L8:L15" si="8">(J8*K8+L$6)-1</f>
        <v>2</v>
      </c>
      <c r="M8" s="1" t="b">
        <f t="shared" si="0"/>
        <v>1</v>
      </c>
      <c r="N8" s="42">
        <f t="shared" si="1"/>
        <v>973</v>
      </c>
      <c r="O8" s="42">
        <f>((D67*L67)-E8)+0.05</f>
        <v>-317.95</v>
      </c>
      <c r="P8" s="42">
        <f t="shared" si="2"/>
        <v>856</v>
      </c>
      <c r="Q8" s="42">
        <f>(C$67*L67)-C8</f>
        <v>-276</v>
      </c>
      <c r="R8" s="42">
        <f t="shared" si="3"/>
        <v>1235.05</v>
      </c>
      <c r="S8" s="30">
        <f t="shared" si="4"/>
        <v>16159561969.192102</v>
      </c>
      <c r="T8" s="30">
        <f t="shared" si="5"/>
        <v>-412729999246.95001</v>
      </c>
      <c r="U8" s="31">
        <f t="shared" si="6"/>
        <v>-3.9152865065966047E-2</v>
      </c>
    </row>
    <row r="9" spans="2:21" ht="18" customHeight="1">
      <c r="B9" s="32" t="str">
        <f>'Data Entry'!A9</f>
        <v xml:space="preserve">4. Cases Diverted </v>
      </c>
      <c r="C9" s="33">
        <f>'Data Entry'!C9</f>
        <v>290</v>
      </c>
      <c r="D9" s="34">
        <f>IF((AND(C68&gt;0,C9&gt;0)),((C9/C68)),0)</f>
        <v>33.878504672897193</v>
      </c>
      <c r="E9" s="33">
        <f>'Data Entry'!D9</f>
        <v>127</v>
      </c>
      <c r="F9" s="34">
        <f>IF((AND($E$9&gt;0,$D$68&gt;0)),(($E$9/$D$68)),0)</f>
        <v>13.052415210688592</v>
      </c>
      <c r="G9" s="39">
        <f t="shared" si="7"/>
        <v>0.38527129035687707</v>
      </c>
      <c r="H9" s="40"/>
      <c r="I9" s="41"/>
      <c r="J9" s="40">
        <f>IF((ABS($U9)&gt;Defaults!D$7),1,2)</f>
        <v>1</v>
      </c>
      <c r="K9" s="39">
        <f>IF((AND(N9&gt;Defaults!B$12,(N9+O9)&gt;Defaults!B$13, P9 &gt; Defaults!B$12, (P9+Q9) &gt; Defaults!B$13)),1,20)</f>
        <v>1</v>
      </c>
      <c r="L9" s="1">
        <f t="shared" si="8"/>
        <v>1</v>
      </c>
      <c r="M9" s="1" t="b">
        <f t="shared" si="0"/>
        <v>1</v>
      </c>
      <c r="N9" s="42">
        <f t="shared" si="1"/>
        <v>127</v>
      </c>
      <c r="O9" s="42">
        <f>(D$68*L68)-E9</f>
        <v>846</v>
      </c>
      <c r="P9" s="42">
        <f t="shared" si="2"/>
        <v>290</v>
      </c>
      <c r="Q9" s="42">
        <f>(C$68*L68)-C9</f>
        <v>566</v>
      </c>
      <c r="R9" s="42">
        <f t="shared" si="3"/>
        <v>1829</v>
      </c>
      <c r="S9" s="30">
        <f t="shared" si="4"/>
        <v>55030362630356</v>
      </c>
      <c r="T9" s="30">
        <f t="shared" si="5"/>
        <v>490407785952</v>
      </c>
      <c r="U9" s="31">
        <f t="shared" si="6"/>
        <v>112.21347663461087</v>
      </c>
    </row>
    <row r="10" spans="2:21" ht="18" customHeight="1">
      <c r="B10" s="32" t="str">
        <f>'Data Entry'!A10</f>
        <v>5. Cases Involving Secure Detention</v>
      </c>
      <c r="C10" s="33">
        <f>'Data Entry'!C10</f>
        <v>135</v>
      </c>
      <c r="D10" s="34">
        <f>IF(((AND(C68&gt;0,C10&gt;0))),(C10/(C68)),0)</f>
        <v>15.771028037383177</v>
      </c>
      <c r="E10" s="33">
        <f>'Data Entry'!D10</f>
        <v>414</v>
      </c>
      <c r="F10" s="34">
        <f>IF(((AND($E$10&gt;0,$D$68&gt;0))),($E$10/($D$68)),0)</f>
        <v>42.548818088386433</v>
      </c>
      <c r="G10" s="39">
        <f t="shared" si="7"/>
        <v>2.6979102432339843</v>
      </c>
      <c r="H10" s="40"/>
      <c r="I10" s="41"/>
      <c r="J10" s="40">
        <f>IF((ABS($U10)&gt;Defaults!D$7),1,2)</f>
        <v>1</v>
      </c>
      <c r="K10" s="39">
        <f>IF((AND(N10&gt;Defaults!B$12,(N10+O10)&gt;Defaults!B$13, P10 &gt; Defaults!B$12, (P10+Q10) &gt; Defaults!B$13)),1,20)</f>
        <v>1</v>
      </c>
      <c r="L10" s="1">
        <f t="shared" si="8"/>
        <v>1</v>
      </c>
      <c r="M10" s="1" t="b">
        <f t="shared" si="0"/>
        <v>1</v>
      </c>
      <c r="N10" s="42">
        <f t="shared" si="1"/>
        <v>414</v>
      </c>
      <c r="O10" s="42">
        <f>(D$68*L68)-E10</f>
        <v>559</v>
      </c>
      <c r="P10" s="42">
        <f t="shared" si="2"/>
        <v>135</v>
      </c>
      <c r="Q10" s="42">
        <f>(C$68*L68)-C10</f>
        <v>721</v>
      </c>
      <c r="R10" s="42">
        <f t="shared" si="3"/>
        <v>1829</v>
      </c>
      <c r="S10" s="30">
        <f t="shared" si="4"/>
        <v>90977998824189</v>
      </c>
      <c r="T10" s="30">
        <f t="shared" si="5"/>
        <v>585287055360</v>
      </c>
      <c r="U10" s="31">
        <f t="shared" si="6"/>
        <v>155.44167257932946</v>
      </c>
    </row>
    <row r="11" spans="2:21" ht="18" customHeight="1">
      <c r="B11" s="32" t="str">
        <f>'Data Entry'!A11</f>
        <v>6. Cases Petitioned (Charge Filed)</v>
      </c>
      <c r="C11" s="33">
        <f>'Data Entry'!C11</f>
        <v>412</v>
      </c>
      <c r="D11" s="34">
        <f>IF(((AND(C68&gt;0,C11&gt;0))),(C11/(C68)),0)</f>
        <v>48.130841121495322</v>
      </c>
      <c r="E11" s="33">
        <f>'Data Entry'!D11</f>
        <v>695</v>
      </c>
      <c r="F11" s="34">
        <f>IF(((AND($E$11&gt;0,$D$68&gt;0))),($E$11/($D$68)),0)</f>
        <v>71.428571428571431</v>
      </c>
      <c r="G11" s="39">
        <f t="shared" si="7"/>
        <v>1.4840499306518726</v>
      </c>
      <c r="H11" s="40"/>
      <c r="I11" s="41"/>
      <c r="J11" s="40">
        <f>IF((ABS($U11)&gt;Defaults!D$7),1,2)</f>
        <v>1</v>
      </c>
      <c r="K11" s="39">
        <f>IF((AND(N11&gt;Defaults!B$12,(N11+O11)&gt;Defaults!B$13, P11 &gt; Defaults!B$12, (P11+Q11) &gt; Defaults!B$13)),1,20)</f>
        <v>1</v>
      </c>
      <c r="L11" s="1">
        <f t="shared" si="8"/>
        <v>1</v>
      </c>
      <c r="M11" s="1" t="b">
        <f t="shared" si="0"/>
        <v>1</v>
      </c>
      <c r="N11" s="42">
        <f t="shared" si="1"/>
        <v>695</v>
      </c>
      <c r="O11" s="42">
        <f>(D$68*L68)-E11</f>
        <v>278</v>
      </c>
      <c r="P11" s="42">
        <f t="shared" si="2"/>
        <v>412</v>
      </c>
      <c r="Q11" s="42">
        <f>(C$68*L68)-C11</f>
        <v>444</v>
      </c>
      <c r="R11" s="42">
        <f t="shared" si="3"/>
        <v>1829</v>
      </c>
      <c r="S11" s="30">
        <f t="shared" si="4"/>
        <v>68867472228944</v>
      </c>
      <c r="T11" s="30">
        <f t="shared" si="5"/>
        <v>665689065552</v>
      </c>
      <c r="U11" s="31">
        <f t="shared" si="6"/>
        <v>103.45291186635008</v>
      </c>
    </row>
    <row r="12" spans="2:21" ht="18" customHeight="1">
      <c r="B12" s="32" t="str">
        <f>'Data Entry'!A12</f>
        <v>7. Cases Resulting in Delinquent Findings</v>
      </c>
      <c r="C12" s="33">
        <f>'Data Entry'!C12</f>
        <v>159</v>
      </c>
      <c r="D12" s="34">
        <f>IF(((AND(C69&gt;0,C12&gt;0))),(C12/(C69)),0)</f>
        <v>38.592233009708735</v>
      </c>
      <c r="E12" s="33">
        <f>'Data Entry'!D12</f>
        <v>318</v>
      </c>
      <c r="F12" s="34">
        <f>IF(((AND($D$69&gt;0,$E$12&gt;0))),(E12/(D69)),0)</f>
        <v>45.755395683453237</v>
      </c>
      <c r="G12" s="39">
        <f t="shared" si="7"/>
        <v>1.185611510791367</v>
      </c>
      <c r="H12" s="40"/>
      <c r="I12" s="41"/>
      <c r="J12" s="40">
        <f>IF((ABS($U12)&gt;Defaults!D$7),1,2)</f>
        <v>1</v>
      </c>
      <c r="K12" s="39">
        <f>IF((AND(N12&gt;Defaults!B$12,(N12+O12)&gt;Defaults!B$13, P12 &gt; Defaults!B$12, (P12+Q12) &gt; Defaults!B$13)),1,20)</f>
        <v>1</v>
      </c>
      <c r="L12" s="1">
        <f t="shared" si="8"/>
        <v>1</v>
      </c>
      <c r="M12" s="1" t="b">
        <f t="shared" si="0"/>
        <v>1</v>
      </c>
      <c r="N12" s="42">
        <f t="shared" si="1"/>
        <v>318</v>
      </c>
      <c r="O12" s="42">
        <f>(D69*L69)-E12</f>
        <v>377</v>
      </c>
      <c r="P12" s="42">
        <f t="shared" si="2"/>
        <v>159</v>
      </c>
      <c r="Q12" s="42">
        <f>(C69*L69)-C12</f>
        <v>253</v>
      </c>
      <c r="R12" s="42">
        <f t="shared" si="3"/>
        <v>1107</v>
      </c>
      <c r="S12" s="30">
        <f t="shared" si="4"/>
        <v>465716140947</v>
      </c>
      <c r="T12" s="30">
        <f t="shared" si="5"/>
        <v>86048033400</v>
      </c>
      <c r="U12" s="31">
        <f t="shared" si="6"/>
        <v>5.4122810544906654</v>
      </c>
    </row>
    <row r="13" spans="2:21" ht="18" customHeight="1">
      <c r="B13" s="32" t="str">
        <f>'Data Entry'!A13</f>
        <v>8. Cases Resulting in Probation Placement</v>
      </c>
      <c r="C13" s="33">
        <f>'Data Entry'!C13</f>
        <v>160</v>
      </c>
      <c r="D13" s="34">
        <f>IF(((AND(C70&gt;0,C13&gt;0))),(C13/(C70)),0)</f>
        <v>100.62893081761005</v>
      </c>
      <c r="E13" s="33">
        <f>'Data Entry'!D13</f>
        <v>188</v>
      </c>
      <c r="F13" s="34">
        <f>IF(((AND($D$70&gt;0,$E$13&gt;0))),($E$13/($D$70)),0)</f>
        <v>59.119496855345908</v>
      </c>
      <c r="G13" s="39">
        <f t="shared" si="7"/>
        <v>0.58750000000000002</v>
      </c>
      <c r="H13" s="40"/>
      <c r="I13" s="41"/>
      <c r="J13" s="40">
        <f>IF((ABS($U13)&gt;Defaults!D$7),1,2)</f>
        <v>1</v>
      </c>
      <c r="K13" s="39">
        <f>IF((AND(N13&gt;Defaults!B$12,(N13+O13)&gt;Defaults!B$13, P13 &gt; Defaults!B$12, (P13+Q13) &gt; Defaults!B$13)),1,20)</f>
        <v>1</v>
      </c>
      <c r="L13" s="1">
        <f t="shared" si="8"/>
        <v>1</v>
      </c>
      <c r="M13" s="1" t="b">
        <f t="shared" si="0"/>
        <v>1</v>
      </c>
      <c r="N13" s="42">
        <f t="shared" si="1"/>
        <v>188</v>
      </c>
      <c r="O13" s="42">
        <f>(D70*L70)-E13</f>
        <v>130</v>
      </c>
      <c r="P13" s="42">
        <f t="shared" si="2"/>
        <v>160</v>
      </c>
      <c r="Q13" s="42">
        <f>(C70*L70)-C13</f>
        <v>-1</v>
      </c>
      <c r="R13" s="42">
        <f t="shared" si="3"/>
        <v>477</v>
      </c>
      <c r="S13" s="30">
        <f t="shared" si="4"/>
        <v>210116660688</v>
      </c>
      <c r="T13" s="30">
        <f t="shared" si="5"/>
        <v>2269829304</v>
      </c>
      <c r="U13" s="31">
        <f t="shared" si="6"/>
        <v>92.569366479550922</v>
      </c>
    </row>
    <row r="14" spans="2:21" ht="30.75" customHeight="1">
      <c r="B14" s="32" t="str">
        <f>'Data Entry'!A14</f>
        <v xml:space="preserve">9. Cases Resulting in Confinement in Secure Juvenile Correctional Facilities </v>
      </c>
      <c r="C14" s="33">
        <f>'Data Entry'!C14</f>
        <v>6</v>
      </c>
      <c r="D14" s="34">
        <f>IF(((AND(C70&gt;0,C14&gt;0))), ((C14/(C70))),0)</f>
        <v>3.773584905660377</v>
      </c>
      <c r="E14" s="33">
        <f>'Data Entry'!D14</f>
        <v>8</v>
      </c>
      <c r="F14" s="34">
        <f>IF(((AND($D$70&gt;0,$E$14&gt;0))), (($E$14/($D$70))),0)</f>
        <v>2.5157232704402515</v>
      </c>
      <c r="G14" s="39">
        <f t="shared" si="7"/>
        <v>0.66666666666666674</v>
      </c>
      <c r="H14" s="40"/>
      <c r="I14" s="41"/>
      <c r="J14" s="40">
        <f>IF((ABS($U14)&gt;Defaults!D$7),1,2)</f>
        <v>2</v>
      </c>
      <c r="K14" s="39">
        <f>IF((AND(N14&gt;Defaults!B$12,(N14+O14)&gt;Defaults!B$13, P14 &gt; Defaults!B$12, (P14+Q14) &gt; Defaults!B$13)),1,20)</f>
        <v>1</v>
      </c>
      <c r="L14" s="1">
        <f t="shared" si="8"/>
        <v>2</v>
      </c>
      <c r="M14" s="1" t="b">
        <f t="shared" si="0"/>
        <v>1</v>
      </c>
      <c r="N14" s="42">
        <f t="shared" si="1"/>
        <v>8</v>
      </c>
      <c r="O14" s="42">
        <f>(D70*L70)-E14</f>
        <v>310</v>
      </c>
      <c r="P14" s="42">
        <f t="shared" si="2"/>
        <v>6</v>
      </c>
      <c r="Q14" s="42">
        <f>(C70*L70)-C14</f>
        <v>153</v>
      </c>
      <c r="R14" s="42">
        <f t="shared" si="3"/>
        <v>477</v>
      </c>
      <c r="S14" s="30">
        <f t="shared" si="4"/>
        <v>192944592</v>
      </c>
      <c r="T14" s="30">
        <f t="shared" si="5"/>
        <v>327742884</v>
      </c>
      <c r="U14" s="31">
        <f t="shared" si="6"/>
        <v>0.58870718913915454</v>
      </c>
    </row>
    <row r="15" spans="2:21" ht="15.75" customHeight="1">
      <c r="B15" s="32" t="str">
        <f>'Data Entry'!A15</f>
        <v xml:space="preserve">10. Cases Transferred to Adult Court </v>
      </c>
      <c r="C15" s="33">
        <f>'Data Entry'!C15</f>
        <v>1</v>
      </c>
      <c r="D15" s="34">
        <f>IF(((AND(C69&gt;0,C15&gt;0))),((C15/(C69))),0)</f>
        <v>0.24271844660194175</v>
      </c>
      <c r="E15" s="33">
        <f>'Data Entry'!D15</f>
        <v>3</v>
      </c>
      <c r="F15" s="34">
        <f>IF(((AND($D$69&gt;0,$E$15&gt;0))),(($E$15/($D$69))),0)</f>
        <v>0.43165467625899279</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3</v>
      </c>
      <c r="O15" s="42">
        <f>(D69*L69)-E15</f>
        <v>692</v>
      </c>
      <c r="P15" s="42">
        <f t="shared" si="2"/>
        <v>1</v>
      </c>
      <c r="Q15" s="42">
        <f>(C69*L69)-C15</f>
        <v>411</v>
      </c>
      <c r="R15" s="42">
        <f t="shared" si="3"/>
        <v>1107</v>
      </c>
      <c r="S15" s="30">
        <f t="shared" si="4"/>
        <v>323997867</v>
      </c>
      <c r="T15" s="30">
        <f t="shared" si="5"/>
        <v>1263332080</v>
      </c>
      <c r="U15" s="31">
        <f t="shared" si="6"/>
        <v>0.25646294598962449</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44.113999999999997</v>
      </c>
      <c r="D42" s="56">
        <f>E6/1000</f>
        <v>10.052</v>
      </c>
      <c r="E42" s="56">
        <f>MAX(C42:D42)</f>
        <v>44.113999999999997</v>
      </c>
      <c r="G42" s="1" t="str">
        <f>B42</f>
        <v>per 1000 youth</v>
      </c>
      <c r="L42" s="57">
        <v>1000</v>
      </c>
      <c r="M42" s="57"/>
      <c r="R42" s="49"/>
    </row>
    <row r="43" spans="2:18" ht="15" hidden="1" customHeight="1">
      <c r="B43" s="49" t="s">
        <v>87</v>
      </c>
      <c r="C43" s="56">
        <f>C7/100</f>
        <v>5.8</v>
      </c>
      <c r="D43" s="56">
        <f>E7/100</f>
        <v>6.55</v>
      </c>
      <c r="E43" s="56">
        <f>MAX(C43:D43,0)</f>
        <v>6.55</v>
      </c>
      <c r="G43" s="1" t="str">
        <f>B43</f>
        <v>per 100 arrests</v>
      </c>
      <c r="L43" s="57">
        <v>100</v>
      </c>
      <c r="M43" s="57"/>
      <c r="R43" s="49"/>
    </row>
    <row r="44" spans="2:18" ht="15" hidden="1" customHeight="1">
      <c r="B44" s="49" t="s">
        <v>88</v>
      </c>
      <c r="C44" s="56">
        <f>C8/100</f>
        <v>8.56</v>
      </c>
      <c r="D44" s="56">
        <f>E8/100</f>
        <v>9.73</v>
      </c>
      <c r="E44" s="56">
        <f>MAX(C44:D44,0)</f>
        <v>9.73</v>
      </c>
      <c r="G44" s="1" t="str">
        <f>B44</f>
        <v>per 100 referrals</v>
      </c>
      <c r="L44" s="57">
        <v>100</v>
      </c>
      <c r="M44" s="57"/>
      <c r="R44" s="49"/>
    </row>
    <row r="45" spans="2:18" ht="15" hidden="1" customHeight="1">
      <c r="B45" s="49" t="s">
        <v>89</v>
      </c>
      <c r="C45" s="49">
        <f>C11/100</f>
        <v>4.12</v>
      </c>
      <c r="D45" s="49">
        <f>E11/100</f>
        <v>6.95</v>
      </c>
      <c r="E45" s="56">
        <f>MAX(C45:D45,0)</f>
        <v>6.95</v>
      </c>
      <c r="G45" s="1" t="str">
        <f>B45</f>
        <v>per 100 youth petitioned</v>
      </c>
      <c r="L45" s="57">
        <v>100</v>
      </c>
      <c r="M45" s="57"/>
      <c r="R45" s="49"/>
    </row>
    <row r="46" spans="2:18" ht="15" hidden="1" customHeight="1">
      <c r="B46" s="49" t="s">
        <v>90</v>
      </c>
      <c r="C46" s="49">
        <f>C12/100</f>
        <v>1.59</v>
      </c>
      <c r="D46" s="49">
        <f>E12/100</f>
        <v>3.18</v>
      </c>
      <c r="E46" s="56">
        <f>MAX(C46:D46)</f>
        <v>3.18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44.113999999999997</v>
      </c>
      <c r="D48" s="56">
        <f>D42</f>
        <v>10.052</v>
      </c>
      <c r="E48" s="56">
        <f>MAX(C48:D48)</f>
        <v>44.113999999999997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5.8</v>
      </c>
      <c r="D49" s="49">
        <f t="shared" si="9"/>
        <v>6.55</v>
      </c>
      <c r="E49" s="49">
        <f>MAX(C49:D49)</f>
        <v>6.55</v>
      </c>
      <c r="G49" s="1" t="str">
        <f>G43</f>
        <v>per 100 arrests</v>
      </c>
      <c r="L49" s="58">
        <f>IF(($E43&gt;0),L43,L42)</f>
        <v>100</v>
      </c>
      <c r="M49" s="58"/>
      <c r="N49" s="21"/>
      <c r="O49" s="21"/>
      <c r="P49" s="21"/>
      <c r="Q49" s="21"/>
      <c r="R49" s="21"/>
    </row>
    <row r="50" spans="2:18" ht="15" hidden="1" customHeight="1">
      <c r="B50" s="49" t="str">
        <f t="shared" si="9"/>
        <v>per 100 referrals</v>
      </c>
      <c r="C50" s="49">
        <f t="shared" si="9"/>
        <v>8.56</v>
      </c>
      <c r="D50" s="49">
        <f t="shared" si="9"/>
        <v>9.73</v>
      </c>
      <c r="E50" s="49">
        <f>MAX(C50:D50)</f>
        <v>9.73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4.12</v>
      </c>
      <c r="D51" s="49">
        <f>IF(($E45&gt;0),D45,D44)</f>
        <v>6.95</v>
      </c>
      <c r="E51" s="49">
        <f>MAX(C51:D51)</f>
        <v>6.95</v>
      </c>
      <c r="G51" s="1" t="str">
        <f>G45</f>
        <v>per 100 youth petitioned</v>
      </c>
      <c r="L51" s="58">
        <f>IF(($E45&gt;0),L45,L44)</f>
        <v>100</v>
      </c>
      <c r="M51" s="58"/>
    </row>
    <row r="52" spans="2:18" ht="15" hidden="1" customHeight="1">
      <c r="B52" s="49" t="str">
        <f>IF(($E46&gt;0),B46,B45)</f>
        <v>per 100 youth found delinquent</v>
      </c>
      <c r="C52" s="49">
        <f>IF(($E46&gt;0),C46,C45)</f>
        <v>1.59</v>
      </c>
      <c r="D52" s="49">
        <f>IF(($E46&gt;0),D46,D45)</f>
        <v>3.18</v>
      </c>
      <c r="E52" s="56">
        <f>MAX(C52:D52)</f>
        <v>3.18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44.113999999999997</v>
      </c>
      <c r="D54" s="56">
        <f>D48</f>
        <v>10.052</v>
      </c>
      <c r="E54" s="56">
        <f>MAX(C54:D54)</f>
        <v>44.113999999999997</v>
      </c>
      <c r="G54" s="1" t="str">
        <f>G48</f>
        <v>per 1000 youth</v>
      </c>
      <c r="L54" s="58">
        <f>L48</f>
        <v>1000</v>
      </c>
      <c r="M54" s="58"/>
    </row>
    <row r="55" spans="2:18" ht="15" hidden="1" customHeight="1">
      <c r="B55" s="49" t="str">
        <f t="shared" ref="B55:D56" si="10">IF(($E49&gt;0),B49,B48)</f>
        <v>per 100 arrests</v>
      </c>
      <c r="C55" s="49">
        <f t="shared" si="10"/>
        <v>5.8</v>
      </c>
      <c r="D55" s="49">
        <f t="shared" si="10"/>
        <v>6.55</v>
      </c>
      <c r="E55" s="49">
        <f>MAX(C55:D55)</f>
        <v>6.55</v>
      </c>
      <c r="G55" s="1" t="str">
        <f>G49</f>
        <v>per 100 arrests</v>
      </c>
      <c r="L55" s="58">
        <f>IF(($E49&gt;0),L49,L48)</f>
        <v>100</v>
      </c>
      <c r="M55" s="58"/>
    </row>
    <row r="56" spans="2:18" ht="15" hidden="1" customHeight="1">
      <c r="B56" s="49" t="str">
        <f t="shared" si="10"/>
        <v>per 100 referrals</v>
      </c>
      <c r="C56" s="49">
        <f t="shared" si="10"/>
        <v>8.56</v>
      </c>
      <c r="D56" s="49">
        <f t="shared" si="10"/>
        <v>9.73</v>
      </c>
      <c r="E56" s="49">
        <f>MAX(C56:D56)</f>
        <v>9.73</v>
      </c>
      <c r="G56" s="1" t="str">
        <f>G50</f>
        <v>per 100 referrals</v>
      </c>
      <c r="L56" s="58">
        <f>IF(($E50&gt;0),L50,L49)</f>
        <v>100</v>
      </c>
      <c r="M56" s="58"/>
    </row>
    <row r="57" spans="2:18" ht="15" hidden="1" customHeight="1">
      <c r="B57" s="49" t="str">
        <f>IF(($E51&gt;0),B51,B49)</f>
        <v>per 100 youth petitioned</v>
      </c>
      <c r="C57" s="49">
        <f>IF(($E51&gt;0),C51,C50)</f>
        <v>4.12</v>
      </c>
      <c r="D57" s="49">
        <f>IF(($E51&gt;0),D51,D50)</f>
        <v>6.95</v>
      </c>
      <c r="E57" s="49">
        <f>MAX(C57:D57)</f>
        <v>6.95</v>
      </c>
      <c r="G57" s="1" t="str">
        <f>G51</f>
        <v>per 100 youth petitioned</v>
      </c>
      <c r="L57" s="58">
        <f>IF(($E51&gt;0),L51,L50)</f>
        <v>100</v>
      </c>
      <c r="M57" s="58"/>
    </row>
    <row r="58" spans="2:18" ht="15" hidden="1" customHeight="1">
      <c r="B58" s="49" t="str">
        <f>IF(($E52&gt;0),B52,B51)</f>
        <v>per 100 youth found delinquent</v>
      </c>
      <c r="C58" s="49">
        <f>IF(($E52&gt;0),C52,C51)</f>
        <v>1.59</v>
      </c>
      <c r="D58" s="49">
        <f>IF(($E52&gt;0),D52,D51)</f>
        <v>3.18</v>
      </c>
      <c r="E58" s="56">
        <f>MAX(C58:D58)</f>
        <v>3.18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44.113999999999997</v>
      </c>
      <c r="D60" s="56">
        <f>D54</f>
        <v>10.052</v>
      </c>
      <c r="E60" s="56">
        <f>MAX(C60:D60)</f>
        <v>44.113999999999997</v>
      </c>
      <c r="G60" s="1" t="str">
        <f>G54</f>
        <v>per 1000 youth</v>
      </c>
      <c r="L60" s="58">
        <f>L54</f>
        <v>1000</v>
      </c>
      <c r="M60" s="58"/>
    </row>
    <row r="61" spans="2:18" ht="15" hidden="1" customHeight="1">
      <c r="B61" s="49" t="str">
        <f t="shared" ref="B61:D62" si="11">IF(($E55&gt;0),B55,B54)</f>
        <v>per 100 arrests</v>
      </c>
      <c r="C61" s="49">
        <f t="shared" si="11"/>
        <v>5.8</v>
      </c>
      <c r="D61" s="49">
        <f t="shared" si="11"/>
        <v>6.55</v>
      </c>
      <c r="E61" s="49">
        <f>MAX(C61:D61)</f>
        <v>6.55</v>
      </c>
      <c r="G61" s="1" t="str">
        <f>G55</f>
        <v>per 100 arrests</v>
      </c>
      <c r="L61" s="58">
        <f>IF(($E55&gt;0),L55,L54)</f>
        <v>100</v>
      </c>
      <c r="M61" s="58"/>
    </row>
    <row r="62" spans="2:18" ht="15" hidden="1" customHeight="1">
      <c r="B62" s="49" t="str">
        <f t="shared" si="11"/>
        <v>per 100 referrals</v>
      </c>
      <c r="C62" s="49">
        <f t="shared" si="11"/>
        <v>8.56</v>
      </c>
      <c r="D62" s="49">
        <f t="shared" si="11"/>
        <v>9.73</v>
      </c>
      <c r="E62" s="49">
        <f>MAX(C62:D62)</f>
        <v>9.73</v>
      </c>
      <c r="G62" s="1" t="str">
        <f>G56</f>
        <v>per 100 referrals</v>
      </c>
      <c r="L62" s="58">
        <f>IF(($E56&gt;0),L56,L55)</f>
        <v>100</v>
      </c>
      <c r="M62" s="58"/>
    </row>
    <row r="63" spans="2:18" ht="15" hidden="1" customHeight="1">
      <c r="B63" s="49" t="str">
        <f>IF(($E57&gt;0),B57,B55)</f>
        <v>per 100 youth petitioned</v>
      </c>
      <c r="C63" s="49">
        <f>IF(($E57&gt;0),C57,C56)</f>
        <v>4.12</v>
      </c>
      <c r="D63" s="49">
        <f>IF(($E57&gt;0),D57,D56)</f>
        <v>6.95</v>
      </c>
      <c r="E63" s="49">
        <f>MAX(C63:D63)</f>
        <v>6.95</v>
      </c>
      <c r="G63" s="1" t="str">
        <f>G57</f>
        <v>per 100 youth petitioned</v>
      </c>
      <c r="L63" s="58">
        <f>IF(($E57&gt;0),L57,L56)</f>
        <v>100</v>
      </c>
      <c r="M63" s="58"/>
    </row>
    <row r="64" spans="2:18" ht="15" hidden="1" customHeight="1">
      <c r="B64" s="49" t="str">
        <f>IF(($E58&gt;0),B58,B57)</f>
        <v>per 100 youth found delinquent</v>
      </c>
      <c r="C64" s="49">
        <f>IF(($E58&gt;0),C58,C57)</f>
        <v>1.59</v>
      </c>
      <c r="D64" s="49">
        <f>IF(($E58&gt;0),D58,D57)</f>
        <v>3.18</v>
      </c>
      <c r="E64" s="56">
        <f>MAX(C64:D64)</f>
        <v>3.18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44.113999999999997</v>
      </c>
      <c r="D66" s="56">
        <f>D60</f>
        <v>10.052</v>
      </c>
      <c r="E66" s="56">
        <f>MAX(C66:D66)</f>
        <v>44.113999999999997</v>
      </c>
      <c r="G66" s="1" t="str">
        <f>G60</f>
        <v>per 1000 youth</v>
      </c>
      <c r="L66" s="58">
        <f>L60</f>
        <v>1000</v>
      </c>
      <c r="M66" s="58">
        <f>IF((B66=G66),1,2)</f>
        <v>1</v>
      </c>
    </row>
    <row r="67" spans="2:13" ht="15" hidden="1" customHeight="1">
      <c r="B67" s="49" t="str">
        <f t="shared" ref="B67:D68" si="12">IF(($E61&gt;0),B61,B60)</f>
        <v>per 100 arrests</v>
      </c>
      <c r="C67" s="49">
        <f t="shared" si="12"/>
        <v>5.8</v>
      </c>
      <c r="D67" s="49">
        <f t="shared" si="12"/>
        <v>6.55</v>
      </c>
      <c r="E67" s="49">
        <f>MAX(C67:D67)</f>
        <v>6.55</v>
      </c>
      <c r="G67" s="1" t="str">
        <f>G61</f>
        <v>per 100 arrests</v>
      </c>
      <c r="L67" s="58">
        <f>IF(($E61&gt;0),L61,L60)</f>
        <v>100</v>
      </c>
      <c r="M67" s="58">
        <f>IF((B67=G67),1,2)</f>
        <v>1</v>
      </c>
    </row>
    <row r="68" spans="2:13" ht="15" hidden="1" customHeight="1">
      <c r="B68" s="49" t="str">
        <f t="shared" si="12"/>
        <v>per 100 referrals</v>
      </c>
      <c r="C68" s="49">
        <f t="shared" si="12"/>
        <v>8.56</v>
      </c>
      <c r="D68" s="49">
        <f t="shared" si="12"/>
        <v>9.73</v>
      </c>
      <c r="E68" s="49">
        <f>MAX(C68:D68)</f>
        <v>9.73</v>
      </c>
      <c r="G68" s="1" t="str">
        <f>G62</f>
        <v>per 100 referrals</v>
      </c>
      <c r="L68" s="58">
        <f>IF(($E62&gt;0),L62,L61)</f>
        <v>100</v>
      </c>
      <c r="M68" s="58">
        <f>IF((B68=G68),1,2)</f>
        <v>1</v>
      </c>
    </row>
    <row r="69" spans="2:13" ht="15" hidden="1" customHeight="1">
      <c r="B69" s="49" t="str">
        <f>IF(($E63&gt;0),B63,B61)</f>
        <v>per 100 youth petitioned</v>
      </c>
      <c r="C69" s="49">
        <f>IF(($E63&gt;0),C63,C62)</f>
        <v>4.12</v>
      </c>
      <c r="D69" s="49">
        <f>IF(($E63&gt;0),D63,D62)</f>
        <v>6.95</v>
      </c>
      <c r="E69" s="49">
        <f>MAX(C69:D69)</f>
        <v>6.95</v>
      </c>
      <c r="G69" s="1" t="str">
        <f>G63</f>
        <v>per 100 youth petitioned</v>
      </c>
      <c r="L69" s="58">
        <f>IF(($E63&gt;0),L63,L62)</f>
        <v>100</v>
      </c>
      <c r="M69" s="58">
        <f>IF((B69=G69),1,2)</f>
        <v>1</v>
      </c>
    </row>
    <row r="70" spans="2:13" ht="15" hidden="1" customHeight="1">
      <c r="B70" s="49" t="str">
        <f>IF(($E64&gt;0),B64,B63)</f>
        <v>per 100 youth found delinquent</v>
      </c>
      <c r="C70" s="49">
        <f>IF(($E64&gt;0),C64,C63)</f>
        <v>1.59</v>
      </c>
      <c r="D70" s="49">
        <f>IF(($E64&gt;0),D64,D63)</f>
        <v>3.18</v>
      </c>
      <c r="E70" s="56">
        <f>MAX(C70:D70)</f>
        <v>3.18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44114</v>
      </c>
      <c r="D6" s="34"/>
      <c r="E6" s="33">
        <f>'Data Entry'!F6</f>
        <v>2948</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580</v>
      </c>
      <c r="D7" s="34">
        <f>IF((AND(C66&gt;0,C7&gt;0)),(C7/C66),0)</f>
        <v>13.147753547626605</v>
      </c>
      <c r="E7" s="33">
        <f>'Data Entry'!F7</f>
        <v>9</v>
      </c>
      <c r="F7" s="34">
        <f>IF((AND($E$7&gt;0,$D$66&gt;0)),($E$7/$D$66),0)</f>
        <v>3.0529172320217097</v>
      </c>
      <c r="G7" s="39">
        <f t="shared" ref="G7:G15" si="0">IF(L$6=100,"*",IF(M7=FALSE,"--",IF(K7=20,"**",($F7/$D7))))</f>
        <v>0.23220067374725117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9</v>
      </c>
      <c r="O7" s="42">
        <f>E6-E7</f>
        <v>2939</v>
      </c>
      <c r="P7" s="42">
        <f t="shared" ref="P7:P15" si="4">C7</f>
        <v>580</v>
      </c>
      <c r="Q7" s="42">
        <f>C6-C7</f>
        <v>43534</v>
      </c>
      <c r="R7" s="42">
        <f t="shared" ref="R7:R15" si="5">SUM(N7:Q7)</f>
        <v>47062</v>
      </c>
      <c r="S7" s="30">
        <f t="shared" ref="S7:S15" si="6">R7*((((N7*Q7)-(O7*P7))^2))</f>
        <v>8.111044393112496E+16</v>
      </c>
      <c r="T7" s="30">
        <f t="shared" ref="T7:T15" si="7">(N7+O7)*(P7+Q7)*(N7+P7)*(O7+Q7)</f>
        <v>3559753465482984</v>
      </c>
      <c r="U7" s="31">
        <f t="shared" ref="U7:U15" si="8">IF((S7&gt;0),S7/T7,"- -")</f>
        <v>22.785410483509416</v>
      </c>
    </row>
    <row r="8" spans="2:21" ht="18" customHeight="1">
      <c r="B8" s="32" t="str">
        <f>'Data Entry'!A8</f>
        <v>3. Refer to Juvenile Court</v>
      </c>
      <c r="C8" s="33">
        <f>'Data Entry'!C8</f>
        <v>856</v>
      </c>
      <c r="D8" s="34">
        <f>IF((AND(C67&gt;0,C8&gt;0)),(C8/C67),0)</f>
        <v>147.58620689655172</v>
      </c>
      <c r="E8" s="33">
        <f>'Data Entry'!F8</f>
        <v>28</v>
      </c>
      <c r="F8" s="34">
        <f>IF((AND($E$8&gt;0,$D$67&gt;0)),($E8/$D67),0)</f>
        <v>311.11111111111114</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28</v>
      </c>
      <c r="O8" s="42">
        <f>((D67*L67)-E8)+0.05</f>
        <v>-18.95</v>
      </c>
      <c r="P8" s="42">
        <f t="shared" si="4"/>
        <v>856</v>
      </c>
      <c r="Q8" s="42">
        <f>(C$67*L67)-C8</f>
        <v>-276</v>
      </c>
      <c r="R8" s="42">
        <f t="shared" si="5"/>
        <v>589.04999999999995</v>
      </c>
      <c r="S8" s="30">
        <f t="shared" si="6"/>
        <v>42490795557.671982</v>
      </c>
      <c r="T8" s="30">
        <f t="shared" si="7"/>
        <v>-1368602214.2</v>
      </c>
      <c r="U8" s="31">
        <f t="shared" si="8"/>
        <v>-31.046855775043053</v>
      </c>
    </row>
    <row r="9" spans="2:21" ht="18" customHeight="1">
      <c r="B9" s="32" t="str">
        <f>'Data Entry'!A9</f>
        <v xml:space="preserve">4. Cases Diverted </v>
      </c>
      <c r="C9" s="33">
        <f>'Data Entry'!C9</f>
        <v>290</v>
      </c>
      <c r="D9" s="34">
        <f>IF((AND(C68&gt;0,C9&gt;0)),((C9/C68)),0)</f>
        <v>33.878504672897193</v>
      </c>
      <c r="E9" s="33">
        <f>'Data Entry'!F9</f>
        <v>3</v>
      </c>
      <c r="F9" s="34">
        <f>IF((AND($E$9&gt;0,$D$68&gt;0)),(($E$9/$D$68)),0)</f>
        <v>10.714285714285714</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3</v>
      </c>
      <c r="O9" s="42">
        <f>(D$68*L68)-E9</f>
        <v>25.000000000000004</v>
      </c>
      <c r="P9" s="42">
        <f t="shared" si="4"/>
        <v>290</v>
      </c>
      <c r="Q9" s="42">
        <f>(C$68*L68)-C9</f>
        <v>566</v>
      </c>
      <c r="R9" s="42">
        <f t="shared" si="5"/>
        <v>884</v>
      </c>
      <c r="S9" s="30">
        <f t="shared" si="6"/>
        <v>27249038336.000011</v>
      </c>
      <c r="T9" s="30">
        <f t="shared" si="7"/>
        <v>4150370784.0000005</v>
      </c>
      <c r="U9" s="31">
        <f t="shared" si="8"/>
        <v>6.5654467405772889</v>
      </c>
    </row>
    <row r="10" spans="2:21" ht="18" customHeight="1">
      <c r="B10" s="32" t="str">
        <f>'Data Entry'!A10</f>
        <v>5. Cases Involving Secure Detention</v>
      </c>
      <c r="C10" s="33">
        <f>'Data Entry'!C10</f>
        <v>135</v>
      </c>
      <c r="D10" s="34">
        <f>IF(((AND(C68&gt;0,C10&gt;0))),(C10/(C68)),0)</f>
        <v>15.771028037383177</v>
      </c>
      <c r="E10" s="33">
        <f>'Data Entry'!F10</f>
        <v>6</v>
      </c>
      <c r="F10" s="34">
        <f>IF(((AND($E$10&gt;0,$D$68&gt;0))),($E$10/($D$68)),0)</f>
        <v>21.428571428571427</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6</v>
      </c>
      <c r="O10" s="42">
        <f>(D$68*L68)-E10</f>
        <v>22.000000000000004</v>
      </c>
      <c r="P10" s="42">
        <f t="shared" si="4"/>
        <v>135</v>
      </c>
      <c r="Q10" s="42">
        <f>(C$68*L68)-C10</f>
        <v>721</v>
      </c>
      <c r="R10" s="42">
        <f t="shared" si="5"/>
        <v>884</v>
      </c>
      <c r="S10" s="30">
        <f t="shared" si="6"/>
        <v>1625442623.999999</v>
      </c>
      <c r="T10" s="30">
        <f t="shared" si="7"/>
        <v>2510959584.0000005</v>
      </c>
      <c r="U10" s="31">
        <f t="shared" si="8"/>
        <v>0.64733922216726481</v>
      </c>
    </row>
    <row r="11" spans="2:21" ht="18" customHeight="1">
      <c r="B11" s="32" t="str">
        <f>'Data Entry'!A11</f>
        <v>6. Cases Petitioned (Charge Filed)</v>
      </c>
      <c r="C11" s="33">
        <f>'Data Entry'!C11</f>
        <v>412</v>
      </c>
      <c r="D11" s="34">
        <f>IF(((AND(C68&gt;0,C11&gt;0))),(C11/(C68)),0)</f>
        <v>48.130841121495322</v>
      </c>
      <c r="E11" s="33">
        <f>'Data Entry'!F11</f>
        <v>19</v>
      </c>
      <c r="F11" s="34">
        <f>IF(((AND($E$11&gt;0,$D$68&gt;0))),($E$11/($D$68)),0)</f>
        <v>67.857142857142847</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19</v>
      </c>
      <c r="O11" s="42">
        <f>(D$68*L68)-E11</f>
        <v>9.0000000000000036</v>
      </c>
      <c r="P11" s="42">
        <f t="shared" si="4"/>
        <v>412</v>
      </c>
      <c r="Q11" s="42">
        <f>(C$68*L68)-C11</f>
        <v>444</v>
      </c>
      <c r="R11" s="42">
        <f t="shared" si="5"/>
        <v>884</v>
      </c>
      <c r="S11" s="30">
        <f t="shared" si="6"/>
        <v>19760921855.999985</v>
      </c>
      <c r="T11" s="30">
        <f t="shared" si="7"/>
        <v>4679584224.000001</v>
      </c>
      <c r="U11" s="31">
        <f t="shared" si="8"/>
        <v>4.222794357381777</v>
      </c>
    </row>
    <row r="12" spans="2:21" ht="18" customHeight="1">
      <c r="B12" s="32" t="str">
        <f>'Data Entry'!A12</f>
        <v>7. Cases Resulting in Delinquent Findings</v>
      </c>
      <c r="C12" s="33">
        <f>'Data Entry'!C12</f>
        <v>159</v>
      </c>
      <c r="D12" s="34">
        <f>IF(((AND(C69&gt;0,C12&gt;0))),(C12/(C69)),0)</f>
        <v>38.592233009708735</v>
      </c>
      <c r="E12" s="33">
        <f>'Data Entry'!F12</f>
        <v>13</v>
      </c>
      <c r="F12" s="34">
        <f>IF(((AND($D$69&gt;0,$E$12&gt;0))),(E12/(D69)),0)</f>
        <v>68.421052631578945</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13</v>
      </c>
      <c r="O12" s="42">
        <f>(D69*L69)-E12</f>
        <v>6</v>
      </c>
      <c r="P12" s="42">
        <f t="shared" si="4"/>
        <v>159</v>
      </c>
      <c r="Q12" s="42">
        <f>(C69*L69)-C12</f>
        <v>253</v>
      </c>
      <c r="R12" s="42">
        <f t="shared" si="5"/>
        <v>431</v>
      </c>
      <c r="S12" s="30">
        <f t="shared" si="6"/>
        <v>2349908975</v>
      </c>
      <c r="T12" s="30">
        <f t="shared" si="7"/>
        <v>348721744</v>
      </c>
      <c r="U12" s="31">
        <f t="shared" si="8"/>
        <v>6.7386362205162635</v>
      </c>
    </row>
    <row r="13" spans="2:21" ht="18" customHeight="1">
      <c r="B13" s="32" t="str">
        <f>'Data Entry'!A13</f>
        <v>8. Cases Resulting in Probation Placement</v>
      </c>
      <c r="C13" s="33">
        <f>'Data Entry'!C13</f>
        <v>160</v>
      </c>
      <c r="D13" s="34">
        <f>IF(((AND(C70&gt;0,C13&gt;0))),(C13/(C70)),0)</f>
        <v>100.62893081761005</v>
      </c>
      <c r="E13" s="33">
        <f>'Data Entry'!F13</f>
        <v>3</v>
      </c>
      <c r="F13" s="34">
        <f>IF(((AND($D$70&gt;0,$E$13&gt;0))),($E$13/($D$70)),0)</f>
        <v>23.076923076923077</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3</v>
      </c>
      <c r="O13" s="42">
        <f>(D70*L70)-E13</f>
        <v>10</v>
      </c>
      <c r="P13" s="42">
        <f t="shared" si="4"/>
        <v>160</v>
      </c>
      <c r="Q13" s="42">
        <f>(C70*L70)-C13</f>
        <v>-1</v>
      </c>
      <c r="R13" s="42">
        <f t="shared" si="5"/>
        <v>172</v>
      </c>
      <c r="S13" s="30">
        <f t="shared" si="6"/>
        <v>441972748</v>
      </c>
      <c r="T13" s="30">
        <f t="shared" si="7"/>
        <v>3032289</v>
      </c>
      <c r="U13" s="31">
        <f t="shared" si="8"/>
        <v>145.75548306906103</v>
      </c>
    </row>
    <row r="14" spans="2:21" ht="30.75" customHeight="1">
      <c r="B14" s="32" t="str">
        <f>'Data Entry'!A14</f>
        <v xml:space="preserve">9. Cases Resulting in Confinement in Secure Juvenile Correctional Facilities </v>
      </c>
      <c r="C14" s="33">
        <f>'Data Entry'!C14</f>
        <v>6</v>
      </c>
      <c r="D14" s="34">
        <f>IF(((AND(C70&gt;0,C14&gt;0))), ((C14/(C70))),0)</f>
        <v>3.773584905660377</v>
      </c>
      <c r="E14" s="33">
        <f>'Data Entry'!F14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13</v>
      </c>
      <c r="P14" s="42">
        <f t="shared" si="4"/>
        <v>6</v>
      </c>
      <c r="Q14" s="42">
        <f>(C70*L70)-C14</f>
        <v>153</v>
      </c>
      <c r="R14" s="42">
        <f t="shared" si="5"/>
        <v>172</v>
      </c>
      <c r="S14" s="30">
        <f t="shared" si="6"/>
        <v>1046448</v>
      </c>
      <c r="T14" s="30">
        <f t="shared" si="7"/>
        <v>2058732</v>
      </c>
      <c r="U14" s="31">
        <f t="shared" si="8"/>
        <v>0.50829734030461471</v>
      </c>
    </row>
    <row r="15" spans="2:21" ht="15.75" customHeight="1">
      <c r="B15" s="32" t="str">
        <f>'Data Entry'!A15</f>
        <v xml:space="preserve">10. Cases Transferred to Adult Court </v>
      </c>
      <c r="C15" s="33">
        <f>'Data Entry'!C15</f>
        <v>1</v>
      </c>
      <c r="D15" s="34">
        <f>IF(((AND(C69&gt;0,C15&gt;0))),((C15/(C69))),0)</f>
        <v>0.24271844660194175</v>
      </c>
      <c r="E15" s="33">
        <f>'Data Entry'!F15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19</v>
      </c>
      <c r="P15" s="42">
        <f t="shared" si="4"/>
        <v>1</v>
      </c>
      <c r="Q15" s="42">
        <f>(C69*L69)-C15</f>
        <v>411</v>
      </c>
      <c r="R15" s="42">
        <f t="shared" si="5"/>
        <v>431</v>
      </c>
      <c r="S15" s="30">
        <f t="shared" si="6"/>
        <v>155591</v>
      </c>
      <c r="T15" s="30">
        <f t="shared" si="7"/>
        <v>3366040</v>
      </c>
      <c r="U15" s="31">
        <f t="shared" si="8"/>
        <v>4.6223752540076768E-2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44.113999999999997</v>
      </c>
      <c r="D42" s="56">
        <f>E6/1000</f>
        <v>2.948</v>
      </c>
      <c r="E42" s="56">
        <f>MAX(C42:D42)</f>
        <v>44.113999999999997</v>
      </c>
      <c r="G42" s="1" t="str">
        <f>B42</f>
        <v>per 1000 youth</v>
      </c>
      <c r="L42" s="57">
        <v>1000</v>
      </c>
      <c r="M42" s="57"/>
      <c r="R42" s="49"/>
    </row>
    <row r="43" spans="2:18" ht="15" hidden="1" customHeight="1">
      <c r="B43" s="49" t="s">
        <v>87</v>
      </c>
      <c r="C43" s="56">
        <f>C7/100</f>
        <v>5.8</v>
      </c>
      <c r="D43" s="56">
        <f>E7/100</f>
        <v>0.09</v>
      </c>
      <c r="E43" s="56">
        <f>MAX(C43:D43,0)</f>
        <v>5.8</v>
      </c>
      <c r="G43" s="1" t="str">
        <f>B43</f>
        <v>per 100 arrests</v>
      </c>
      <c r="L43" s="57">
        <v>100</v>
      </c>
      <c r="M43" s="57"/>
      <c r="R43" s="49"/>
    </row>
    <row r="44" spans="2:18" ht="15" hidden="1" customHeight="1">
      <c r="B44" s="49" t="s">
        <v>88</v>
      </c>
      <c r="C44" s="56">
        <f>C8/100</f>
        <v>8.56</v>
      </c>
      <c r="D44" s="56">
        <f>E8/100</f>
        <v>0.28000000000000003</v>
      </c>
      <c r="E44" s="56">
        <f>MAX(C44:D44,0)</f>
        <v>8.56</v>
      </c>
      <c r="G44" s="1" t="str">
        <f>B44</f>
        <v>per 100 referrals</v>
      </c>
      <c r="L44" s="57">
        <v>100</v>
      </c>
      <c r="M44" s="57"/>
      <c r="R44" s="49"/>
    </row>
    <row r="45" spans="2:18" ht="15" hidden="1" customHeight="1">
      <c r="B45" s="49" t="s">
        <v>89</v>
      </c>
      <c r="C45" s="49">
        <f>C11/100</f>
        <v>4.12</v>
      </c>
      <c r="D45" s="49">
        <f>E11/100</f>
        <v>0.19</v>
      </c>
      <c r="E45" s="56">
        <f>MAX(C45:D45,0)</f>
        <v>4.12</v>
      </c>
      <c r="G45" s="1" t="str">
        <f>B45</f>
        <v>per 100 youth petitioned</v>
      </c>
      <c r="L45" s="57">
        <v>100</v>
      </c>
      <c r="M45" s="57"/>
      <c r="R45" s="49"/>
    </row>
    <row r="46" spans="2:18" ht="15" hidden="1" customHeight="1">
      <c r="B46" s="49" t="s">
        <v>90</v>
      </c>
      <c r="C46" s="49">
        <f>C12/100</f>
        <v>1.59</v>
      </c>
      <c r="D46" s="49">
        <f>E12/100</f>
        <v>0.13</v>
      </c>
      <c r="E46" s="56">
        <f>MAX(C46:D46)</f>
        <v>1.59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44.113999999999997</v>
      </c>
      <c r="D48" s="56">
        <f>D42</f>
        <v>2.948</v>
      </c>
      <c r="E48" s="56">
        <f>MAX(C48:D48)</f>
        <v>44.113999999999997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5.8</v>
      </c>
      <c r="D49" s="49">
        <f t="shared" si="9"/>
        <v>0.09</v>
      </c>
      <c r="E49" s="49">
        <f>MAX(C49:D49)</f>
        <v>5.8</v>
      </c>
      <c r="G49" s="1" t="str">
        <f>G43</f>
        <v>per 100 arrests</v>
      </c>
      <c r="L49" s="58">
        <f>IF(($E43&gt;0),L43,L42)</f>
        <v>100</v>
      </c>
      <c r="M49" s="58"/>
      <c r="N49" s="21"/>
      <c r="O49" s="21"/>
      <c r="P49" s="21"/>
      <c r="Q49" s="21"/>
      <c r="R49" s="21"/>
    </row>
    <row r="50" spans="2:18" ht="15" hidden="1" customHeight="1">
      <c r="B50" s="49" t="str">
        <f t="shared" si="9"/>
        <v>per 100 referrals</v>
      </c>
      <c r="C50" s="49">
        <f t="shared" si="9"/>
        <v>8.56</v>
      </c>
      <c r="D50" s="49">
        <f t="shared" si="9"/>
        <v>0.28000000000000003</v>
      </c>
      <c r="E50" s="49">
        <f>MAX(C50:D50)</f>
        <v>8.56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4.12</v>
      </c>
      <c r="D51" s="49">
        <f>IF(($E45&gt;0),D45,D44)</f>
        <v>0.19</v>
      </c>
      <c r="E51" s="49">
        <f>MAX(C51:D51)</f>
        <v>4.12</v>
      </c>
      <c r="G51" s="1" t="str">
        <f>G45</f>
        <v>per 100 youth petitioned</v>
      </c>
      <c r="L51" s="58">
        <f>IF(($E45&gt;0),L45,L44)</f>
        <v>100</v>
      </c>
      <c r="M51" s="58"/>
    </row>
    <row r="52" spans="2:18" ht="15" hidden="1" customHeight="1">
      <c r="B52" s="49" t="str">
        <f>IF(($E46&gt;0),B46,B45)</f>
        <v>per 100 youth found delinquent</v>
      </c>
      <c r="C52" s="49">
        <f>IF(($E46&gt;0),C46,C45)</f>
        <v>1.59</v>
      </c>
      <c r="D52" s="49">
        <f>IF(($E46&gt;0),D46,D45)</f>
        <v>0.13</v>
      </c>
      <c r="E52" s="56">
        <f>MAX(C52:D52)</f>
        <v>1.59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44.113999999999997</v>
      </c>
      <c r="D54" s="56">
        <f>D48</f>
        <v>2.948</v>
      </c>
      <c r="E54" s="56">
        <f>MAX(C54:D54)</f>
        <v>44.113999999999997</v>
      </c>
      <c r="G54" s="1" t="str">
        <f>G48</f>
        <v>per 1000 youth</v>
      </c>
      <c r="L54" s="58">
        <f>L48</f>
        <v>1000</v>
      </c>
      <c r="M54" s="58"/>
    </row>
    <row r="55" spans="2:18" ht="15" hidden="1" customHeight="1">
      <c r="B55" s="49" t="str">
        <f t="shared" ref="B55:D56" si="10">IF(($E49&gt;0),B49,B48)</f>
        <v>per 100 arrests</v>
      </c>
      <c r="C55" s="49">
        <f t="shared" si="10"/>
        <v>5.8</v>
      </c>
      <c r="D55" s="49">
        <f t="shared" si="10"/>
        <v>0.09</v>
      </c>
      <c r="E55" s="49">
        <f>MAX(C55:D55)</f>
        <v>5.8</v>
      </c>
      <c r="G55" s="1" t="str">
        <f>G49</f>
        <v>per 100 arrests</v>
      </c>
      <c r="L55" s="58">
        <f>IF(($E49&gt;0),L49,L48)</f>
        <v>100</v>
      </c>
      <c r="M55" s="58"/>
    </row>
    <row r="56" spans="2:18" ht="15" hidden="1" customHeight="1">
      <c r="B56" s="49" t="str">
        <f t="shared" si="10"/>
        <v>per 100 referrals</v>
      </c>
      <c r="C56" s="49">
        <f t="shared" si="10"/>
        <v>8.56</v>
      </c>
      <c r="D56" s="49">
        <f t="shared" si="10"/>
        <v>0.28000000000000003</v>
      </c>
      <c r="E56" s="49">
        <f>MAX(C56:D56)</f>
        <v>8.56</v>
      </c>
      <c r="G56" s="1" t="str">
        <f>G50</f>
        <v>per 100 referrals</v>
      </c>
      <c r="L56" s="58">
        <f>IF(($E50&gt;0),L50,L49)</f>
        <v>100</v>
      </c>
      <c r="M56" s="58"/>
    </row>
    <row r="57" spans="2:18" ht="15" hidden="1" customHeight="1">
      <c r="B57" s="49" t="str">
        <f>IF(($E51&gt;0),B51,B49)</f>
        <v>per 100 youth petitioned</v>
      </c>
      <c r="C57" s="49">
        <f>IF(($E51&gt;0),C51,C50)</f>
        <v>4.12</v>
      </c>
      <c r="D57" s="49">
        <f>IF(($E51&gt;0),D51,D50)</f>
        <v>0.19</v>
      </c>
      <c r="E57" s="49">
        <f>MAX(C57:D57)</f>
        <v>4.12</v>
      </c>
      <c r="G57" s="1" t="str">
        <f>G51</f>
        <v>per 100 youth petitioned</v>
      </c>
      <c r="L57" s="58">
        <f>IF(($E51&gt;0),L51,L50)</f>
        <v>100</v>
      </c>
      <c r="M57" s="58"/>
    </row>
    <row r="58" spans="2:18" ht="15" hidden="1" customHeight="1">
      <c r="B58" s="49" t="str">
        <f>IF(($E52&gt;0),B52,B51)</f>
        <v>per 100 youth found delinquent</v>
      </c>
      <c r="C58" s="49">
        <f>IF(($E52&gt;0),C52,C51)</f>
        <v>1.59</v>
      </c>
      <c r="D58" s="49">
        <f>IF(($E52&gt;0),D52,D51)</f>
        <v>0.13</v>
      </c>
      <c r="E58" s="56">
        <f>MAX(C58:D58)</f>
        <v>1.59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44.113999999999997</v>
      </c>
      <c r="D60" s="56">
        <f>D54</f>
        <v>2.948</v>
      </c>
      <c r="E60" s="56">
        <f>MAX(C60:D60)</f>
        <v>44.113999999999997</v>
      </c>
      <c r="G60" s="1" t="str">
        <f>G54</f>
        <v>per 1000 youth</v>
      </c>
      <c r="L60" s="58">
        <f>L54</f>
        <v>1000</v>
      </c>
      <c r="M60" s="58"/>
    </row>
    <row r="61" spans="2:18" ht="15" hidden="1" customHeight="1">
      <c r="B61" s="49" t="str">
        <f t="shared" ref="B61:D62" si="11">IF(($E55&gt;0),B55,B54)</f>
        <v>per 100 arrests</v>
      </c>
      <c r="C61" s="49">
        <f t="shared" si="11"/>
        <v>5.8</v>
      </c>
      <c r="D61" s="49">
        <f t="shared" si="11"/>
        <v>0.09</v>
      </c>
      <c r="E61" s="49">
        <f>MAX(C61:D61)</f>
        <v>5.8</v>
      </c>
      <c r="G61" s="1" t="str">
        <f>G55</f>
        <v>per 100 arrests</v>
      </c>
      <c r="L61" s="58">
        <f>IF(($E55&gt;0),L55,L54)</f>
        <v>100</v>
      </c>
      <c r="M61" s="58"/>
    </row>
    <row r="62" spans="2:18" ht="15" hidden="1" customHeight="1">
      <c r="B62" s="49" t="str">
        <f t="shared" si="11"/>
        <v>per 100 referrals</v>
      </c>
      <c r="C62" s="49">
        <f t="shared" si="11"/>
        <v>8.56</v>
      </c>
      <c r="D62" s="49">
        <f t="shared" si="11"/>
        <v>0.28000000000000003</v>
      </c>
      <c r="E62" s="49">
        <f>MAX(C62:D62)</f>
        <v>8.56</v>
      </c>
      <c r="G62" s="1" t="str">
        <f>G56</f>
        <v>per 100 referrals</v>
      </c>
      <c r="L62" s="58">
        <f>IF(($E56&gt;0),L56,L55)</f>
        <v>100</v>
      </c>
      <c r="M62" s="58"/>
    </row>
    <row r="63" spans="2:18" ht="15" hidden="1" customHeight="1">
      <c r="B63" s="49" t="str">
        <f>IF(($E57&gt;0),B57,B55)</f>
        <v>per 100 youth petitioned</v>
      </c>
      <c r="C63" s="49">
        <f>IF(($E57&gt;0),C57,C56)</f>
        <v>4.12</v>
      </c>
      <c r="D63" s="49">
        <f>IF(($E57&gt;0),D57,D56)</f>
        <v>0.19</v>
      </c>
      <c r="E63" s="49">
        <f>MAX(C63:D63)</f>
        <v>4.12</v>
      </c>
      <c r="G63" s="1" t="str">
        <f>G57</f>
        <v>per 100 youth petitioned</v>
      </c>
      <c r="L63" s="58">
        <f>IF(($E57&gt;0),L57,L56)</f>
        <v>100</v>
      </c>
      <c r="M63" s="58"/>
    </row>
    <row r="64" spans="2:18" ht="15" hidden="1" customHeight="1">
      <c r="B64" s="49" t="str">
        <f>IF(($E58&gt;0),B58,B57)</f>
        <v>per 100 youth found delinquent</v>
      </c>
      <c r="C64" s="49">
        <f>IF(($E58&gt;0),C58,C57)</f>
        <v>1.59</v>
      </c>
      <c r="D64" s="49">
        <f>IF(($E58&gt;0),D58,D57)</f>
        <v>0.13</v>
      </c>
      <c r="E64" s="56">
        <f>MAX(C64:D64)</f>
        <v>1.59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44.113999999999997</v>
      </c>
      <c r="D66" s="56">
        <f>D60</f>
        <v>2.948</v>
      </c>
      <c r="E66" s="56">
        <f>MAX(C66:D66)</f>
        <v>44.113999999999997</v>
      </c>
      <c r="G66" s="1" t="str">
        <f>G60</f>
        <v>per 1000 youth</v>
      </c>
      <c r="L66" s="58">
        <f>L60</f>
        <v>1000</v>
      </c>
      <c r="M66" s="58">
        <f>IF((B66=G66),1,2)</f>
        <v>1</v>
      </c>
    </row>
    <row r="67" spans="2:13" ht="15" hidden="1" customHeight="1">
      <c r="B67" s="49" t="str">
        <f t="shared" ref="B67:D68" si="12">IF(($E61&gt;0),B61,B60)</f>
        <v>per 100 arrests</v>
      </c>
      <c r="C67" s="49">
        <f t="shared" si="12"/>
        <v>5.8</v>
      </c>
      <c r="D67" s="49">
        <f t="shared" si="12"/>
        <v>0.09</v>
      </c>
      <c r="E67" s="49">
        <f>MAX(C67:D67)</f>
        <v>5.8</v>
      </c>
      <c r="G67" s="1" t="str">
        <f>G61</f>
        <v>per 100 arrests</v>
      </c>
      <c r="L67" s="58">
        <f>IF(($E61&gt;0),L61,L60)</f>
        <v>100</v>
      </c>
      <c r="M67" s="58">
        <f>IF((B67=G67),1,2)</f>
        <v>1</v>
      </c>
    </row>
    <row r="68" spans="2:13" ht="15" hidden="1" customHeight="1">
      <c r="B68" s="49" t="str">
        <f t="shared" si="12"/>
        <v>per 100 referrals</v>
      </c>
      <c r="C68" s="49">
        <f t="shared" si="12"/>
        <v>8.56</v>
      </c>
      <c r="D68" s="49">
        <f t="shared" si="12"/>
        <v>0.28000000000000003</v>
      </c>
      <c r="E68" s="49">
        <f>MAX(C68:D68)</f>
        <v>8.56</v>
      </c>
      <c r="G68" s="1" t="str">
        <f>G62</f>
        <v>per 100 referrals</v>
      </c>
      <c r="L68" s="58">
        <f>IF(($E62&gt;0),L62,L61)</f>
        <v>100</v>
      </c>
      <c r="M68" s="58">
        <f>IF((B68=G68),1,2)</f>
        <v>1</v>
      </c>
    </row>
    <row r="69" spans="2:13" ht="15" hidden="1" customHeight="1">
      <c r="B69" s="49" t="str">
        <f>IF(($E63&gt;0),B63,B61)</f>
        <v>per 100 youth petitioned</v>
      </c>
      <c r="C69" s="49">
        <f>IF(($E63&gt;0),C63,C62)</f>
        <v>4.12</v>
      </c>
      <c r="D69" s="49">
        <f>IF(($E63&gt;0),D63,D62)</f>
        <v>0.19</v>
      </c>
      <c r="E69" s="49">
        <f>MAX(C69:D69)</f>
        <v>4.12</v>
      </c>
      <c r="G69" s="1" t="str">
        <f>G63</f>
        <v>per 100 youth petitioned</v>
      </c>
      <c r="L69" s="58">
        <f>IF(($E63&gt;0),L63,L62)</f>
        <v>100</v>
      </c>
      <c r="M69" s="58">
        <f>IF((B69=G69),1,2)</f>
        <v>1</v>
      </c>
    </row>
    <row r="70" spans="2:13" ht="15" hidden="1" customHeight="1">
      <c r="B70" s="49" t="str">
        <f>IF(($E64&gt;0),B64,B63)</f>
        <v>per 100 youth found delinquent</v>
      </c>
      <c r="C70" s="49">
        <f>IF(($E64&gt;0),C64,C63)</f>
        <v>1.59</v>
      </c>
      <c r="D70" s="49">
        <f>IF(($E64&gt;0),D64,D63)</f>
        <v>0.13</v>
      </c>
      <c r="E70" s="56">
        <f>MAX(C70:D70)</f>
        <v>1.59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44114</v>
      </c>
      <c r="D6" s="34"/>
      <c r="E6" s="33">
        <f>'Data Entry'!E6</f>
        <v>12502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580</v>
      </c>
      <c r="D7" s="34">
        <f>IF((AND(C66&gt;0,C7&gt;0)),(C7/C66),0)</f>
        <v>13.147753547626605</v>
      </c>
      <c r="E7" s="33">
        <f>'Data Entry'!E7</f>
        <v>65</v>
      </c>
      <c r="F7" s="34">
        <f>IF((AND($E$7&gt;0,$D$66&gt;0)),($E$7/$D$66),0)</f>
        <v>5.1991681330987038</v>
      </c>
      <c r="G7" s="39">
        <f t="shared" ref="G7:G15" si="0">IF(L$6=100,"*",IF(M7=FALSE,"--",IF(K7=20,"**",($F7/$D7))))</f>
        <v>0.39544155693709687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65</v>
      </c>
      <c r="O7" s="42">
        <f>E6-E7</f>
        <v>12437</v>
      </c>
      <c r="P7" s="42">
        <f t="shared" ref="P7:P15" si="4">C7</f>
        <v>580</v>
      </c>
      <c r="Q7" s="42">
        <f>C6-C7</f>
        <v>43534</v>
      </c>
      <c r="R7" s="42">
        <f t="shared" ref="R7:R15" si="5">SUM(N7:Q7)</f>
        <v>56616</v>
      </c>
      <c r="S7" s="30">
        <f t="shared" ref="S7:S15" si="6">R7*((((N7*Q7)-(O7*P7))^2))</f>
        <v>1.0880046221625E+18</v>
      </c>
      <c r="T7" s="30">
        <f t="shared" ref="T7:T15" si="7">(N7+O7)*(P7+Q7)*(N7+P7)*(O7+Q7)</f>
        <v>1.991034174043026E+16</v>
      </c>
      <c r="U7" s="31">
        <f t="shared" ref="U7:U15" si="8">IF((S7&gt;0),S7/T7,"- -")</f>
        <v>54.645200787949328</v>
      </c>
    </row>
    <row r="8" spans="2:21" ht="18" customHeight="1">
      <c r="B8" s="32" t="str">
        <f>'Data Entry'!A8</f>
        <v>3. Refer to Juvenile Court</v>
      </c>
      <c r="C8" s="33">
        <f>'Data Entry'!C8</f>
        <v>856</v>
      </c>
      <c r="D8" s="34">
        <f>IF((AND(C67&gt;0,C8&gt;0)),(C8/C67),0)</f>
        <v>147.58620689655172</v>
      </c>
      <c r="E8" s="33">
        <f>'Data Entry'!E8</f>
        <v>129</v>
      </c>
      <c r="F8" s="34">
        <f>IF((AND($E$8&gt;0,$D$67&gt;0)),($E8/$D67),0)</f>
        <v>198.46153846153845</v>
      </c>
      <c r="G8" s="39">
        <f t="shared" si="0"/>
        <v>1.3447160316319196</v>
      </c>
      <c r="H8" s="40"/>
      <c r="I8" s="41"/>
      <c r="J8" s="40">
        <f>IF((ABS($U8)&gt;Defaults!D$7),1,2)</f>
        <v>1</v>
      </c>
      <c r="K8" s="39">
        <f>IF((AND(N8&gt;Defaults!B$12,(N8+O8)&gt;Defaults!B$13, P8 &gt; Defaults!B$12, (P8+Q8) &gt; Defaults!B$13)),1,20)</f>
        <v>1</v>
      </c>
      <c r="L8" s="1">
        <f t="shared" si="1"/>
        <v>1</v>
      </c>
      <c r="M8" s="1" t="b">
        <f t="shared" si="2"/>
        <v>1</v>
      </c>
      <c r="N8" s="42">
        <f t="shared" si="3"/>
        <v>129</v>
      </c>
      <c r="O8" s="42">
        <f>((D67*L67)-E8)+0.05</f>
        <v>-63.95</v>
      </c>
      <c r="P8" s="42">
        <f t="shared" si="4"/>
        <v>856</v>
      </c>
      <c r="Q8" s="42">
        <f>(C$67*L67)-C8</f>
        <v>-276</v>
      </c>
      <c r="R8" s="42">
        <f t="shared" si="5"/>
        <v>645.04999999999995</v>
      </c>
      <c r="S8" s="30">
        <f t="shared" si="6"/>
        <v>236238224997.9921</v>
      </c>
      <c r="T8" s="30">
        <f t="shared" si="7"/>
        <v>-12633583946.75</v>
      </c>
      <c r="U8" s="31">
        <f t="shared" si="8"/>
        <v>-18.699224700902437</v>
      </c>
    </row>
    <row r="9" spans="2:21" ht="18" customHeight="1">
      <c r="B9" s="32" t="str">
        <f>'Data Entry'!A9</f>
        <v xml:space="preserve">4. Cases Diverted </v>
      </c>
      <c r="C9" s="33">
        <f>'Data Entry'!C9</f>
        <v>290</v>
      </c>
      <c r="D9" s="34">
        <f>IF((AND(C68&gt;0,C9&gt;0)),((C9/C68)),0)</f>
        <v>33.878504672897193</v>
      </c>
      <c r="E9" s="33">
        <f>'Data Entry'!E9</f>
        <v>28</v>
      </c>
      <c r="F9" s="34">
        <f>IF((AND($E$9&gt;0,$D$68&gt;0)),(($E$9/$D$68)),0)</f>
        <v>21.705426356589147</v>
      </c>
      <c r="G9" s="39">
        <f t="shared" si="0"/>
        <v>0.64068430900828655</v>
      </c>
      <c r="H9" s="40"/>
      <c r="I9" s="41"/>
      <c r="J9" s="40">
        <f>IF((ABS($U9)&gt;Defaults!D$7),1,2)</f>
        <v>1</v>
      </c>
      <c r="K9" s="39">
        <f>IF((AND(N9&gt;Defaults!B$12,(N9+O9)&gt;Defaults!B$13, P9 &gt; Defaults!B$12, (P9+Q9) &gt; Defaults!B$13)),1,20)</f>
        <v>1</v>
      </c>
      <c r="L9" s="1">
        <f t="shared" si="1"/>
        <v>1</v>
      </c>
      <c r="M9" s="1" t="b">
        <f t="shared" si="2"/>
        <v>1</v>
      </c>
      <c r="N9" s="42">
        <f t="shared" si="3"/>
        <v>28</v>
      </c>
      <c r="O9" s="42">
        <f>(D$68*L68)-E9</f>
        <v>101</v>
      </c>
      <c r="P9" s="42">
        <f t="shared" si="4"/>
        <v>290</v>
      </c>
      <c r="Q9" s="42">
        <f>(C$68*L68)-C9</f>
        <v>566</v>
      </c>
      <c r="R9" s="42">
        <f t="shared" si="5"/>
        <v>985</v>
      </c>
      <c r="S9" s="30">
        <f t="shared" si="6"/>
        <v>177977053540</v>
      </c>
      <c r="T9" s="30">
        <f t="shared" si="7"/>
        <v>23421592944</v>
      </c>
      <c r="U9" s="31">
        <f t="shared" si="8"/>
        <v>7.5988449618066252</v>
      </c>
    </row>
    <row r="10" spans="2:21" ht="18" customHeight="1">
      <c r="B10" s="32" t="str">
        <f>'Data Entry'!A10</f>
        <v>5. Cases Involving Secure Detention</v>
      </c>
      <c r="C10" s="33">
        <f>'Data Entry'!C10</f>
        <v>135</v>
      </c>
      <c r="D10" s="34">
        <f>IF(((AND(C68&gt;0,C10&gt;0))),(C10/(C68)),0)</f>
        <v>15.771028037383177</v>
      </c>
      <c r="E10" s="33">
        <f>'Data Entry'!E10</f>
        <v>72</v>
      </c>
      <c r="F10" s="34">
        <f>IF(((AND($E$10&gt;0,$D$68&gt;0))),($E$10/($D$68)),0)</f>
        <v>55.813953488372093</v>
      </c>
      <c r="G10" s="39">
        <f t="shared" si="0"/>
        <v>3.5390180878552973</v>
      </c>
      <c r="H10" s="40"/>
      <c r="I10" s="41"/>
      <c r="J10" s="40">
        <f>IF((ABS($U10)&gt;Defaults!D$7),1,2)</f>
        <v>1</v>
      </c>
      <c r="K10" s="39">
        <f>IF((AND(N10&gt;Defaults!B$12,(N10+O10)&gt;Defaults!B$13, P10 &gt; Defaults!B$12, (P10+Q10) &gt; Defaults!B$13)),1,20)</f>
        <v>1</v>
      </c>
      <c r="L10" s="1">
        <f t="shared" si="1"/>
        <v>1</v>
      </c>
      <c r="M10" s="1" t="b">
        <f t="shared" si="2"/>
        <v>1</v>
      </c>
      <c r="N10" s="42">
        <f t="shared" si="3"/>
        <v>72</v>
      </c>
      <c r="O10" s="42">
        <f>(D$68*L68)-E10</f>
        <v>57</v>
      </c>
      <c r="P10" s="42">
        <f t="shared" si="4"/>
        <v>135</v>
      </c>
      <c r="Q10" s="42">
        <f>(C$68*L68)-C10</f>
        <v>721</v>
      </c>
      <c r="R10" s="42">
        <f t="shared" si="5"/>
        <v>985</v>
      </c>
      <c r="S10" s="30">
        <f t="shared" si="6"/>
        <v>1925815942665</v>
      </c>
      <c r="T10" s="30">
        <f t="shared" si="7"/>
        <v>17783343504</v>
      </c>
      <c r="U10" s="31">
        <f t="shared" si="8"/>
        <v>108.2932431818475</v>
      </c>
    </row>
    <row r="11" spans="2:21" ht="18" customHeight="1">
      <c r="B11" s="32" t="str">
        <f>'Data Entry'!A11</f>
        <v>6. Cases Petitioned (Charge Filed)</v>
      </c>
      <c r="C11" s="33">
        <f>'Data Entry'!C11</f>
        <v>412</v>
      </c>
      <c r="D11" s="34">
        <f>IF(((AND(C68&gt;0,C11&gt;0))),(C11/(C68)),0)</f>
        <v>48.130841121495322</v>
      </c>
      <c r="E11" s="33">
        <f>'Data Entry'!E11</f>
        <v>59</v>
      </c>
      <c r="F11" s="34">
        <f>IF(((AND($E$11&gt;0,$D$68&gt;0))),($E$11/($D$68)),0)</f>
        <v>45.736434108527128</v>
      </c>
      <c r="G11" s="39">
        <f t="shared" si="0"/>
        <v>0.95025212613833066</v>
      </c>
      <c r="H11" s="40"/>
      <c r="I11" s="41"/>
      <c r="J11" s="40">
        <f>IF((ABS($U11)&gt;Defaults!D$7),1,2)</f>
        <v>2</v>
      </c>
      <c r="K11" s="39">
        <f>IF((AND(N11&gt;Defaults!B$12,(N11+O11)&gt;Defaults!B$13, P11 &gt; Defaults!B$12, (P11+Q11) &gt; Defaults!B$13)),1,20)</f>
        <v>1</v>
      </c>
      <c r="L11" s="1">
        <f t="shared" si="1"/>
        <v>2</v>
      </c>
      <c r="M11" s="1" t="b">
        <f t="shared" si="2"/>
        <v>1</v>
      </c>
      <c r="N11" s="42">
        <f t="shared" si="3"/>
        <v>59</v>
      </c>
      <c r="O11" s="42">
        <f>(D$68*L68)-E11</f>
        <v>70</v>
      </c>
      <c r="P11" s="42">
        <f t="shared" si="4"/>
        <v>412</v>
      </c>
      <c r="Q11" s="42">
        <f>(C$68*L68)-C11</f>
        <v>444</v>
      </c>
      <c r="R11" s="42">
        <f t="shared" si="5"/>
        <v>985</v>
      </c>
      <c r="S11" s="30">
        <f t="shared" si="6"/>
        <v>6885874960</v>
      </c>
      <c r="T11" s="30">
        <f t="shared" si="7"/>
        <v>26732987856</v>
      </c>
      <c r="U11" s="31">
        <f t="shared" si="8"/>
        <v>0.25757969880102727</v>
      </c>
    </row>
    <row r="12" spans="2:21" ht="18" customHeight="1">
      <c r="B12" s="32" t="str">
        <f>'Data Entry'!A12</f>
        <v>7. Cases Resulting in Delinquent Findings</v>
      </c>
      <c r="C12" s="33">
        <f>'Data Entry'!C12</f>
        <v>159</v>
      </c>
      <c r="D12" s="34">
        <f>IF(((AND(C69&gt;0,C12&gt;0))),(C12/(C69)),0)</f>
        <v>38.592233009708735</v>
      </c>
      <c r="E12" s="33">
        <f>'Data Entry'!E12</f>
        <v>38</v>
      </c>
      <c r="F12" s="34">
        <f>IF(((AND($D$69&gt;0,$E$12&gt;0))),(E12/(D69)),0)</f>
        <v>64.406779661016955</v>
      </c>
      <c r="G12" s="39">
        <f t="shared" si="0"/>
        <v>1.6689052339835841</v>
      </c>
      <c r="H12" s="40"/>
      <c r="I12" s="41"/>
      <c r="J12" s="40">
        <f>IF((ABS($U12)&gt;Defaults!D$7),1,2)</f>
        <v>1</v>
      </c>
      <c r="K12" s="39">
        <f>IF((AND(N12&gt;Defaults!B$12,(N12+O12)&gt;Defaults!B$13, P12 &gt; Defaults!B$12, (P12+Q12) &gt; Defaults!B$13)),1,20)</f>
        <v>1</v>
      </c>
      <c r="L12" s="1">
        <f t="shared" si="1"/>
        <v>1</v>
      </c>
      <c r="M12" s="1" t="b">
        <f t="shared" si="2"/>
        <v>1</v>
      </c>
      <c r="N12" s="42">
        <f t="shared" si="3"/>
        <v>38</v>
      </c>
      <c r="O12" s="42">
        <f>(D69*L69)-E12</f>
        <v>21</v>
      </c>
      <c r="P12" s="42">
        <f t="shared" si="4"/>
        <v>159</v>
      </c>
      <c r="Q12" s="42">
        <f>(C69*L69)-C12</f>
        <v>253</v>
      </c>
      <c r="R12" s="42">
        <f t="shared" si="5"/>
        <v>471</v>
      </c>
      <c r="S12" s="30">
        <f t="shared" si="6"/>
        <v>18545919375</v>
      </c>
      <c r="T12" s="30">
        <f t="shared" si="7"/>
        <v>1312097224</v>
      </c>
      <c r="U12" s="31">
        <f t="shared" si="8"/>
        <v>14.134561856980197</v>
      </c>
    </row>
    <row r="13" spans="2:21" ht="18" customHeight="1">
      <c r="B13" s="32" t="str">
        <f>'Data Entry'!A13</f>
        <v>8. Cases Resulting in Probation Placement</v>
      </c>
      <c r="C13" s="33">
        <f>'Data Entry'!C13</f>
        <v>160</v>
      </c>
      <c r="D13" s="34">
        <f>IF(((AND(C70&gt;0,C13&gt;0))),(C13/(C70)),0)</f>
        <v>100.62893081761005</v>
      </c>
      <c r="E13" s="33">
        <f>'Data Entry'!E13</f>
        <v>30</v>
      </c>
      <c r="F13" s="34">
        <f>IF(((AND($D$70&gt;0,$E$13&gt;0))),($E$13/($D$70)),0)</f>
        <v>78.94736842105263</v>
      </c>
      <c r="G13" s="39">
        <f t="shared" si="0"/>
        <v>0.78453947368421062</v>
      </c>
      <c r="H13" s="40"/>
      <c r="I13" s="41"/>
      <c r="J13" s="40">
        <f>IF((ABS($U13)&gt;Defaults!D$7),1,2)</f>
        <v>1</v>
      </c>
      <c r="K13" s="39">
        <f>IF((AND(N13&gt;Defaults!B$12,(N13+O13)&gt;Defaults!B$13, P13 &gt; Defaults!B$12, (P13+Q13) &gt; Defaults!B$13)),1,20)</f>
        <v>1</v>
      </c>
      <c r="L13" s="1">
        <f t="shared" si="1"/>
        <v>1</v>
      </c>
      <c r="M13" s="1" t="b">
        <f t="shared" si="2"/>
        <v>1</v>
      </c>
      <c r="N13" s="42">
        <f t="shared" si="3"/>
        <v>30</v>
      </c>
      <c r="O13" s="42">
        <f>(D70*L70)-E13</f>
        <v>8</v>
      </c>
      <c r="P13" s="42">
        <f t="shared" si="4"/>
        <v>160</v>
      </c>
      <c r="Q13" s="42">
        <f>(C70*L70)-C13</f>
        <v>-1</v>
      </c>
      <c r="R13" s="42">
        <f t="shared" si="5"/>
        <v>197</v>
      </c>
      <c r="S13" s="30">
        <f t="shared" si="6"/>
        <v>338071700</v>
      </c>
      <c r="T13" s="30">
        <f t="shared" si="7"/>
        <v>8035860</v>
      </c>
      <c r="U13" s="31">
        <f t="shared" si="8"/>
        <v>42.070382012628393</v>
      </c>
    </row>
    <row r="14" spans="2:21" ht="30.75" customHeight="1">
      <c r="B14" s="32" t="str">
        <f>'Data Entry'!A14</f>
        <v xml:space="preserve">9. Cases Resulting in Confinement in Secure Juvenile Correctional Facilities </v>
      </c>
      <c r="C14" s="33">
        <f>'Data Entry'!C14</f>
        <v>6</v>
      </c>
      <c r="D14" s="34">
        <f>IF(((AND(C70&gt;0,C14&gt;0))), ((C14/(C70))),0)</f>
        <v>3.773584905660377</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38</v>
      </c>
      <c r="P14" s="42">
        <f t="shared" si="4"/>
        <v>6</v>
      </c>
      <c r="Q14" s="42">
        <f>(C70*L70)-C14</f>
        <v>153</v>
      </c>
      <c r="R14" s="42">
        <f t="shared" si="5"/>
        <v>197</v>
      </c>
      <c r="S14" s="30">
        <f t="shared" si="6"/>
        <v>10240848</v>
      </c>
      <c r="T14" s="30">
        <f t="shared" si="7"/>
        <v>6924132</v>
      </c>
      <c r="U14" s="31">
        <f t="shared" si="8"/>
        <v>1.4790081991504496</v>
      </c>
    </row>
    <row r="15" spans="2:21" ht="15.75" customHeight="1">
      <c r="B15" s="32" t="str">
        <f>'Data Entry'!A15</f>
        <v xml:space="preserve">10. Cases Transferred to Adult Court </v>
      </c>
      <c r="C15" s="33">
        <f>'Data Entry'!C15</f>
        <v>1</v>
      </c>
      <c r="D15" s="34">
        <f>IF(((AND(C69&gt;0,C15&gt;0))),((C15/(C69))),0)</f>
        <v>0.24271844660194175</v>
      </c>
      <c r="E15" s="33">
        <f>'Data Entry'!E15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59</v>
      </c>
      <c r="P15" s="42">
        <f t="shared" si="4"/>
        <v>1</v>
      </c>
      <c r="Q15" s="42">
        <f>(C69*L69)-C15</f>
        <v>411</v>
      </c>
      <c r="R15" s="42">
        <f t="shared" si="5"/>
        <v>471</v>
      </c>
      <c r="S15" s="30">
        <f t="shared" si="6"/>
        <v>1639551</v>
      </c>
      <c r="T15" s="30">
        <f t="shared" si="7"/>
        <v>11424760</v>
      </c>
      <c r="U15" s="31">
        <f t="shared" si="8"/>
        <v>0.1435085726089651</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44.113999999999997</v>
      </c>
      <c r="D42" s="56">
        <f>E6/1000</f>
        <v>12.502000000000001</v>
      </c>
      <c r="E42" s="56">
        <f>MAX(C42:D42)</f>
        <v>44.113999999999997</v>
      </c>
      <c r="G42" s="1" t="str">
        <f>B42</f>
        <v>per 1000 youth</v>
      </c>
      <c r="L42" s="57">
        <v>1000</v>
      </c>
      <c r="M42" s="57"/>
      <c r="R42" s="49"/>
    </row>
    <row r="43" spans="2:18" ht="15" hidden="1" customHeight="1">
      <c r="B43" s="49" t="s">
        <v>87</v>
      </c>
      <c r="C43" s="56">
        <f>C7/100</f>
        <v>5.8</v>
      </c>
      <c r="D43" s="56">
        <f>E7/100</f>
        <v>0.65</v>
      </c>
      <c r="E43" s="56">
        <f>MAX(C43:D43,0)</f>
        <v>5.8</v>
      </c>
      <c r="G43" s="1" t="str">
        <f>B43</f>
        <v>per 100 arrests</v>
      </c>
      <c r="L43" s="57">
        <v>100</v>
      </c>
      <c r="M43" s="57"/>
      <c r="R43" s="49"/>
    </row>
    <row r="44" spans="2:18" ht="15" hidden="1" customHeight="1">
      <c r="B44" s="49" t="s">
        <v>88</v>
      </c>
      <c r="C44" s="56">
        <f>C8/100</f>
        <v>8.56</v>
      </c>
      <c r="D44" s="56">
        <f>E8/100</f>
        <v>1.29</v>
      </c>
      <c r="E44" s="56">
        <f>MAX(C44:D44,0)</f>
        <v>8.56</v>
      </c>
      <c r="G44" s="1" t="str">
        <f>B44</f>
        <v>per 100 referrals</v>
      </c>
      <c r="L44" s="57">
        <v>100</v>
      </c>
      <c r="M44" s="57"/>
      <c r="R44" s="49"/>
    </row>
    <row r="45" spans="2:18" ht="15" hidden="1" customHeight="1">
      <c r="B45" s="49" t="s">
        <v>89</v>
      </c>
      <c r="C45" s="49">
        <f>C11/100</f>
        <v>4.12</v>
      </c>
      <c r="D45" s="49">
        <f>E11/100</f>
        <v>0.59</v>
      </c>
      <c r="E45" s="56">
        <f>MAX(C45:D45,0)</f>
        <v>4.12</v>
      </c>
      <c r="G45" s="1" t="str">
        <f>B45</f>
        <v>per 100 youth petitioned</v>
      </c>
      <c r="L45" s="57">
        <v>100</v>
      </c>
      <c r="M45" s="57"/>
      <c r="R45" s="49"/>
    </row>
    <row r="46" spans="2:18" ht="15" hidden="1" customHeight="1">
      <c r="B46" s="49" t="s">
        <v>90</v>
      </c>
      <c r="C46" s="49">
        <f>C12/100</f>
        <v>1.59</v>
      </c>
      <c r="D46" s="49">
        <f>E12/100</f>
        <v>0.38</v>
      </c>
      <c r="E46" s="56">
        <f>MAX(C46:D46)</f>
        <v>1.59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44.113999999999997</v>
      </c>
      <c r="D48" s="56">
        <f>D42</f>
        <v>12.502000000000001</v>
      </c>
      <c r="E48" s="56">
        <f>MAX(C48:D48)</f>
        <v>44.113999999999997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5.8</v>
      </c>
      <c r="D49" s="49">
        <f t="shared" si="9"/>
        <v>0.65</v>
      </c>
      <c r="E49" s="49">
        <f>MAX(C49:D49)</f>
        <v>5.8</v>
      </c>
      <c r="G49" s="1" t="str">
        <f>G43</f>
        <v>per 100 arrests</v>
      </c>
      <c r="L49" s="58">
        <f>IF(($E43&gt;0),L43,L42)</f>
        <v>100</v>
      </c>
      <c r="M49" s="58"/>
      <c r="N49" s="21"/>
      <c r="O49" s="21"/>
      <c r="P49" s="21"/>
      <c r="Q49" s="21"/>
      <c r="R49" s="21"/>
    </row>
    <row r="50" spans="2:18" ht="15" hidden="1" customHeight="1">
      <c r="B50" s="49" t="str">
        <f t="shared" si="9"/>
        <v>per 100 referrals</v>
      </c>
      <c r="C50" s="49">
        <f t="shared" si="9"/>
        <v>8.56</v>
      </c>
      <c r="D50" s="49">
        <f t="shared" si="9"/>
        <v>1.29</v>
      </c>
      <c r="E50" s="49">
        <f>MAX(C50:D50)</f>
        <v>8.56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4.12</v>
      </c>
      <c r="D51" s="49">
        <f>IF(($E45&gt;0),D45,D44)</f>
        <v>0.59</v>
      </c>
      <c r="E51" s="49">
        <f>MAX(C51:D51)</f>
        <v>4.12</v>
      </c>
      <c r="G51" s="1" t="str">
        <f>G45</f>
        <v>per 100 youth petitioned</v>
      </c>
      <c r="L51" s="58">
        <f>IF(($E45&gt;0),L45,L44)</f>
        <v>100</v>
      </c>
      <c r="M51" s="58"/>
    </row>
    <row r="52" spans="2:18" ht="15" hidden="1" customHeight="1">
      <c r="B52" s="49" t="str">
        <f>IF(($E46&gt;0),B46,B45)</f>
        <v>per 100 youth found delinquent</v>
      </c>
      <c r="C52" s="49">
        <f>IF(($E46&gt;0),C46,C45)</f>
        <v>1.59</v>
      </c>
      <c r="D52" s="49">
        <f>IF(($E46&gt;0),D46,D45)</f>
        <v>0.38</v>
      </c>
      <c r="E52" s="56">
        <f>MAX(C52:D52)</f>
        <v>1.59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44.113999999999997</v>
      </c>
      <c r="D54" s="56">
        <f>D48</f>
        <v>12.502000000000001</v>
      </c>
      <c r="E54" s="56">
        <f>MAX(C54:D54)</f>
        <v>44.113999999999997</v>
      </c>
      <c r="G54" s="1" t="str">
        <f>G48</f>
        <v>per 1000 youth</v>
      </c>
      <c r="L54" s="58">
        <f>L48</f>
        <v>1000</v>
      </c>
      <c r="M54" s="58"/>
    </row>
    <row r="55" spans="2:18" ht="15" hidden="1" customHeight="1">
      <c r="B55" s="49" t="str">
        <f t="shared" ref="B55:D56" si="10">IF(($E49&gt;0),B49,B48)</f>
        <v>per 100 arrests</v>
      </c>
      <c r="C55" s="49">
        <f t="shared" si="10"/>
        <v>5.8</v>
      </c>
      <c r="D55" s="49">
        <f t="shared" si="10"/>
        <v>0.65</v>
      </c>
      <c r="E55" s="49">
        <f>MAX(C55:D55)</f>
        <v>5.8</v>
      </c>
      <c r="G55" s="1" t="str">
        <f>G49</f>
        <v>per 100 arrests</v>
      </c>
      <c r="L55" s="58">
        <f>IF(($E49&gt;0),L49,L48)</f>
        <v>100</v>
      </c>
      <c r="M55" s="58"/>
    </row>
    <row r="56" spans="2:18" ht="15" hidden="1" customHeight="1">
      <c r="B56" s="49" t="str">
        <f t="shared" si="10"/>
        <v>per 100 referrals</v>
      </c>
      <c r="C56" s="49">
        <f t="shared" si="10"/>
        <v>8.56</v>
      </c>
      <c r="D56" s="49">
        <f t="shared" si="10"/>
        <v>1.29</v>
      </c>
      <c r="E56" s="49">
        <f>MAX(C56:D56)</f>
        <v>8.56</v>
      </c>
      <c r="G56" s="1" t="str">
        <f>G50</f>
        <v>per 100 referrals</v>
      </c>
      <c r="L56" s="58">
        <f>IF(($E50&gt;0),L50,L49)</f>
        <v>100</v>
      </c>
      <c r="M56" s="58"/>
    </row>
    <row r="57" spans="2:18" ht="15" hidden="1" customHeight="1">
      <c r="B57" s="49" t="str">
        <f>IF(($E51&gt;0),B51,B49)</f>
        <v>per 100 youth petitioned</v>
      </c>
      <c r="C57" s="49">
        <f>IF(($E51&gt;0),C51,C50)</f>
        <v>4.12</v>
      </c>
      <c r="D57" s="49">
        <f>IF(($E51&gt;0),D51,D50)</f>
        <v>0.59</v>
      </c>
      <c r="E57" s="49">
        <f>MAX(C57:D57)</f>
        <v>4.12</v>
      </c>
      <c r="G57" s="1" t="str">
        <f>G51</f>
        <v>per 100 youth petitioned</v>
      </c>
      <c r="L57" s="58">
        <f>IF(($E51&gt;0),L51,L50)</f>
        <v>100</v>
      </c>
      <c r="M57" s="58"/>
    </row>
    <row r="58" spans="2:18" ht="15" hidden="1" customHeight="1">
      <c r="B58" s="49" t="str">
        <f>IF(($E52&gt;0),B52,B51)</f>
        <v>per 100 youth found delinquent</v>
      </c>
      <c r="C58" s="49">
        <f>IF(($E52&gt;0),C52,C51)</f>
        <v>1.59</v>
      </c>
      <c r="D58" s="49">
        <f>IF(($E52&gt;0),D52,D51)</f>
        <v>0.38</v>
      </c>
      <c r="E58" s="56">
        <f>MAX(C58:D58)</f>
        <v>1.59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44.113999999999997</v>
      </c>
      <c r="D60" s="56">
        <f>D54</f>
        <v>12.502000000000001</v>
      </c>
      <c r="E60" s="56">
        <f>MAX(C60:D60)</f>
        <v>44.113999999999997</v>
      </c>
      <c r="G60" s="1" t="str">
        <f>G54</f>
        <v>per 1000 youth</v>
      </c>
      <c r="L60" s="58">
        <f>L54</f>
        <v>1000</v>
      </c>
      <c r="M60" s="58"/>
    </row>
    <row r="61" spans="2:18" ht="15" hidden="1" customHeight="1">
      <c r="B61" s="49" t="str">
        <f t="shared" ref="B61:D62" si="11">IF(($E55&gt;0),B55,B54)</f>
        <v>per 100 arrests</v>
      </c>
      <c r="C61" s="49">
        <f t="shared" si="11"/>
        <v>5.8</v>
      </c>
      <c r="D61" s="49">
        <f t="shared" si="11"/>
        <v>0.65</v>
      </c>
      <c r="E61" s="49">
        <f>MAX(C61:D61)</f>
        <v>5.8</v>
      </c>
      <c r="G61" s="1" t="str">
        <f>G55</f>
        <v>per 100 arrests</v>
      </c>
      <c r="L61" s="58">
        <f>IF(($E55&gt;0),L55,L54)</f>
        <v>100</v>
      </c>
      <c r="M61" s="58"/>
    </row>
    <row r="62" spans="2:18" ht="15" hidden="1" customHeight="1">
      <c r="B62" s="49" t="str">
        <f t="shared" si="11"/>
        <v>per 100 referrals</v>
      </c>
      <c r="C62" s="49">
        <f t="shared" si="11"/>
        <v>8.56</v>
      </c>
      <c r="D62" s="49">
        <f t="shared" si="11"/>
        <v>1.29</v>
      </c>
      <c r="E62" s="49">
        <f>MAX(C62:D62)</f>
        <v>8.56</v>
      </c>
      <c r="G62" s="1" t="str">
        <f>G56</f>
        <v>per 100 referrals</v>
      </c>
      <c r="L62" s="58">
        <f>IF(($E56&gt;0),L56,L55)</f>
        <v>100</v>
      </c>
      <c r="M62" s="58"/>
    </row>
    <row r="63" spans="2:18" ht="15" hidden="1" customHeight="1">
      <c r="B63" s="49" t="str">
        <f>IF(($E57&gt;0),B57,B55)</f>
        <v>per 100 youth petitioned</v>
      </c>
      <c r="C63" s="49">
        <f>IF(($E57&gt;0),C57,C56)</f>
        <v>4.12</v>
      </c>
      <c r="D63" s="49">
        <f>IF(($E57&gt;0),D57,D56)</f>
        <v>0.59</v>
      </c>
      <c r="E63" s="49">
        <f>MAX(C63:D63)</f>
        <v>4.12</v>
      </c>
      <c r="G63" s="1" t="str">
        <f>G57</f>
        <v>per 100 youth petitioned</v>
      </c>
      <c r="L63" s="58">
        <f>IF(($E57&gt;0),L57,L56)</f>
        <v>100</v>
      </c>
      <c r="M63" s="58"/>
    </row>
    <row r="64" spans="2:18" ht="15" hidden="1" customHeight="1">
      <c r="B64" s="49" t="str">
        <f>IF(($E58&gt;0),B58,B57)</f>
        <v>per 100 youth found delinquent</v>
      </c>
      <c r="C64" s="49">
        <f>IF(($E58&gt;0),C58,C57)</f>
        <v>1.59</v>
      </c>
      <c r="D64" s="49">
        <f>IF(($E58&gt;0),D58,D57)</f>
        <v>0.38</v>
      </c>
      <c r="E64" s="56">
        <f>MAX(C64:D64)</f>
        <v>1.59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44.113999999999997</v>
      </c>
      <c r="D66" s="56">
        <f>D60</f>
        <v>12.502000000000001</v>
      </c>
      <c r="E66" s="56">
        <f>MAX(C66:D66)</f>
        <v>44.113999999999997</v>
      </c>
      <c r="G66" s="1" t="str">
        <f>G60</f>
        <v>per 1000 youth</v>
      </c>
      <c r="L66" s="58">
        <f>L60</f>
        <v>1000</v>
      </c>
      <c r="M66" s="58">
        <f>IF((B66=G66),1,2)</f>
        <v>1</v>
      </c>
    </row>
    <row r="67" spans="2:13" ht="15" hidden="1" customHeight="1">
      <c r="B67" s="49" t="str">
        <f t="shared" ref="B67:D68" si="12">IF(($E61&gt;0),B61,B60)</f>
        <v>per 100 arrests</v>
      </c>
      <c r="C67" s="49">
        <f t="shared" si="12"/>
        <v>5.8</v>
      </c>
      <c r="D67" s="49">
        <f t="shared" si="12"/>
        <v>0.65</v>
      </c>
      <c r="E67" s="49">
        <f>MAX(C67:D67)</f>
        <v>5.8</v>
      </c>
      <c r="G67" s="1" t="str">
        <f>G61</f>
        <v>per 100 arrests</v>
      </c>
      <c r="L67" s="58">
        <f>IF(($E61&gt;0),L61,L60)</f>
        <v>100</v>
      </c>
      <c r="M67" s="58">
        <f>IF((B67=G67),1,2)</f>
        <v>1</v>
      </c>
    </row>
    <row r="68" spans="2:13" ht="15" hidden="1" customHeight="1">
      <c r="B68" s="49" t="str">
        <f t="shared" si="12"/>
        <v>per 100 referrals</v>
      </c>
      <c r="C68" s="49">
        <f t="shared" si="12"/>
        <v>8.56</v>
      </c>
      <c r="D68" s="49">
        <f t="shared" si="12"/>
        <v>1.29</v>
      </c>
      <c r="E68" s="49">
        <f>MAX(C68:D68)</f>
        <v>8.56</v>
      </c>
      <c r="G68" s="1" t="str">
        <f>G62</f>
        <v>per 100 referrals</v>
      </c>
      <c r="L68" s="58">
        <f>IF(($E62&gt;0),L62,L61)</f>
        <v>100</v>
      </c>
      <c r="M68" s="58">
        <f>IF((B68=G68),1,2)</f>
        <v>1</v>
      </c>
    </row>
    <row r="69" spans="2:13" ht="15" hidden="1" customHeight="1">
      <c r="B69" s="49" t="str">
        <f>IF(($E63&gt;0),B63,B61)</f>
        <v>per 100 youth petitioned</v>
      </c>
      <c r="C69" s="49">
        <f>IF(($E63&gt;0),C63,C62)</f>
        <v>4.12</v>
      </c>
      <c r="D69" s="49">
        <f>IF(($E63&gt;0),D63,D62)</f>
        <v>0.59</v>
      </c>
      <c r="E69" s="49">
        <f>MAX(C69:D69)</f>
        <v>4.12</v>
      </c>
      <c r="G69" s="1" t="str">
        <f>G63</f>
        <v>per 100 youth petitioned</v>
      </c>
      <c r="L69" s="58">
        <f>IF(($E63&gt;0),L63,L62)</f>
        <v>100</v>
      </c>
      <c r="M69" s="58">
        <f>IF((B69=G69),1,2)</f>
        <v>1</v>
      </c>
    </row>
    <row r="70" spans="2:13" ht="15" hidden="1" customHeight="1">
      <c r="B70" s="49" t="str">
        <f>IF(($E64&gt;0),B64,B63)</f>
        <v>per 100 youth found delinquent</v>
      </c>
      <c r="C70" s="49">
        <f>IF(($E64&gt;0),C64,C63)</f>
        <v>1.59</v>
      </c>
      <c r="D70" s="49">
        <f>IF(($E64&gt;0),D64,D63)</f>
        <v>0.38</v>
      </c>
      <c r="E70" s="56">
        <f>MAX(C70:D70)</f>
        <v>1.59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44114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580</v>
      </c>
      <c r="D7" s="34">
        <f>IF((AND(C66&gt;0,C7&gt;0)),(C7/C66),0)</f>
        <v>13.147753547626605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580</v>
      </c>
      <c r="Q7" s="42">
        <f>C6-C7</f>
        <v>43534</v>
      </c>
      <c r="R7" s="42">
        <f t="shared" ref="R7:R15" si="5">SUM(N7:Q7)</f>
        <v>44114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856</v>
      </c>
      <c r="D8" s="34">
        <f>IF((AND(C67&gt;0,C8&gt;0)),(C8/C67),0)</f>
        <v>147.58620689655172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856</v>
      </c>
      <c r="Q8" s="42">
        <f>(C$67*L67)-C8</f>
        <v>-276</v>
      </c>
      <c r="R8" s="42">
        <f t="shared" si="5"/>
        <v>580.04999999999995</v>
      </c>
      <c r="S8" s="30">
        <f t="shared" si="6"/>
        <v>1062558.7920000001</v>
      </c>
      <c r="T8" s="30">
        <f t="shared" si="7"/>
        <v>-6850182.7999999998</v>
      </c>
      <c r="U8" s="31">
        <f t="shared" si="8"/>
        <v>-0.15511393243403668</v>
      </c>
    </row>
    <row r="9" spans="2:21" ht="18" customHeight="1">
      <c r="B9" s="32" t="str">
        <f>'Data Entry'!A9</f>
        <v xml:space="preserve">4. Cases Diverted </v>
      </c>
      <c r="C9" s="33">
        <f>'Data Entry'!C9</f>
        <v>290</v>
      </c>
      <c r="D9" s="34">
        <f>IF((AND(C68&gt;0,C9&gt;0)),((C9/C68)),0)</f>
        <v>33.878504672897193</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290</v>
      </c>
      <c r="Q9" s="42">
        <f>(C$68*L68)-C9</f>
        <v>566</v>
      </c>
      <c r="R9" s="42">
        <f t="shared" si="5"/>
        <v>856</v>
      </c>
      <c r="S9" s="30">
        <f t="shared" si="6"/>
        <v>0</v>
      </c>
      <c r="T9" s="30">
        <f t="shared" si="7"/>
        <v>0</v>
      </c>
      <c r="U9" s="31" t="str">
        <f t="shared" si="8"/>
        <v>- -</v>
      </c>
    </row>
    <row r="10" spans="2:21" ht="18" customHeight="1">
      <c r="B10" s="32" t="str">
        <f>'Data Entry'!A10</f>
        <v>5. Cases Involving Secure Detention</v>
      </c>
      <c r="C10" s="33">
        <f>'Data Entry'!C10</f>
        <v>135</v>
      </c>
      <c r="D10" s="34">
        <f>IF(((AND(C68&gt;0,C10&gt;0))),(C10/(C68)),0)</f>
        <v>15.771028037383177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135</v>
      </c>
      <c r="Q10" s="42">
        <f>(C$68*L68)-C10</f>
        <v>721</v>
      </c>
      <c r="R10" s="42">
        <f t="shared" si="5"/>
        <v>856</v>
      </c>
      <c r="S10" s="30">
        <f t="shared" si="6"/>
        <v>0</v>
      </c>
      <c r="T10" s="30">
        <f t="shared" si="7"/>
        <v>0</v>
      </c>
      <c r="U10" s="31" t="str">
        <f t="shared" si="8"/>
        <v>- -</v>
      </c>
    </row>
    <row r="11" spans="2:21" ht="18" customHeight="1">
      <c r="B11" s="32" t="str">
        <f>'Data Entry'!A11</f>
        <v>6. Cases Petitioned (Charge Filed)</v>
      </c>
      <c r="C11" s="33">
        <f>'Data Entry'!C11</f>
        <v>412</v>
      </c>
      <c r="D11" s="34">
        <f>IF(((AND(C68&gt;0,C11&gt;0))),(C11/(C68)),0)</f>
        <v>48.130841121495322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412</v>
      </c>
      <c r="Q11" s="42">
        <f>(C$68*L68)-C11</f>
        <v>444</v>
      </c>
      <c r="R11" s="42">
        <f t="shared" si="5"/>
        <v>856</v>
      </c>
      <c r="S11" s="30">
        <f t="shared" si="6"/>
        <v>0</v>
      </c>
      <c r="T11" s="30">
        <f t="shared" si="7"/>
        <v>0</v>
      </c>
      <c r="U11" s="31" t="str">
        <f t="shared" si="8"/>
        <v>- -</v>
      </c>
    </row>
    <row r="12" spans="2:21" ht="18" customHeight="1">
      <c r="B12" s="32" t="str">
        <f>'Data Entry'!A12</f>
        <v>7. Cases Resulting in Delinquent Findings</v>
      </c>
      <c r="C12" s="33">
        <f>'Data Entry'!C12</f>
        <v>159</v>
      </c>
      <c r="D12" s="34">
        <f>IF(((AND(C69&gt;0,C12&gt;0))),(C12/(C69)),0)</f>
        <v>38.592233009708735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159</v>
      </c>
      <c r="Q12" s="42">
        <f>(C69*L69)-C12</f>
        <v>253</v>
      </c>
      <c r="R12" s="42">
        <f t="shared" si="5"/>
        <v>412</v>
      </c>
      <c r="S12" s="30">
        <f t="shared" si="6"/>
        <v>0</v>
      </c>
      <c r="T12" s="30">
        <f t="shared" si="7"/>
        <v>0</v>
      </c>
      <c r="U12" s="31" t="str">
        <f t="shared" si="8"/>
        <v>- -</v>
      </c>
    </row>
    <row r="13" spans="2:21" ht="18" customHeight="1">
      <c r="B13" s="32" t="str">
        <f>'Data Entry'!A13</f>
        <v>8. Cases Resulting in Probation Placement</v>
      </c>
      <c r="C13" s="33">
        <f>'Data Entry'!C13</f>
        <v>160</v>
      </c>
      <c r="D13" s="34">
        <f>IF(((AND(C70&gt;0,C13&gt;0))),(C13/(C70)),0)</f>
        <v>100.62893081761005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160</v>
      </c>
      <c r="Q13" s="42">
        <f>(C70*L70)-C13</f>
        <v>-1</v>
      </c>
      <c r="R13" s="42">
        <f t="shared" si="5"/>
        <v>159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6</v>
      </c>
      <c r="D14" s="34">
        <f>IF(((AND(C70&gt;0,C14&gt;0))), ((C14/(C70))),0)</f>
        <v>3.773584905660377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153</v>
      </c>
      <c r="R14" s="42">
        <f t="shared" si="5"/>
        <v>159</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0.24271844660194175</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411</v>
      </c>
      <c r="R15" s="42">
        <f t="shared" si="5"/>
        <v>412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44.113999999999997</v>
      </c>
      <c r="D42" s="56">
        <f>E6/1000</f>
        <v>0</v>
      </c>
      <c r="E42" s="56">
        <f>MAX(C42:D42)</f>
        <v>44.113999999999997</v>
      </c>
      <c r="G42" s="1" t="str">
        <f>B42</f>
        <v>per 1000 youth</v>
      </c>
      <c r="L42" s="57">
        <v>1000</v>
      </c>
      <c r="M42" s="57"/>
      <c r="R42" s="49"/>
    </row>
    <row r="43" spans="2:18" ht="15" hidden="1" customHeight="1">
      <c r="B43" s="49" t="s">
        <v>87</v>
      </c>
      <c r="C43" s="56">
        <f>C7/100</f>
        <v>5.8</v>
      </c>
      <c r="D43" s="56">
        <f>E7/100</f>
        <v>0</v>
      </c>
      <c r="E43" s="56">
        <f>MAX(C43:D43,0)</f>
        <v>5.8</v>
      </c>
      <c r="G43" s="1" t="str">
        <f>B43</f>
        <v>per 100 arrests</v>
      </c>
      <c r="L43" s="57">
        <v>100</v>
      </c>
      <c r="M43" s="57"/>
      <c r="R43" s="49"/>
    </row>
    <row r="44" spans="2:18" ht="15" hidden="1" customHeight="1">
      <c r="B44" s="49" t="s">
        <v>88</v>
      </c>
      <c r="C44" s="56">
        <f>C8/100</f>
        <v>8.56</v>
      </c>
      <c r="D44" s="56">
        <f>E8/100</f>
        <v>0</v>
      </c>
      <c r="E44" s="56">
        <f>MAX(C44:D44,0)</f>
        <v>8.56</v>
      </c>
      <c r="G44" s="1" t="str">
        <f>B44</f>
        <v>per 100 referrals</v>
      </c>
      <c r="L44" s="57">
        <v>100</v>
      </c>
      <c r="M44" s="57"/>
      <c r="R44" s="49"/>
    </row>
    <row r="45" spans="2:18" ht="15" hidden="1" customHeight="1">
      <c r="B45" s="49" t="s">
        <v>89</v>
      </c>
      <c r="C45" s="49">
        <f>C11/100</f>
        <v>4.12</v>
      </c>
      <c r="D45" s="49">
        <f>E11/100</f>
        <v>0</v>
      </c>
      <c r="E45" s="56">
        <f>MAX(C45:D45,0)</f>
        <v>4.12</v>
      </c>
      <c r="G45" s="1" t="str">
        <f>B45</f>
        <v>per 100 youth petitioned</v>
      </c>
      <c r="L45" s="57">
        <v>100</v>
      </c>
      <c r="M45" s="57"/>
      <c r="R45" s="49"/>
    </row>
    <row r="46" spans="2:18" ht="15" hidden="1" customHeight="1">
      <c r="B46" s="49" t="s">
        <v>90</v>
      </c>
      <c r="C46" s="49">
        <f>C12/100</f>
        <v>1.59</v>
      </c>
      <c r="D46" s="49">
        <f>E12/100</f>
        <v>0</v>
      </c>
      <c r="E46" s="56">
        <f>MAX(C46:D46)</f>
        <v>1.59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44.113999999999997</v>
      </c>
      <c r="D48" s="56">
        <f>D42</f>
        <v>0</v>
      </c>
      <c r="E48" s="56">
        <f>MAX(C48:D48)</f>
        <v>44.113999999999997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5.8</v>
      </c>
      <c r="D49" s="49">
        <f t="shared" si="9"/>
        <v>0</v>
      </c>
      <c r="E49" s="49">
        <f>MAX(C49:D49)</f>
        <v>5.8</v>
      </c>
      <c r="G49" s="1" t="str">
        <f>G43</f>
        <v>per 100 arrests</v>
      </c>
      <c r="L49" s="58">
        <f>IF(($E43&gt;0),L43,L42)</f>
        <v>100</v>
      </c>
      <c r="M49" s="58"/>
      <c r="N49" s="21"/>
      <c r="O49" s="21"/>
      <c r="P49" s="21"/>
      <c r="Q49" s="21"/>
      <c r="R49" s="21"/>
    </row>
    <row r="50" spans="2:18" ht="15" hidden="1" customHeight="1">
      <c r="B50" s="49" t="str">
        <f t="shared" si="9"/>
        <v>per 100 referrals</v>
      </c>
      <c r="C50" s="49">
        <f t="shared" si="9"/>
        <v>8.56</v>
      </c>
      <c r="D50" s="49">
        <f t="shared" si="9"/>
        <v>0</v>
      </c>
      <c r="E50" s="49">
        <f>MAX(C50:D50)</f>
        <v>8.56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4.12</v>
      </c>
      <c r="D51" s="49">
        <f>IF(($E45&gt;0),D45,D44)</f>
        <v>0</v>
      </c>
      <c r="E51" s="49">
        <f>MAX(C51:D51)</f>
        <v>4.12</v>
      </c>
      <c r="G51" s="1" t="str">
        <f>G45</f>
        <v>per 100 youth petitioned</v>
      </c>
      <c r="L51" s="58">
        <f>IF(($E45&gt;0),L45,L44)</f>
        <v>100</v>
      </c>
      <c r="M51" s="58"/>
    </row>
    <row r="52" spans="2:18" ht="15" hidden="1" customHeight="1">
      <c r="B52" s="49" t="str">
        <f>IF(($E46&gt;0),B46,B45)</f>
        <v>per 100 youth found delinquent</v>
      </c>
      <c r="C52" s="49">
        <f>IF(($E46&gt;0),C46,C45)</f>
        <v>1.59</v>
      </c>
      <c r="D52" s="49">
        <f>IF(($E46&gt;0),D46,D45)</f>
        <v>0</v>
      </c>
      <c r="E52" s="56">
        <f>MAX(C52:D52)</f>
        <v>1.59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44.113999999999997</v>
      </c>
      <c r="D54" s="56">
        <f>D48</f>
        <v>0</v>
      </c>
      <c r="E54" s="56">
        <f>MAX(C54:D54)</f>
        <v>44.113999999999997</v>
      </c>
      <c r="G54" s="1" t="str">
        <f>G48</f>
        <v>per 1000 youth</v>
      </c>
      <c r="L54" s="58">
        <f>L48</f>
        <v>1000</v>
      </c>
      <c r="M54" s="58"/>
    </row>
    <row r="55" spans="2:18" ht="15" hidden="1" customHeight="1">
      <c r="B55" s="49" t="str">
        <f t="shared" ref="B55:D56" si="10">IF(($E49&gt;0),B49,B48)</f>
        <v>per 100 arrests</v>
      </c>
      <c r="C55" s="49">
        <f t="shared" si="10"/>
        <v>5.8</v>
      </c>
      <c r="D55" s="49">
        <f t="shared" si="10"/>
        <v>0</v>
      </c>
      <c r="E55" s="49">
        <f>MAX(C55:D55)</f>
        <v>5.8</v>
      </c>
      <c r="G55" s="1" t="str">
        <f>G49</f>
        <v>per 100 arrests</v>
      </c>
      <c r="L55" s="58">
        <f>IF(($E49&gt;0),L49,L48)</f>
        <v>100</v>
      </c>
      <c r="M55" s="58"/>
    </row>
    <row r="56" spans="2:18" ht="15" hidden="1" customHeight="1">
      <c r="B56" s="49" t="str">
        <f t="shared" si="10"/>
        <v>per 100 referrals</v>
      </c>
      <c r="C56" s="49">
        <f t="shared" si="10"/>
        <v>8.56</v>
      </c>
      <c r="D56" s="49">
        <f t="shared" si="10"/>
        <v>0</v>
      </c>
      <c r="E56" s="49">
        <f>MAX(C56:D56)</f>
        <v>8.56</v>
      </c>
      <c r="G56" s="1" t="str">
        <f>G50</f>
        <v>per 100 referrals</v>
      </c>
      <c r="L56" s="58">
        <f>IF(($E50&gt;0),L50,L49)</f>
        <v>100</v>
      </c>
      <c r="M56" s="58"/>
    </row>
    <row r="57" spans="2:18" ht="15" hidden="1" customHeight="1">
      <c r="B57" s="49" t="str">
        <f>IF(($E51&gt;0),B51,B49)</f>
        <v>per 100 youth petitioned</v>
      </c>
      <c r="C57" s="49">
        <f>IF(($E51&gt;0),C51,C50)</f>
        <v>4.12</v>
      </c>
      <c r="D57" s="49">
        <f>IF(($E51&gt;0),D51,D50)</f>
        <v>0</v>
      </c>
      <c r="E57" s="49">
        <f>MAX(C57:D57)</f>
        <v>4.12</v>
      </c>
      <c r="G57" s="1" t="str">
        <f>G51</f>
        <v>per 100 youth petitioned</v>
      </c>
      <c r="L57" s="58">
        <f>IF(($E51&gt;0),L51,L50)</f>
        <v>100</v>
      </c>
      <c r="M57" s="58"/>
    </row>
    <row r="58" spans="2:18" ht="15" hidden="1" customHeight="1">
      <c r="B58" s="49" t="str">
        <f>IF(($E52&gt;0),B52,B51)</f>
        <v>per 100 youth found delinquent</v>
      </c>
      <c r="C58" s="49">
        <f>IF(($E52&gt;0),C52,C51)</f>
        <v>1.59</v>
      </c>
      <c r="D58" s="49">
        <f>IF(($E52&gt;0),D52,D51)</f>
        <v>0</v>
      </c>
      <c r="E58" s="56">
        <f>MAX(C58:D58)</f>
        <v>1.59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44.113999999999997</v>
      </c>
      <c r="D60" s="56">
        <f>D54</f>
        <v>0</v>
      </c>
      <c r="E60" s="56">
        <f>MAX(C60:D60)</f>
        <v>44.113999999999997</v>
      </c>
      <c r="G60" s="1" t="str">
        <f>G54</f>
        <v>per 1000 youth</v>
      </c>
      <c r="L60" s="58">
        <f>L54</f>
        <v>1000</v>
      </c>
      <c r="M60" s="58"/>
    </row>
    <row r="61" spans="2:18" ht="15" hidden="1" customHeight="1">
      <c r="B61" s="49" t="str">
        <f t="shared" ref="B61:D62" si="11">IF(($E55&gt;0),B55,B54)</f>
        <v>per 100 arrests</v>
      </c>
      <c r="C61" s="49">
        <f t="shared" si="11"/>
        <v>5.8</v>
      </c>
      <c r="D61" s="49">
        <f t="shared" si="11"/>
        <v>0</v>
      </c>
      <c r="E61" s="49">
        <f>MAX(C61:D61)</f>
        <v>5.8</v>
      </c>
      <c r="G61" s="1" t="str">
        <f>G55</f>
        <v>per 100 arrests</v>
      </c>
      <c r="L61" s="58">
        <f>IF(($E55&gt;0),L55,L54)</f>
        <v>100</v>
      </c>
      <c r="M61" s="58"/>
    </row>
    <row r="62" spans="2:18" ht="15" hidden="1" customHeight="1">
      <c r="B62" s="49" t="str">
        <f t="shared" si="11"/>
        <v>per 100 referrals</v>
      </c>
      <c r="C62" s="49">
        <f t="shared" si="11"/>
        <v>8.56</v>
      </c>
      <c r="D62" s="49">
        <f t="shared" si="11"/>
        <v>0</v>
      </c>
      <c r="E62" s="49">
        <f>MAX(C62:D62)</f>
        <v>8.56</v>
      </c>
      <c r="G62" s="1" t="str">
        <f>G56</f>
        <v>per 100 referrals</v>
      </c>
      <c r="L62" s="58">
        <f>IF(($E56&gt;0),L56,L55)</f>
        <v>100</v>
      </c>
      <c r="M62" s="58"/>
    </row>
    <row r="63" spans="2:18" ht="15" hidden="1" customHeight="1">
      <c r="B63" s="49" t="str">
        <f>IF(($E57&gt;0),B57,B55)</f>
        <v>per 100 youth petitioned</v>
      </c>
      <c r="C63" s="49">
        <f>IF(($E57&gt;0),C57,C56)</f>
        <v>4.12</v>
      </c>
      <c r="D63" s="49">
        <f>IF(($E57&gt;0),D57,D56)</f>
        <v>0</v>
      </c>
      <c r="E63" s="49">
        <f>MAX(C63:D63)</f>
        <v>4.12</v>
      </c>
      <c r="G63" s="1" t="str">
        <f>G57</f>
        <v>per 100 youth petitioned</v>
      </c>
      <c r="L63" s="58">
        <f>IF(($E57&gt;0),L57,L56)</f>
        <v>100</v>
      </c>
      <c r="M63" s="58"/>
    </row>
    <row r="64" spans="2:18" ht="15" hidden="1" customHeight="1">
      <c r="B64" s="49" t="str">
        <f>IF(($E58&gt;0),B58,B57)</f>
        <v>per 100 youth found delinquent</v>
      </c>
      <c r="C64" s="49">
        <f>IF(($E58&gt;0),C58,C57)</f>
        <v>1.59</v>
      </c>
      <c r="D64" s="49">
        <f>IF(($E58&gt;0),D58,D57)</f>
        <v>0</v>
      </c>
      <c r="E64" s="56">
        <f>MAX(C64:D64)</f>
        <v>1.59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44.113999999999997</v>
      </c>
      <c r="D66" s="56">
        <f>D60</f>
        <v>0</v>
      </c>
      <c r="E66" s="56">
        <f>MAX(C66:D66)</f>
        <v>44.113999999999997</v>
      </c>
      <c r="G66" s="1" t="str">
        <f>G60</f>
        <v>per 1000 youth</v>
      </c>
      <c r="L66" s="58">
        <f>L60</f>
        <v>1000</v>
      </c>
      <c r="M66" s="58">
        <f>IF((B66=G66),1,2)</f>
        <v>1</v>
      </c>
    </row>
    <row r="67" spans="2:13" ht="15" hidden="1" customHeight="1">
      <c r="B67" s="49" t="str">
        <f t="shared" ref="B67:D68" si="12">IF(($E61&gt;0),B61,B60)</f>
        <v>per 100 arrests</v>
      </c>
      <c r="C67" s="49">
        <f t="shared" si="12"/>
        <v>5.8</v>
      </c>
      <c r="D67" s="49">
        <f t="shared" si="12"/>
        <v>0</v>
      </c>
      <c r="E67" s="49">
        <f>MAX(C67:D67)</f>
        <v>5.8</v>
      </c>
      <c r="G67" s="1" t="str">
        <f>G61</f>
        <v>per 100 arrests</v>
      </c>
      <c r="L67" s="58">
        <f>IF(($E61&gt;0),L61,L60)</f>
        <v>100</v>
      </c>
      <c r="M67" s="58">
        <f>IF((B67=G67),1,2)</f>
        <v>1</v>
      </c>
    </row>
    <row r="68" spans="2:13" ht="15" hidden="1" customHeight="1">
      <c r="B68" s="49" t="str">
        <f t="shared" si="12"/>
        <v>per 100 referrals</v>
      </c>
      <c r="C68" s="49">
        <f t="shared" si="12"/>
        <v>8.56</v>
      </c>
      <c r="D68" s="49">
        <f t="shared" si="12"/>
        <v>0</v>
      </c>
      <c r="E68" s="49">
        <f>MAX(C68:D68)</f>
        <v>8.56</v>
      </c>
      <c r="G68" s="1" t="str">
        <f>G62</f>
        <v>per 100 referrals</v>
      </c>
      <c r="L68" s="58">
        <f>IF(($E62&gt;0),L62,L61)</f>
        <v>100</v>
      </c>
      <c r="M68" s="58">
        <f>IF((B68=G68),1,2)</f>
        <v>1</v>
      </c>
    </row>
    <row r="69" spans="2:13" ht="15" hidden="1" customHeight="1">
      <c r="B69" s="49" t="str">
        <f>IF(($E63&gt;0),B63,B61)</f>
        <v>per 100 youth petitioned</v>
      </c>
      <c r="C69" s="49">
        <f>IF(($E63&gt;0),C63,C62)</f>
        <v>4.12</v>
      </c>
      <c r="D69" s="49">
        <f>IF(($E63&gt;0),D63,D62)</f>
        <v>0</v>
      </c>
      <c r="E69" s="49">
        <f>MAX(C69:D69)</f>
        <v>4.12</v>
      </c>
      <c r="G69" s="1" t="str">
        <f>G63</f>
        <v>per 100 youth petitioned</v>
      </c>
      <c r="L69" s="58">
        <f>IF(($E63&gt;0),L63,L62)</f>
        <v>100</v>
      </c>
      <c r="M69" s="58">
        <f>IF((B69=G69),1,2)</f>
        <v>1</v>
      </c>
    </row>
    <row r="70" spans="2:13" ht="15" hidden="1" customHeight="1">
      <c r="B70" s="49" t="str">
        <f>IF(($E64&gt;0),B64,B63)</f>
        <v>per 100 youth found delinquent</v>
      </c>
      <c r="C70" s="49">
        <f>IF(($E64&gt;0),C64,C63)</f>
        <v>1.59</v>
      </c>
      <c r="D70" s="49">
        <f>IF(($E64&gt;0),D64,D63)</f>
        <v>0</v>
      </c>
      <c r="E70" s="56">
        <f>MAX(C70:D70)</f>
        <v>1.59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44114</v>
      </c>
      <c r="D6" s="34"/>
      <c r="E6" s="33">
        <f>'Data Entry'!H6</f>
        <v>286</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580</v>
      </c>
      <c r="D7" s="34">
        <f>IF((AND(C66&gt;0,C7&gt;0)),(C7/C66),0)</f>
        <v>13.147753547626605</v>
      </c>
      <c r="E7" s="33">
        <f>'Data Entry'!H7</f>
        <v>3</v>
      </c>
      <c r="F7" s="34">
        <f>IF((AND($E$7&gt;0,$D$66&gt;0)),($E$7/$D$66),0)</f>
        <v>10.48951048951049</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3</v>
      </c>
      <c r="O7" s="42">
        <f>E6-E7</f>
        <v>283</v>
      </c>
      <c r="P7" s="42">
        <f t="shared" ref="P7:P15" si="4">C7</f>
        <v>580</v>
      </c>
      <c r="Q7" s="42">
        <f>C6-C7</f>
        <v>43534</v>
      </c>
      <c r="R7" s="42">
        <f t="shared" ref="R7:R15" si="5">SUM(N7:Q7)</f>
        <v>44400</v>
      </c>
      <c r="S7" s="30">
        <f t="shared" ref="S7:S15" si="6">R7*((((N7*Q7)-(O7*P7))^2))</f>
        <v>49941006513600</v>
      </c>
      <c r="T7" s="30">
        <f t="shared" ref="T7:T15" si="7">(N7+O7)*(P7+Q7)*(N7+P7)*(O7+Q7)</f>
        <v>322295072943844</v>
      </c>
      <c r="U7" s="31">
        <f t="shared" ref="U7:U15" si="8">IF((S7&gt;0),S7/T7,"- -")</f>
        <v>0.15495429718313322</v>
      </c>
    </row>
    <row r="8" spans="2:21" ht="18" customHeight="1">
      <c r="B8" s="32" t="str">
        <f>'Data Entry'!A8</f>
        <v>3. Refer to Juvenile Court</v>
      </c>
      <c r="C8" s="33">
        <f>'Data Entry'!C8</f>
        <v>856</v>
      </c>
      <c r="D8" s="34">
        <f>IF((AND(C67&gt;0,C8&gt;0)),(C8/C67),0)</f>
        <v>147.58620689655172</v>
      </c>
      <c r="E8" s="33">
        <f>'Data Entry'!H8</f>
        <v>13</v>
      </c>
      <c r="F8" s="34">
        <f>IF((AND($E$8&gt;0,$D$67&gt;0)),($E8/$D67),0)</f>
        <v>433.33333333333337</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13</v>
      </c>
      <c r="O8" s="42">
        <f>((D67*L67)-E8)+0.05</f>
        <v>-9.9499999999999993</v>
      </c>
      <c r="P8" s="42">
        <f t="shared" si="4"/>
        <v>856</v>
      </c>
      <c r="Q8" s="42">
        <f>(C$67*L67)-C8</f>
        <v>-276</v>
      </c>
      <c r="R8" s="42">
        <f t="shared" si="5"/>
        <v>583.04999999999995</v>
      </c>
      <c r="S8" s="30">
        <f t="shared" si="6"/>
        <v>14166373219.751993</v>
      </c>
      <c r="T8" s="30">
        <f t="shared" si="7"/>
        <v>-439579782.95000011</v>
      </c>
      <c r="U8" s="31">
        <f t="shared" si="8"/>
        <v>-32.227080883206462</v>
      </c>
    </row>
    <row r="9" spans="2:21" ht="18" customHeight="1">
      <c r="B9" s="32" t="str">
        <f>'Data Entry'!A9</f>
        <v xml:space="preserve">4. Cases Diverted </v>
      </c>
      <c r="C9" s="33">
        <f>'Data Entry'!C9</f>
        <v>290</v>
      </c>
      <c r="D9" s="34">
        <f>IF((AND(C68&gt;0,C9&gt;0)),((C9/C68)),0)</f>
        <v>33.878504672897193</v>
      </c>
      <c r="E9" s="33">
        <f>'Data Entry'!H9</f>
        <v>3</v>
      </c>
      <c r="F9" s="34">
        <f>IF((AND($E$9&gt;0,$D$68&gt;0)),(($E$9/$D$68)),0)</f>
        <v>23.076923076923077</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3</v>
      </c>
      <c r="O9" s="42">
        <f>(D$68*L68)-E9</f>
        <v>10</v>
      </c>
      <c r="P9" s="42">
        <f t="shared" si="4"/>
        <v>290</v>
      </c>
      <c r="Q9" s="42">
        <f>(C$68*L68)-C9</f>
        <v>566</v>
      </c>
      <c r="R9" s="42">
        <f t="shared" si="5"/>
        <v>869</v>
      </c>
      <c r="S9" s="30">
        <f t="shared" si="6"/>
        <v>1255534676</v>
      </c>
      <c r="T9" s="30">
        <f t="shared" si="7"/>
        <v>1878050304</v>
      </c>
      <c r="U9" s="31">
        <f t="shared" si="8"/>
        <v>0.6685309085309783</v>
      </c>
    </row>
    <row r="10" spans="2:21" ht="18" customHeight="1">
      <c r="B10" s="32" t="str">
        <f>'Data Entry'!A10</f>
        <v>5. Cases Involving Secure Detention</v>
      </c>
      <c r="C10" s="33">
        <f>'Data Entry'!C10</f>
        <v>135</v>
      </c>
      <c r="D10" s="34">
        <f>IF(((AND(C68&gt;0,C10&gt;0))),(C10/(C68)),0)</f>
        <v>15.771028037383177</v>
      </c>
      <c r="E10" s="33">
        <f>'Data Entry'!H10</f>
        <v>3</v>
      </c>
      <c r="F10" s="34">
        <f>IF(((AND($E$10&gt;0,$D$68&gt;0))),($E$10/($D$68)),0)</f>
        <v>23.076923076923077</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3</v>
      </c>
      <c r="O10" s="42">
        <f>(D$68*L68)-E10</f>
        <v>10</v>
      </c>
      <c r="P10" s="42">
        <f t="shared" si="4"/>
        <v>135</v>
      </c>
      <c r="Q10" s="42">
        <f>(C$68*L68)-C10</f>
        <v>721</v>
      </c>
      <c r="R10" s="42">
        <f t="shared" si="5"/>
        <v>869</v>
      </c>
      <c r="S10" s="30">
        <f t="shared" si="6"/>
        <v>574382061</v>
      </c>
      <c r="T10" s="30">
        <f t="shared" si="7"/>
        <v>1122570384</v>
      </c>
      <c r="U10" s="31">
        <f t="shared" si="8"/>
        <v>0.51166685776381571</v>
      </c>
    </row>
    <row r="11" spans="2:21" ht="18" customHeight="1">
      <c r="B11" s="32" t="str">
        <f>'Data Entry'!A11</f>
        <v>6. Cases Petitioned (Charge Filed)</v>
      </c>
      <c r="C11" s="33">
        <f>'Data Entry'!C11</f>
        <v>412</v>
      </c>
      <c r="D11" s="34">
        <f>IF(((AND(C68&gt;0,C11&gt;0))),(C11/(C68)),0)</f>
        <v>48.130841121495322</v>
      </c>
      <c r="E11" s="33">
        <f>'Data Entry'!H11</f>
        <v>3</v>
      </c>
      <c r="F11" s="34">
        <f>IF(((AND($E$11&gt;0,$D$68&gt;0))),($E$11/($D$68)),0)</f>
        <v>23.076923076923077</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3</v>
      </c>
      <c r="O11" s="42">
        <f>(D$68*L68)-E11</f>
        <v>10</v>
      </c>
      <c r="P11" s="42">
        <f t="shared" si="4"/>
        <v>412</v>
      </c>
      <c r="Q11" s="42">
        <f>(C$68*L68)-C11</f>
        <v>444</v>
      </c>
      <c r="R11" s="42">
        <f t="shared" si="5"/>
        <v>869</v>
      </c>
      <c r="S11" s="30">
        <f t="shared" si="6"/>
        <v>6754688336</v>
      </c>
      <c r="T11" s="30">
        <f t="shared" si="7"/>
        <v>2096626480</v>
      </c>
      <c r="U11" s="31">
        <f t="shared" si="8"/>
        <v>3.2216937067397908</v>
      </c>
    </row>
    <row r="12" spans="2:21" ht="18" customHeight="1">
      <c r="B12" s="32" t="str">
        <f>'Data Entry'!A12</f>
        <v>7. Cases Resulting in Delinquent Findings</v>
      </c>
      <c r="C12" s="33">
        <f>'Data Entry'!C12</f>
        <v>159</v>
      </c>
      <c r="D12" s="34">
        <f>IF(((AND(C69&gt;0,C12&gt;0))),(C12/(C69)),0)</f>
        <v>38.592233009708735</v>
      </c>
      <c r="E12" s="33">
        <f>'Data Entry'!H12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3</v>
      </c>
      <c r="P12" s="42">
        <f t="shared" si="4"/>
        <v>159</v>
      </c>
      <c r="Q12" s="42">
        <f>(C69*L69)-C12</f>
        <v>253</v>
      </c>
      <c r="R12" s="42">
        <f t="shared" si="5"/>
        <v>415</v>
      </c>
      <c r="S12" s="30">
        <f t="shared" si="6"/>
        <v>94424535</v>
      </c>
      <c r="T12" s="30">
        <f t="shared" si="7"/>
        <v>50310144</v>
      </c>
      <c r="U12" s="31">
        <f t="shared" si="8"/>
        <v>1.8768488319174756</v>
      </c>
    </row>
    <row r="13" spans="2:21" ht="18" customHeight="1">
      <c r="B13" s="32" t="str">
        <f>'Data Entry'!A13</f>
        <v>8. Cases Resulting in Probation Placement</v>
      </c>
      <c r="C13" s="33">
        <f>'Data Entry'!C13</f>
        <v>160</v>
      </c>
      <c r="D13" s="34">
        <f>IF(((AND(C70&gt;0,C13&gt;0))),(C13/(C70)),0)</f>
        <v>100.62893081761005</v>
      </c>
      <c r="E13" s="33">
        <f>'Data Entry'!H13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160</v>
      </c>
      <c r="Q13" s="42">
        <f>(C70*L70)-C13</f>
        <v>-1</v>
      </c>
      <c r="R13" s="42">
        <f t="shared" si="5"/>
        <v>159</v>
      </c>
      <c r="S13" s="30">
        <f t="shared" si="6"/>
        <v>4019679</v>
      </c>
      <c r="T13" s="30">
        <f t="shared" si="7"/>
        <v>0</v>
      </c>
      <c r="U13" s="31" t="e">
        <f t="shared" si="8"/>
        <v>#DIV/0!</v>
      </c>
    </row>
    <row r="14" spans="2:21" ht="30.75" customHeight="1">
      <c r="B14" s="32" t="str">
        <f>'Data Entry'!A14</f>
        <v xml:space="preserve">9. Cases Resulting in Confinement in Secure Juvenile Correctional Facilities </v>
      </c>
      <c r="C14" s="33">
        <f>'Data Entry'!C14</f>
        <v>6</v>
      </c>
      <c r="D14" s="34">
        <f>IF(((AND(C70&gt;0,C14&gt;0))), ((C14/(C70))),0)</f>
        <v>3.773584905660377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6</v>
      </c>
      <c r="Q14" s="42">
        <f>(C70*L70)-C14</f>
        <v>153</v>
      </c>
      <c r="R14" s="42">
        <f t="shared" si="5"/>
        <v>159</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0.24271844660194175</v>
      </c>
      <c r="E15" s="33">
        <f>'Data Entry'!H15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3</v>
      </c>
      <c r="P15" s="42">
        <f t="shared" si="4"/>
        <v>1</v>
      </c>
      <c r="Q15" s="42">
        <f>(C69*L69)-C15</f>
        <v>411</v>
      </c>
      <c r="R15" s="42">
        <f t="shared" si="5"/>
        <v>415</v>
      </c>
      <c r="S15" s="30">
        <f t="shared" si="6"/>
        <v>3735</v>
      </c>
      <c r="T15" s="30">
        <f t="shared" si="7"/>
        <v>511704</v>
      </c>
      <c r="U15" s="31">
        <f t="shared" si="8"/>
        <v>7.2991416912902771E-3</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44.113999999999997</v>
      </c>
      <c r="D42" s="56">
        <f>E6/1000</f>
        <v>0.28599999999999998</v>
      </c>
      <c r="E42" s="56">
        <f>MAX(C42:D42)</f>
        <v>44.113999999999997</v>
      </c>
      <c r="G42" s="1" t="str">
        <f>B42</f>
        <v>per 1000 youth</v>
      </c>
      <c r="L42" s="57">
        <v>1000</v>
      </c>
      <c r="M42" s="57"/>
      <c r="R42" s="49"/>
    </row>
    <row r="43" spans="2:18" ht="15" hidden="1" customHeight="1">
      <c r="B43" s="49" t="s">
        <v>87</v>
      </c>
      <c r="C43" s="56">
        <f>C7/100</f>
        <v>5.8</v>
      </c>
      <c r="D43" s="56">
        <f>E7/100</f>
        <v>0.03</v>
      </c>
      <c r="E43" s="56">
        <f>MAX(C43:D43,0)</f>
        <v>5.8</v>
      </c>
      <c r="G43" s="1" t="str">
        <f>B43</f>
        <v>per 100 arrests</v>
      </c>
      <c r="L43" s="57">
        <v>100</v>
      </c>
      <c r="M43" s="57"/>
      <c r="R43" s="49"/>
    </row>
    <row r="44" spans="2:18" ht="15" hidden="1" customHeight="1">
      <c r="B44" s="49" t="s">
        <v>88</v>
      </c>
      <c r="C44" s="56">
        <f>C8/100</f>
        <v>8.56</v>
      </c>
      <c r="D44" s="56">
        <f>E8/100</f>
        <v>0.13</v>
      </c>
      <c r="E44" s="56">
        <f>MAX(C44:D44,0)</f>
        <v>8.56</v>
      </c>
      <c r="G44" s="1" t="str">
        <f>B44</f>
        <v>per 100 referrals</v>
      </c>
      <c r="L44" s="57">
        <v>100</v>
      </c>
      <c r="M44" s="57"/>
      <c r="R44" s="49"/>
    </row>
    <row r="45" spans="2:18" ht="15" hidden="1" customHeight="1">
      <c r="B45" s="49" t="s">
        <v>89</v>
      </c>
      <c r="C45" s="49">
        <f>C11/100</f>
        <v>4.12</v>
      </c>
      <c r="D45" s="49">
        <f>E11/100</f>
        <v>0.03</v>
      </c>
      <c r="E45" s="56">
        <f>MAX(C45:D45,0)</f>
        <v>4.12</v>
      </c>
      <c r="G45" s="1" t="str">
        <f>B45</f>
        <v>per 100 youth petitioned</v>
      </c>
      <c r="L45" s="57">
        <v>100</v>
      </c>
      <c r="M45" s="57"/>
      <c r="R45" s="49"/>
    </row>
    <row r="46" spans="2:18" ht="15" hidden="1" customHeight="1">
      <c r="B46" s="49" t="s">
        <v>90</v>
      </c>
      <c r="C46" s="49">
        <f>C12/100</f>
        <v>1.59</v>
      </c>
      <c r="D46" s="49">
        <f>E12/100</f>
        <v>0</v>
      </c>
      <c r="E46" s="56">
        <f>MAX(C46:D46)</f>
        <v>1.59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44.113999999999997</v>
      </c>
      <c r="D48" s="56">
        <f>D42</f>
        <v>0.28599999999999998</v>
      </c>
      <c r="E48" s="56">
        <f>MAX(C48:D48)</f>
        <v>44.113999999999997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5.8</v>
      </c>
      <c r="D49" s="49">
        <f t="shared" si="9"/>
        <v>0.03</v>
      </c>
      <c r="E49" s="49">
        <f>MAX(C49:D49)</f>
        <v>5.8</v>
      </c>
      <c r="G49" s="1" t="str">
        <f>G43</f>
        <v>per 100 arrests</v>
      </c>
      <c r="L49" s="58">
        <f>IF(($E43&gt;0),L43,L42)</f>
        <v>100</v>
      </c>
      <c r="M49" s="58"/>
      <c r="N49" s="21"/>
      <c r="O49" s="21"/>
      <c r="P49" s="21"/>
      <c r="Q49" s="21"/>
      <c r="R49" s="21"/>
    </row>
    <row r="50" spans="2:18" ht="15" hidden="1" customHeight="1">
      <c r="B50" s="49" t="str">
        <f t="shared" si="9"/>
        <v>per 100 referrals</v>
      </c>
      <c r="C50" s="49">
        <f t="shared" si="9"/>
        <v>8.56</v>
      </c>
      <c r="D50" s="49">
        <f t="shared" si="9"/>
        <v>0.13</v>
      </c>
      <c r="E50" s="49">
        <f>MAX(C50:D50)</f>
        <v>8.56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4.12</v>
      </c>
      <c r="D51" s="49">
        <f>IF(($E45&gt;0),D45,D44)</f>
        <v>0.03</v>
      </c>
      <c r="E51" s="49">
        <f>MAX(C51:D51)</f>
        <v>4.12</v>
      </c>
      <c r="G51" s="1" t="str">
        <f>G45</f>
        <v>per 100 youth petitioned</v>
      </c>
      <c r="L51" s="58">
        <f>IF(($E45&gt;0),L45,L44)</f>
        <v>100</v>
      </c>
      <c r="M51" s="58"/>
    </row>
    <row r="52" spans="2:18" ht="15" hidden="1" customHeight="1">
      <c r="B52" s="49" t="str">
        <f>IF(($E46&gt;0),B46,B45)</f>
        <v>per 100 youth found delinquent</v>
      </c>
      <c r="C52" s="49">
        <f>IF(($E46&gt;0),C46,C45)</f>
        <v>1.59</v>
      </c>
      <c r="D52" s="49">
        <f>IF(($E46&gt;0),D46,D45)</f>
        <v>0</v>
      </c>
      <c r="E52" s="56">
        <f>MAX(C52:D52)</f>
        <v>1.59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44.113999999999997</v>
      </c>
      <c r="D54" s="56">
        <f>D48</f>
        <v>0.28599999999999998</v>
      </c>
      <c r="E54" s="56">
        <f>MAX(C54:D54)</f>
        <v>44.113999999999997</v>
      </c>
      <c r="G54" s="1" t="str">
        <f>G48</f>
        <v>per 1000 youth</v>
      </c>
      <c r="L54" s="58">
        <f>L48</f>
        <v>1000</v>
      </c>
      <c r="M54" s="58"/>
    </row>
    <row r="55" spans="2:18" ht="15" hidden="1" customHeight="1">
      <c r="B55" s="49" t="str">
        <f t="shared" ref="B55:D56" si="10">IF(($E49&gt;0),B49,B48)</f>
        <v>per 100 arrests</v>
      </c>
      <c r="C55" s="49">
        <f t="shared" si="10"/>
        <v>5.8</v>
      </c>
      <c r="D55" s="49">
        <f t="shared" si="10"/>
        <v>0.03</v>
      </c>
      <c r="E55" s="49">
        <f>MAX(C55:D55)</f>
        <v>5.8</v>
      </c>
      <c r="G55" s="1" t="str">
        <f>G49</f>
        <v>per 100 arrests</v>
      </c>
      <c r="L55" s="58">
        <f>IF(($E49&gt;0),L49,L48)</f>
        <v>100</v>
      </c>
      <c r="M55" s="58"/>
    </row>
    <row r="56" spans="2:18" ht="15" hidden="1" customHeight="1">
      <c r="B56" s="49" t="str">
        <f t="shared" si="10"/>
        <v>per 100 referrals</v>
      </c>
      <c r="C56" s="49">
        <f t="shared" si="10"/>
        <v>8.56</v>
      </c>
      <c r="D56" s="49">
        <f t="shared" si="10"/>
        <v>0.13</v>
      </c>
      <c r="E56" s="49">
        <f>MAX(C56:D56)</f>
        <v>8.56</v>
      </c>
      <c r="G56" s="1" t="str">
        <f>G50</f>
        <v>per 100 referrals</v>
      </c>
      <c r="L56" s="58">
        <f>IF(($E50&gt;0),L50,L49)</f>
        <v>100</v>
      </c>
      <c r="M56" s="58"/>
    </row>
    <row r="57" spans="2:18" ht="15" hidden="1" customHeight="1">
      <c r="B57" s="49" t="str">
        <f>IF(($E51&gt;0),B51,B49)</f>
        <v>per 100 youth petitioned</v>
      </c>
      <c r="C57" s="49">
        <f>IF(($E51&gt;0),C51,C50)</f>
        <v>4.12</v>
      </c>
      <c r="D57" s="49">
        <f>IF(($E51&gt;0),D51,D50)</f>
        <v>0.03</v>
      </c>
      <c r="E57" s="49">
        <f>MAX(C57:D57)</f>
        <v>4.12</v>
      </c>
      <c r="G57" s="1" t="str">
        <f>G51</f>
        <v>per 100 youth petitioned</v>
      </c>
      <c r="L57" s="58">
        <f>IF(($E51&gt;0),L51,L50)</f>
        <v>100</v>
      </c>
      <c r="M57" s="58"/>
    </row>
    <row r="58" spans="2:18" ht="15" hidden="1" customHeight="1">
      <c r="B58" s="49" t="str">
        <f>IF(($E52&gt;0),B52,B51)</f>
        <v>per 100 youth found delinquent</v>
      </c>
      <c r="C58" s="49">
        <f>IF(($E52&gt;0),C52,C51)</f>
        <v>1.59</v>
      </c>
      <c r="D58" s="49">
        <f>IF(($E52&gt;0),D52,D51)</f>
        <v>0</v>
      </c>
      <c r="E58" s="56">
        <f>MAX(C58:D58)</f>
        <v>1.59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44.113999999999997</v>
      </c>
      <c r="D60" s="56">
        <f>D54</f>
        <v>0.28599999999999998</v>
      </c>
      <c r="E60" s="56">
        <f>MAX(C60:D60)</f>
        <v>44.113999999999997</v>
      </c>
      <c r="G60" s="1" t="str">
        <f>G54</f>
        <v>per 1000 youth</v>
      </c>
      <c r="L60" s="58">
        <f>L54</f>
        <v>1000</v>
      </c>
      <c r="M60" s="58"/>
    </row>
    <row r="61" spans="2:18" ht="15" hidden="1" customHeight="1">
      <c r="B61" s="49" t="str">
        <f t="shared" ref="B61:D62" si="11">IF(($E55&gt;0),B55,B54)</f>
        <v>per 100 arrests</v>
      </c>
      <c r="C61" s="49">
        <f t="shared" si="11"/>
        <v>5.8</v>
      </c>
      <c r="D61" s="49">
        <f t="shared" si="11"/>
        <v>0.03</v>
      </c>
      <c r="E61" s="49">
        <f>MAX(C61:D61)</f>
        <v>5.8</v>
      </c>
      <c r="G61" s="1" t="str">
        <f>G55</f>
        <v>per 100 arrests</v>
      </c>
      <c r="L61" s="58">
        <f>IF(($E55&gt;0),L55,L54)</f>
        <v>100</v>
      </c>
      <c r="M61" s="58"/>
    </row>
    <row r="62" spans="2:18" ht="15" hidden="1" customHeight="1">
      <c r="B62" s="49" t="str">
        <f t="shared" si="11"/>
        <v>per 100 referrals</v>
      </c>
      <c r="C62" s="49">
        <f t="shared" si="11"/>
        <v>8.56</v>
      </c>
      <c r="D62" s="49">
        <f t="shared" si="11"/>
        <v>0.13</v>
      </c>
      <c r="E62" s="49">
        <f>MAX(C62:D62)</f>
        <v>8.56</v>
      </c>
      <c r="G62" s="1" t="str">
        <f>G56</f>
        <v>per 100 referrals</v>
      </c>
      <c r="L62" s="58">
        <f>IF(($E56&gt;0),L56,L55)</f>
        <v>100</v>
      </c>
      <c r="M62" s="58"/>
    </row>
    <row r="63" spans="2:18" ht="15" hidden="1" customHeight="1">
      <c r="B63" s="49" t="str">
        <f>IF(($E57&gt;0),B57,B55)</f>
        <v>per 100 youth petitioned</v>
      </c>
      <c r="C63" s="49">
        <f>IF(($E57&gt;0),C57,C56)</f>
        <v>4.12</v>
      </c>
      <c r="D63" s="49">
        <f>IF(($E57&gt;0),D57,D56)</f>
        <v>0.03</v>
      </c>
      <c r="E63" s="49">
        <f>MAX(C63:D63)</f>
        <v>4.12</v>
      </c>
      <c r="G63" s="1" t="str">
        <f>G57</f>
        <v>per 100 youth petitioned</v>
      </c>
      <c r="L63" s="58">
        <f>IF(($E57&gt;0),L57,L56)</f>
        <v>100</v>
      </c>
      <c r="M63" s="58"/>
    </row>
    <row r="64" spans="2:18" ht="15" hidden="1" customHeight="1">
      <c r="B64" s="49" t="str">
        <f>IF(($E58&gt;0),B58,B57)</f>
        <v>per 100 youth found delinquent</v>
      </c>
      <c r="C64" s="49">
        <f>IF(($E58&gt;0),C58,C57)</f>
        <v>1.59</v>
      </c>
      <c r="D64" s="49">
        <f>IF(($E58&gt;0),D58,D57)</f>
        <v>0</v>
      </c>
      <c r="E64" s="56">
        <f>MAX(C64:D64)</f>
        <v>1.59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44.113999999999997</v>
      </c>
      <c r="D66" s="56">
        <f>D60</f>
        <v>0.28599999999999998</v>
      </c>
      <c r="E66" s="56">
        <f>MAX(C66:D66)</f>
        <v>44.113999999999997</v>
      </c>
      <c r="G66" s="1" t="str">
        <f>G60</f>
        <v>per 1000 youth</v>
      </c>
      <c r="L66" s="58">
        <f>L60</f>
        <v>1000</v>
      </c>
      <c r="M66" s="58">
        <f>IF((B66=G66),1,2)</f>
        <v>1</v>
      </c>
    </row>
    <row r="67" spans="2:13" ht="15" hidden="1" customHeight="1">
      <c r="B67" s="49" t="str">
        <f t="shared" ref="B67:D68" si="12">IF(($E61&gt;0),B61,B60)</f>
        <v>per 100 arrests</v>
      </c>
      <c r="C67" s="49">
        <f t="shared" si="12"/>
        <v>5.8</v>
      </c>
      <c r="D67" s="49">
        <f t="shared" si="12"/>
        <v>0.03</v>
      </c>
      <c r="E67" s="49">
        <f>MAX(C67:D67)</f>
        <v>5.8</v>
      </c>
      <c r="G67" s="1" t="str">
        <f>G61</f>
        <v>per 100 arrests</v>
      </c>
      <c r="L67" s="58">
        <f>IF(($E61&gt;0),L61,L60)</f>
        <v>100</v>
      </c>
      <c r="M67" s="58">
        <f>IF((B67=G67),1,2)</f>
        <v>1</v>
      </c>
    </row>
    <row r="68" spans="2:13" ht="15" hidden="1" customHeight="1">
      <c r="B68" s="49" t="str">
        <f t="shared" si="12"/>
        <v>per 100 referrals</v>
      </c>
      <c r="C68" s="49">
        <f t="shared" si="12"/>
        <v>8.56</v>
      </c>
      <c r="D68" s="49">
        <f t="shared" si="12"/>
        <v>0.13</v>
      </c>
      <c r="E68" s="49">
        <f>MAX(C68:D68)</f>
        <v>8.56</v>
      </c>
      <c r="G68" s="1" t="str">
        <f>G62</f>
        <v>per 100 referrals</v>
      </c>
      <c r="L68" s="58">
        <f>IF(($E62&gt;0),L62,L61)</f>
        <v>100</v>
      </c>
      <c r="M68" s="58">
        <f>IF((B68=G68),1,2)</f>
        <v>1</v>
      </c>
    </row>
    <row r="69" spans="2:13" ht="15" hidden="1" customHeight="1">
      <c r="B69" s="49" t="str">
        <f>IF(($E63&gt;0),B63,B61)</f>
        <v>per 100 youth petitioned</v>
      </c>
      <c r="C69" s="49">
        <f>IF(($E63&gt;0),C63,C62)</f>
        <v>4.12</v>
      </c>
      <c r="D69" s="49">
        <f>IF(($E63&gt;0),D63,D62)</f>
        <v>0.03</v>
      </c>
      <c r="E69" s="49">
        <f>MAX(C69:D69)</f>
        <v>4.12</v>
      </c>
      <c r="G69" s="1" t="str">
        <f>G63</f>
        <v>per 100 youth petitioned</v>
      </c>
      <c r="L69" s="58">
        <f>IF(($E63&gt;0),L63,L62)</f>
        <v>100</v>
      </c>
      <c r="M69" s="58">
        <f>IF((B69=G69),1,2)</f>
        <v>1</v>
      </c>
    </row>
    <row r="70" spans="2:13" ht="15" hidden="1" customHeight="1">
      <c r="B70" s="49" t="str">
        <f>IF(($E64&gt;0),B64,B63)</f>
        <v>per 100 youth found delinquent</v>
      </c>
      <c r="C70" s="49">
        <f>IF(($E64&gt;0),C64,C63)</f>
        <v>1.59</v>
      </c>
      <c r="D70" s="49">
        <f>IF(($E64&gt;0),D64,D63)</f>
        <v>0</v>
      </c>
      <c r="E70" s="56">
        <f>MAX(C70:D70)</f>
        <v>1.59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U47JMPN4QEAR-1806752177-30469</_dlc_DocId>
    <_dlc_DocIdUrl xmlns="ac3811b5-0f3e-49e2-ba69-f2ffa0c782af">
      <Url>https://michiganphi.sharepoint.com/sites/CMDMC/_layouts/15/DocIdRedir.aspx?ID=U47JMPN4QEAR-1806752177-30469</Url>
      <Description>U47JMPN4QEAR-1806752177-30469</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11A3FA2-5B9A-42B8-8782-E754A938718A}"/>
</file>

<file path=customXml/itemProps2.xml><?xml version="1.0" encoding="utf-8"?>
<ds:datastoreItem xmlns:ds="http://schemas.openxmlformats.org/officeDocument/2006/customXml" ds:itemID="{B2260FD7-1E17-4127-9F40-0D8D895C3EE8}">
  <ds:schemaRefs>
    <ds:schemaRef ds:uri="http://schemas.microsoft.com/sharepoint/v3/contenttype/forms"/>
  </ds:schemaRefs>
</ds:datastoreItem>
</file>

<file path=customXml/itemProps3.xml><?xml version="1.0" encoding="utf-8"?>
<ds:datastoreItem xmlns:ds="http://schemas.openxmlformats.org/officeDocument/2006/customXml" ds:itemID="{CE23C715-E0B3-4CD5-A7CC-7B9F195648B0}">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F1F69B1C-397F-4500-BEE8-769F2CCED8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2023-09-01T18:37:32Z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e465bf5f-6ed9-4a58-8bad-592913d0b92d</vt:lpwstr>
  </property>
</Properties>
</file>