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10188C32-E8B2-4EE8-BD0A-E82481ADFD61}"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15" i="1"/>
  <c r="B8" i="1" l="1"/>
  <c r="B9" i="1"/>
  <c r="B10" i="1"/>
  <c r="B11" i="1"/>
  <c r="B12" i="1"/>
  <c r="B13" i="1"/>
  <c r="B14"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c r="G58" i="2" s="1"/>
  <c r="G64" i="2" s="1"/>
  <c r="G70" i="2" s="1"/>
  <c r="L48" i="2"/>
  <c r="L54" i="2" s="1"/>
  <c r="L60" i="2" s="1"/>
  <c r="L66" i="2" s="1"/>
  <c r="G49" i="2"/>
  <c r="G55" i="2"/>
  <c r="G61" i="2"/>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51" i="3" s="1"/>
  <c r="G57" i="3" s="1"/>
  <c r="G63" i="3" s="1"/>
  <c r="G69" i="3" s="1"/>
  <c r="G46" i="3"/>
  <c r="G48" i="3"/>
  <c r="G54" i="3" s="1"/>
  <c r="G60" i="3" s="1"/>
  <c r="G66" i="3" s="1"/>
  <c r="L48" i="3"/>
  <c r="G52" i="3"/>
  <c r="G58" i="3" s="1"/>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c r="G55" i="4" s="1"/>
  <c r="G61" i="4" s="1"/>
  <c r="G67" i="4" s="1"/>
  <c r="G44" i="4"/>
  <c r="G45" i="4"/>
  <c r="G51" i="4"/>
  <c r="G46" i="4"/>
  <c r="L48" i="4"/>
  <c r="L54" i="4" s="1"/>
  <c r="L60" i="4" s="1"/>
  <c r="L66" i="4" s="1"/>
  <c r="G50" i="4"/>
  <c r="G56" i="4" s="1"/>
  <c r="G62" i="4" s="1"/>
  <c r="G68" i="4" s="1"/>
  <c r="G52" i="4"/>
  <c r="G58" i="4"/>
  <c r="G64" i="4" s="1"/>
  <c r="G70" i="4" s="1"/>
  <c r="G57" i="4"/>
  <c r="G63" i="4" s="1"/>
  <c r="G69"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s="1"/>
  <c r="G56" i="5" s="1"/>
  <c r="G62" i="5" s="1"/>
  <c r="G68" i="5" s="1"/>
  <c r="G45" i="5"/>
  <c r="G51" i="5" s="1"/>
  <c r="G57" i="5" s="1"/>
  <c r="G63" i="5" s="1"/>
  <c r="G69" i="5" s="1"/>
  <c r="G46" i="5"/>
  <c r="G52" i="5" s="1"/>
  <c r="G58" i="5" s="1"/>
  <c r="G64" i="5" s="1"/>
  <c r="G70" i="5" s="1"/>
  <c r="G48" i="5"/>
  <c r="G54" i="5" s="1"/>
  <c r="G60" i="5" s="1"/>
  <c r="G66" i="5" s="1"/>
  <c r="L48" i="5"/>
  <c r="L54" i="5"/>
  <c r="L60" i="5" s="1"/>
  <c r="L66" i="5" s="1"/>
  <c r="F1" i="6"/>
  <c r="B2" i="6"/>
  <c r="B3" i="6"/>
  <c r="B6" i="6"/>
  <c r="B7" i="6"/>
  <c r="B8" i="6"/>
  <c r="B9" i="6"/>
  <c r="B10" i="6"/>
  <c r="B11" i="6"/>
  <c r="B12" i="6"/>
  <c r="B13" i="6"/>
  <c r="B14" i="6"/>
  <c r="B15" i="6"/>
  <c r="B48" i="6"/>
  <c r="B54" i="6" s="1"/>
  <c r="B60" i="6" s="1"/>
  <c r="B66" i="6" s="1"/>
  <c r="J27" i="6"/>
  <c r="G42" i="6"/>
  <c r="G48" i="6"/>
  <c r="G54" i="6" s="1"/>
  <c r="G60" i="6" s="1"/>
  <c r="G66" i="6" s="1"/>
  <c r="G43" i="6"/>
  <c r="G49" i="6" s="1"/>
  <c r="G55" i="6" s="1"/>
  <c r="G61" i="6" s="1"/>
  <c r="G67" i="6" s="1"/>
  <c r="G44" i="6"/>
  <c r="G45" i="6"/>
  <c r="G51" i="6" s="1"/>
  <c r="G57" i="6" s="1"/>
  <c r="G63" i="6" s="1"/>
  <c r="G69" i="6" s="1"/>
  <c r="G46" i="6"/>
  <c r="G52" i="6" s="1"/>
  <c r="G58" i="6" s="1"/>
  <c r="G64" i="6" s="1"/>
  <c r="G70" i="6" s="1"/>
  <c r="L48" i="6"/>
  <c r="L54" i="6"/>
  <c r="L60" i="6" s="1"/>
  <c r="L66" i="6" s="1"/>
  <c r="G50" i="6"/>
  <c r="G56" i="6"/>
  <c r="G62" i="6" s="1"/>
  <c r="G68" i="6" s="1"/>
  <c r="F1" i="7"/>
  <c r="B2" i="7"/>
  <c r="B3" i="7"/>
  <c r="B6" i="7"/>
  <c r="B7" i="7"/>
  <c r="B8" i="7"/>
  <c r="B9" i="7"/>
  <c r="B10" i="7"/>
  <c r="B11" i="7"/>
  <c r="B12" i="7"/>
  <c r="B13" i="7"/>
  <c r="B14" i="7"/>
  <c r="B15" i="7"/>
  <c r="B48" i="7"/>
  <c r="B54" i="7"/>
  <c r="B60" i="7" s="1"/>
  <c r="B66" i="7" s="1"/>
  <c r="J27" i="7"/>
  <c r="G42" i="7"/>
  <c r="G48" i="7" s="1"/>
  <c r="G54" i="7" s="1"/>
  <c r="G60" i="7" s="1"/>
  <c r="G66" i="7" s="1"/>
  <c r="G43" i="7"/>
  <c r="G49" i="7"/>
  <c r="G44" i="7"/>
  <c r="G45" i="7"/>
  <c r="G51" i="7" s="1"/>
  <c r="G57" i="7" s="1"/>
  <c r="G63" i="7" s="1"/>
  <c r="G69" i="7" s="1"/>
  <c r="G46" i="7"/>
  <c r="L48" i="7"/>
  <c r="L54" i="7" s="1"/>
  <c r="L60" i="7" s="1"/>
  <c r="L66" i="7" s="1"/>
  <c r="G50" i="7"/>
  <c r="G56" i="7"/>
  <c r="G62" i="7" s="1"/>
  <c r="G68" i="7" s="1"/>
  <c r="G52" i="7"/>
  <c r="G58" i="7"/>
  <c r="G64" i="7" s="1"/>
  <c r="G70" i="7" s="1"/>
  <c r="G55" i="7"/>
  <c r="G61" i="7" s="1"/>
  <c r="G67"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51" i="8" s="1"/>
  <c r="G57" i="8" s="1"/>
  <c r="G63" i="8" s="1"/>
  <c r="G69" i="8" s="1"/>
  <c r="G46" i="8"/>
  <c r="G52" i="8"/>
  <c r="G48" i="8"/>
  <c r="G54" i="8"/>
  <c r="G60" i="8" s="1"/>
  <c r="G66" i="8" s="1"/>
  <c r="L48" i="8"/>
  <c r="G50" i="8"/>
  <c r="G56" i="8" s="1"/>
  <c r="G62" i="8" s="1"/>
  <c r="G68" i="8" s="1"/>
  <c r="L54" i="8"/>
  <c r="L60" i="8"/>
  <c r="L66"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M66" i="6"/>
  <c r="F27" i="6"/>
  <c r="M66" i="5"/>
  <c r="F27" i="5"/>
  <c r="M66" i="8"/>
  <c r="F27" i="8"/>
  <c r="F27" i="3"/>
  <c r="M66" i="3"/>
  <c r="F27" i="2"/>
  <c r="M66" i="2"/>
  <c r="M66" i="7"/>
  <c r="F27" i="7"/>
  <c r="H5" i="16"/>
  <c r="H5" i="13"/>
  <c r="F5" i="16"/>
  <c r="F5" i="13"/>
  <c r="F6" i="9"/>
  <c r="D5" i="16"/>
  <c r="D5" i="13"/>
  <c r="D10" i="13"/>
  <c r="C8" i="13"/>
  <c r="C10"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2" i="3"/>
  <c r="N12" i="3" s="1"/>
  <c r="H13" i="13"/>
  <c r="E11" i="3"/>
  <c r="D45" i="3" s="1"/>
  <c r="H12" i="13"/>
  <c r="E7" i="4"/>
  <c r="D43" i="4" s="1"/>
  <c r="F8" i="13"/>
  <c r="E12" i="6"/>
  <c r="D46" i="6" s="1"/>
  <c r="L13" i="13"/>
  <c r="E13" i="7"/>
  <c r="N13" i="7" s="1"/>
  <c r="N14"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9" i="7"/>
  <c r="N9" i="7" s="1"/>
  <c r="N10"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N12" i="5"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9" i="10"/>
  <c r="F7" i="10"/>
  <c r="J11" i="1"/>
  <c r="J12" i="16" s="1"/>
  <c r="E11" i="2"/>
  <c r="D44" i="2"/>
  <c r="N8" i="2"/>
  <c r="I4" i="10"/>
  <c r="I10" i="10"/>
  <c r="I7"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7" i="1"/>
  <c r="J8" i="16" s="1"/>
  <c r="C42" i="4"/>
  <c r="Q7" i="4"/>
  <c r="D7" i="10"/>
  <c r="D5" i="10"/>
  <c r="D4" i="10"/>
  <c r="D9" i="10"/>
  <c r="D8" i="10"/>
  <c r="D11" i="10"/>
  <c r="D6"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6" i="7" l="1"/>
  <c r="E43" i="7"/>
  <c r="L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R7" i="4"/>
  <c r="S7" i="4" s="1"/>
  <c r="E11" i="8"/>
  <c r="D45" i="8" s="1"/>
  <c r="P12" i="13"/>
  <c r="R7" i="7"/>
  <c r="S7" i="7" s="1"/>
  <c r="E14" i="8"/>
  <c r="N14" i="8" s="1"/>
  <c r="P15" i="13"/>
  <c r="D16" i="9"/>
  <c r="E28" i="10" s="1"/>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H24" i="10"/>
  <c r="I24" i="10"/>
  <c r="C24" i="10"/>
  <c r="G24" i="10"/>
  <c r="G25" i="10"/>
  <c r="K7" i="7"/>
  <c r="E42" i="3"/>
  <c r="C48" i="3"/>
  <c r="I20" i="10"/>
  <c r="B52" i="6"/>
  <c r="D52" i="6"/>
  <c r="L52" i="6"/>
  <c r="F24" i="10"/>
  <c r="F22" i="10"/>
  <c r="C45" i="5"/>
  <c r="E45" i="5" s="1"/>
  <c r="P11" i="5"/>
  <c r="C48" i="2"/>
  <c r="E42" i="2"/>
  <c r="C49" i="4"/>
  <c r="L49" i="4"/>
  <c r="B49" i="4"/>
  <c r="D49" i="4"/>
  <c r="K11" i="10"/>
  <c r="J26"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49" i="7"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E58" i="5" s="1"/>
  <c r="C60" i="4"/>
  <c r="E54" i="4"/>
  <c r="C60" i="5"/>
  <c r="E54" i="5"/>
  <c r="E54" i="7"/>
  <c r="C60" i="7"/>
  <c r="B58" i="6"/>
  <c r="D58" i="6"/>
  <c r="C58" i="6"/>
  <c r="L58" i="6"/>
  <c r="E51" i="5"/>
  <c r="E60" i="8"/>
  <c r="C66" i="8"/>
  <c r="C60" i="3"/>
  <c r="E54" i="3"/>
  <c r="E51" i="2"/>
  <c r="E52" i="2"/>
  <c r="L58" i="8" l="1"/>
  <c r="B58" i="8"/>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8" i="7"/>
  <c r="E58" i="8" l="1"/>
  <c r="L64" i="3"/>
  <c r="L56" i="8"/>
  <c r="C57" i="8"/>
  <c r="C64" i="8" s="1"/>
  <c r="B56" i="8"/>
  <c r="B57" i="8"/>
  <c r="B64" i="8" s="1"/>
  <c r="B55" i="8"/>
  <c r="D56" i="8"/>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E56" i="8"/>
  <c r="D64" i="7"/>
  <c r="C64" i="7"/>
  <c r="B64" i="7"/>
  <c r="L64" i="7"/>
  <c r="L62" i="6"/>
  <c r="C62" i="6"/>
  <c r="B62" i="6"/>
  <c r="D62" i="6"/>
  <c r="D7" i="6"/>
  <c r="E66" i="6"/>
  <c r="D7" i="3"/>
  <c r="G7" i="3" s="1"/>
  <c r="I8" i="16" s="1"/>
  <c r="E66" i="3"/>
  <c r="E61" i="4"/>
  <c r="E66" i="5"/>
  <c r="D7" i="5"/>
  <c r="E57" i="8" l="1"/>
  <c r="B63" i="8" s="1"/>
  <c r="Q8" i="13"/>
  <c r="I7" i="9"/>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E64" i="8"/>
  <c r="L70" i="8"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70" i="6" l="1"/>
  <c r="F14" i="6" s="1"/>
  <c r="E63" i="3"/>
  <c r="C69" i="3" s="1"/>
  <c r="D12" i="3" s="1"/>
  <c r="B70" i="3"/>
  <c r="M70" i="3" s="1"/>
  <c r="L69" i="7"/>
  <c r="C70" i="6"/>
  <c r="C70" i="3"/>
  <c r="D14" i="3" s="1"/>
  <c r="C69" i="7"/>
  <c r="D12" i="7" s="1"/>
  <c r="L70" i="3"/>
  <c r="L70" i="6"/>
  <c r="O13" i="6" s="1"/>
  <c r="D70" i="3"/>
  <c r="F13" i="3" s="1"/>
  <c r="D69" i="7"/>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F13" i="6"/>
  <c r="D8" i="3"/>
  <c r="E63" i="8"/>
  <c r="D69" i="8" s="1"/>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Q9" i="3"/>
  <c r="O10" i="3"/>
  <c r="E68" i="3"/>
  <c r="O9" i="3"/>
  <c r="F31" i="3"/>
  <c r="F29" i="3"/>
  <c r="D14" i="4"/>
  <c r="L70" i="7"/>
  <c r="O14" i="7" s="1"/>
  <c r="M69" i="7"/>
  <c r="C70" i="8"/>
  <c r="Q13" i="8" s="1"/>
  <c r="B70" i="8"/>
  <c r="M70" i="8" s="1"/>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4" i="3" l="1"/>
  <c r="E69" i="7"/>
  <c r="F12" i="7"/>
  <c r="B69" i="3"/>
  <c r="M69" i="3" s="1"/>
  <c r="B69" i="6"/>
  <c r="M69" i="6" s="1"/>
  <c r="Q14" i="6"/>
  <c r="E70" i="6"/>
  <c r="O14" i="6"/>
  <c r="D13" i="6"/>
  <c r="D14" i="6"/>
  <c r="Q13" i="6"/>
  <c r="R13" i="6" s="1"/>
  <c r="S13" i="6" s="1"/>
  <c r="O12" i="7"/>
  <c r="F34" i="3"/>
  <c r="F33" i="3"/>
  <c r="Q12" i="7"/>
  <c r="O13" i="3"/>
  <c r="F14" i="3"/>
  <c r="Q13" i="3"/>
  <c r="E70" i="3"/>
  <c r="D13" i="3"/>
  <c r="C69" i="6"/>
  <c r="D12" i="6" s="1"/>
  <c r="O14" i="3"/>
  <c r="R14" i="3" s="1"/>
  <c r="S14" i="3" s="1"/>
  <c r="D69" i="6"/>
  <c r="F12" i="6" s="1"/>
  <c r="T10" i="3"/>
  <c r="K10" i="4"/>
  <c r="F8" i="7"/>
  <c r="T9" i="4"/>
  <c r="T11" i="4"/>
  <c r="U11" i="4" s="1"/>
  <c r="J11" i="4" s="1"/>
  <c r="K11" i="4"/>
  <c r="R10" i="4"/>
  <c r="S10" i="4" s="1"/>
  <c r="T8" i="3"/>
  <c r="U8" i="3" s="1"/>
  <c r="J8" i="3" s="1"/>
  <c r="F12" i="3"/>
  <c r="T13" i="4"/>
  <c r="T8" i="5"/>
  <c r="U8" i="5" s="1"/>
  <c r="J8" i="5" s="1"/>
  <c r="K8" i="5"/>
  <c r="E67" i="7"/>
  <c r="L69" i="8"/>
  <c r="M67" i="7"/>
  <c r="D8" i="7"/>
  <c r="T10" i="4"/>
  <c r="K8" i="3"/>
  <c r="Q8" i="7"/>
  <c r="R8" i="7" s="1"/>
  <c r="S8" i="7" s="1"/>
  <c r="M69" i="2"/>
  <c r="K14" i="4"/>
  <c r="K13" i="4"/>
  <c r="Q8" i="6"/>
  <c r="O8" i="6"/>
  <c r="B69" i="8"/>
  <c r="M69" i="8" s="1"/>
  <c r="E67" i="6"/>
  <c r="C69" i="8"/>
  <c r="R13" i="4"/>
  <c r="S13" i="4" s="1"/>
  <c r="K9" i="4"/>
  <c r="R9" i="4"/>
  <c r="S9" i="4" s="1"/>
  <c r="U9" i="4" s="1"/>
  <c r="J9" i="4" s="1"/>
  <c r="M9" i="4" s="1"/>
  <c r="F32" i="2"/>
  <c r="O13" i="8"/>
  <c r="R13" i="8" s="1"/>
  <c r="S13" i="8" s="1"/>
  <c r="R10" i="3"/>
  <c r="S10" i="3" s="1"/>
  <c r="F8" i="2"/>
  <c r="O14" i="8"/>
  <c r="F14" i="8"/>
  <c r="T14" i="4"/>
  <c r="B70" i="2"/>
  <c r="F33" i="2" s="1"/>
  <c r="D69" i="5"/>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O12" i="3"/>
  <c r="R12" i="3" s="1"/>
  <c r="S12" i="3" s="1"/>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2" i="2"/>
  <c r="F31" i="6"/>
  <c r="F30" i="6"/>
  <c r="M68" i="6"/>
  <c r="F29" i="6"/>
  <c r="M67" i="8"/>
  <c r="F28" i="8"/>
  <c r="F12" i="8"/>
  <c r="K8" i="4"/>
  <c r="T8" i="4"/>
  <c r="R8" i="4"/>
  <c r="S8" i="4" s="1"/>
  <c r="E69" i="4"/>
  <c r="D12" i="4"/>
  <c r="Q12" i="4"/>
  <c r="Q11" i="2"/>
  <c r="Q10" i="2"/>
  <c r="Q9" i="2"/>
  <c r="E68" i="2"/>
  <c r="D11" i="2"/>
  <c r="D10" i="2"/>
  <c r="D9" i="2"/>
  <c r="R11" i="5"/>
  <c r="S11" i="5" s="1"/>
  <c r="U11" i="5" s="1"/>
  <c r="J11" i="5" s="1"/>
  <c r="T11" i="5"/>
  <c r="K11" i="5"/>
  <c r="D12" i="2"/>
  <c r="E69" i="2"/>
  <c r="Q12" i="2"/>
  <c r="E67" i="8"/>
  <c r="Q8" i="8"/>
  <c r="D8" i="8"/>
  <c r="C68" i="8"/>
  <c r="D68" i="8"/>
  <c r="L68" i="8"/>
  <c r="B68" i="8"/>
  <c r="U10" i="3" l="1"/>
  <c r="J10" i="3" s="1"/>
  <c r="M10" i="3" s="1"/>
  <c r="K13" i="6"/>
  <c r="T13" i="6"/>
  <c r="U14" i="4"/>
  <c r="J14" i="4" s="1"/>
  <c r="M14" i="4" s="1"/>
  <c r="G14" i="4" s="1"/>
  <c r="G15" i="16" s="1"/>
  <c r="F35" i="3"/>
  <c r="F35" i="6"/>
  <c r="F32" i="3"/>
  <c r="G9" i="4"/>
  <c r="G10" i="16" s="1"/>
  <c r="U13" i="4"/>
  <c r="J13" i="4" s="1"/>
  <c r="L13" i="4" s="1"/>
  <c r="O14" i="16" s="1"/>
  <c r="U13" i="6"/>
  <c r="J13" i="6" s="1"/>
  <c r="M13" i="6" s="1"/>
  <c r="G13" i="6" s="1"/>
  <c r="M14" i="13" s="1"/>
  <c r="F32" i="6"/>
  <c r="R14" i="6"/>
  <c r="S14" i="6" s="1"/>
  <c r="G11" i="3"/>
  <c r="I12" i="16" s="1"/>
  <c r="T12" i="7"/>
  <c r="U10" i="4"/>
  <c r="J10" i="4" s="1"/>
  <c r="M10" i="4" s="1"/>
  <c r="G10" i="4" s="1"/>
  <c r="G11" i="16" s="1"/>
  <c r="G10" i="3"/>
  <c r="I11" i="16" s="1"/>
  <c r="T14" i="6"/>
  <c r="R12" i="7"/>
  <c r="S12" i="7" s="1"/>
  <c r="K12" i="7"/>
  <c r="O12" i="6"/>
  <c r="K14" i="6"/>
  <c r="T13" i="8"/>
  <c r="U13" i="8" s="1"/>
  <c r="J13" i="8" s="1"/>
  <c r="M13" i="8" s="1"/>
  <c r="E69" i="6"/>
  <c r="R14" i="8"/>
  <c r="S14" i="8" s="1"/>
  <c r="K13" i="3"/>
  <c r="T14" i="3"/>
  <c r="U14" i="3" s="1"/>
  <c r="J14" i="3" s="1"/>
  <c r="T13" i="3"/>
  <c r="K14" i="3"/>
  <c r="R13" i="3"/>
  <c r="S13" i="3" s="1"/>
  <c r="Q12" i="6"/>
  <c r="L11" i="4"/>
  <c r="O12" i="16" s="1"/>
  <c r="K8" i="7"/>
  <c r="O13" i="2"/>
  <c r="O12" i="8"/>
  <c r="F35" i="8"/>
  <c r="T8" i="7"/>
  <c r="U8" i="7" s="1"/>
  <c r="J8" i="7" s="1"/>
  <c r="M8" i="7" s="1"/>
  <c r="T13" i="7"/>
  <c r="Q12" i="8"/>
  <c r="F32" i="8"/>
  <c r="Q10" i="7"/>
  <c r="F13" i="2"/>
  <c r="Q11" i="7"/>
  <c r="R8" i="6"/>
  <c r="S8" i="6" s="1"/>
  <c r="F14" i="2"/>
  <c r="E69" i="8"/>
  <c r="F10" i="7"/>
  <c r="L10" i="3"/>
  <c r="P11" i="16" s="1"/>
  <c r="F30" i="7"/>
  <c r="D12" i="8"/>
  <c r="M68" i="7"/>
  <c r="F29" i="7"/>
  <c r="K14" i="8"/>
  <c r="T8" i="6"/>
  <c r="K8" i="6"/>
  <c r="O12" i="5"/>
  <c r="R12" i="5" s="1"/>
  <c r="S12" i="5" s="1"/>
  <c r="U12" i="5" s="1"/>
  <c r="J12" i="5" s="1"/>
  <c r="F35" i="5"/>
  <c r="F12" i="5"/>
  <c r="M69" i="5"/>
  <c r="K13" i="8"/>
  <c r="K8" i="2"/>
  <c r="M70" i="2"/>
  <c r="F9" i="7"/>
  <c r="O11" i="7"/>
  <c r="F34" i="2"/>
  <c r="O10" i="7"/>
  <c r="F11" i="7"/>
  <c r="O9" i="7"/>
  <c r="R9" i="7" s="1"/>
  <c r="S9" i="7" s="1"/>
  <c r="L11" i="3"/>
  <c r="P12" i="16" s="1"/>
  <c r="E69" i="5"/>
  <c r="K12" i="3"/>
  <c r="T12" i="3"/>
  <c r="U12" i="3" s="1"/>
  <c r="J12" i="3" s="1"/>
  <c r="D12" i="5"/>
  <c r="T14" i="8"/>
  <c r="D13" i="2"/>
  <c r="E70" i="2"/>
  <c r="Q14" i="2"/>
  <c r="K14" i="2" s="1"/>
  <c r="L9" i="4"/>
  <c r="O10" i="16" s="1"/>
  <c r="R13" i="7"/>
  <c r="S13" i="7" s="1"/>
  <c r="Q13" i="2"/>
  <c r="U9" i="3"/>
  <c r="J9" i="3" s="1"/>
  <c r="L9" i="3" s="1"/>
  <c r="N30" i="5"/>
  <c r="L14" i="5"/>
  <c r="Q15" i="16" s="1"/>
  <c r="L13" i="5"/>
  <c r="Q14" i="16" s="1"/>
  <c r="K13" i="7"/>
  <c r="T8" i="2"/>
  <c r="U8" i="2" s="1"/>
  <c r="J8" i="2" s="1"/>
  <c r="M11" i="4"/>
  <c r="G11" i="4" s="1"/>
  <c r="T14" i="7"/>
  <c r="U14" i="7" s="1"/>
  <c r="J14" i="7" s="1"/>
  <c r="K14" i="7"/>
  <c r="D9" i="9"/>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M8" i="5"/>
  <c r="L8" i="5"/>
  <c r="Q9" i="16" s="1"/>
  <c r="M8" i="3"/>
  <c r="G8" i="3" s="1"/>
  <c r="I9" i="16" s="1"/>
  <c r="L8" i="3"/>
  <c r="P9" i="16" s="1"/>
  <c r="T9" i="6"/>
  <c r="K9" i="6"/>
  <c r="R9" i="6"/>
  <c r="S9" i="6" s="1"/>
  <c r="D9" i="8"/>
  <c r="Q11" i="8"/>
  <c r="Q9" i="8"/>
  <c r="D11" i="8"/>
  <c r="Q10" i="8"/>
  <c r="E68" i="8"/>
  <c r="D10" i="8"/>
  <c r="R12" i="2"/>
  <c r="S12" i="2" s="1"/>
  <c r="T12" i="2"/>
  <c r="K12" i="2"/>
  <c r="L9" i="5"/>
  <c r="Q10" i="16" s="1"/>
  <c r="M9" i="5"/>
  <c r="R9" i="2"/>
  <c r="S9" i="2" s="1"/>
  <c r="K9" i="2"/>
  <c r="T9" i="2"/>
  <c r="T12" i="4"/>
  <c r="R12" i="4"/>
  <c r="S12" i="4" s="1"/>
  <c r="K12" i="4"/>
  <c r="U12" i="7" l="1"/>
  <c r="J12" i="7" s="1"/>
  <c r="M12" i="7" s="1"/>
  <c r="L14" i="4"/>
  <c r="O15" i="16" s="1"/>
  <c r="N30" i="4"/>
  <c r="E10" i="9"/>
  <c r="L13" i="6"/>
  <c r="R14" i="16" s="1"/>
  <c r="G13" i="9"/>
  <c r="U14" i="6"/>
  <c r="J14" i="6" s="1"/>
  <c r="M14" i="6" s="1"/>
  <c r="G14" i="6" s="1"/>
  <c r="M15" i="13" s="1"/>
  <c r="M13" i="4"/>
  <c r="G13" i="4" s="1"/>
  <c r="G14" i="16" s="1"/>
  <c r="E11" i="9"/>
  <c r="I12" i="13"/>
  <c r="G10" i="13"/>
  <c r="U13" i="7"/>
  <c r="J13" i="7" s="1"/>
  <c r="M13" i="7" s="1"/>
  <c r="M14" i="3"/>
  <c r="G14" i="3" s="1"/>
  <c r="N30" i="3"/>
  <c r="L14" i="3"/>
  <c r="P15" i="16" s="1"/>
  <c r="U13" i="3"/>
  <c r="J13" i="3" s="1"/>
  <c r="L13" i="3" s="1"/>
  <c r="P14" i="16" s="1"/>
  <c r="G13" i="8"/>
  <c r="I13" i="9" s="1"/>
  <c r="L13" i="8"/>
  <c r="T14" i="16" s="1"/>
  <c r="R12" i="6"/>
  <c r="S12" i="6" s="1"/>
  <c r="T12" i="6"/>
  <c r="K12" i="6"/>
  <c r="D10" i="9"/>
  <c r="G11" i="13"/>
  <c r="L10" i="4"/>
  <c r="O11" i="16" s="1"/>
  <c r="I11" i="13"/>
  <c r="U14" i="8"/>
  <c r="J14" i="8" s="1"/>
  <c r="N30" i="8" s="1"/>
  <c r="M13" i="9"/>
  <c r="U14" i="13"/>
  <c r="U12" i="13"/>
  <c r="M11" i="9"/>
  <c r="R12" i="8"/>
  <c r="S12" i="8" s="1"/>
  <c r="T13" i="2"/>
  <c r="U8" i="6"/>
  <c r="J8" i="6" s="1"/>
  <c r="M8" i="6" s="1"/>
  <c r="G8" i="6" s="1"/>
  <c r="M9" i="13" s="1"/>
  <c r="R13" i="2"/>
  <c r="S13" i="2" s="1"/>
  <c r="V11" i="13"/>
  <c r="T12" i="8"/>
  <c r="K12" i="8"/>
  <c r="R10" i="7"/>
  <c r="S10" i="7" s="1"/>
  <c r="T11" i="7"/>
  <c r="T10" i="7"/>
  <c r="L8" i="2"/>
  <c r="N9" i="16" s="1"/>
  <c r="K13" i="2"/>
  <c r="K11" i="7"/>
  <c r="T9" i="7"/>
  <c r="U9" i="7" s="1"/>
  <c r="J9" i="7" s="1"/>
  <c r="M9" i="7" s="1"/>
  <c r="N10" i="9"/>
  <c r="R11" i="7"/>
  <c r="S11" i="7" s="1"/>
  <c r="K12" i="5"/>
  <c r="L12" i="5" s="1"/>
  <c r="Q13" i="16" s="1"/>
  <c r="T12" i="5"/>
  <c r="K10" i="7"/>
  <c r="R14" i="2"/>
  <c r="S14" i="2" s="1"/>
  <c r="K9" i="7"/>
  <c r="T14" i="2"/>
  <c r="V12" i="13"/>
  <c r="U10" i="13"/>
  <c r="N11" i="9"/>
  <c r="W14" i="13"/>
  <c r="M9" i="3"/>
  <c r="G9" i="3" s="1"/>
  <c r="I10" i="13" s="1"/>
  <c r="G12" i="13"/>
  <c r="G12" i="16"/>
  <c r="N9" i="9"/>
  <c r="P10" i="16"/>
  <c r="M14" i="7"/>
  <c r="N30" i="7"/>
  <c r="L14" i="7"/>
  <c r="S15" i="16" s="1"/>
  <c r="L8" i="7"/>
  <c r="S9" i="16" s="1"/>
  <c r="O13" i="9"/>
  <c r="M9" i="9"/>
  <c r="O14" i="9"/>
  <c r="V10" i="13"/>
  <c r="W15" i="13"/>
  <c r="U12" i="2"/>
  <c r="J12" i="2" s="1"/>
  <c r="L12" i="2" s="1"/>
  <c r="N13" i="16" s="1"/>
  <c r="D11" i="9"/>
  <c r="M8" i="2"/>
  <c r="G8" i="2" s="1"/>
  <c r="E9"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0" i="6"/>
  <c r="J10" i="6" s="1"/>
  <c r="K11" i="8"/>
  <c r="T11" i="8"/>
  <c r="R11" i="8"/>
  <c r="S11" i="8" s="1"/>
  <c r="L12" i="3"/>
  <c r="P13" i="16" s="1"/>
  <c r="M12" i="3"/>
  <c r="G12" i="3" s="1"/>
  <c r="I13" i="16" s="1"/>
  <c r="K9" i="8"/>
  <c r="T9" i="8"/>
  <c r="L12" i="7" l="1"/>
  <c r="S13" i="16" s="1"/>
  <c r="G14" i="9"/>
  <c r="N30" i="6"/>
  <c r="L14" i="6"/>
  <c r="R15" i="16" s="1"/>
  <c r="V14" i="13"/>
  <c r="N13" i="9"/>
  <c r="M10" i="9"/>
  <c r="X14" i="13"/>
  <c r="P13" i="9"/>
  <c r="G14" i="13"/>
  <c r="M13" i="3"/>
  <c r="G13" i="3" s="1"/>
  <c r="E13" i="9" s="1"/>
  <c r="D13" i="9"/>
  <c r="Y13" i="13"/>
  <c r="L13" i="7"/>
  <c r="S14" i="16" s="1"/>
  <c r="Q12" i="9"/>
  <c r="U14" i="2"/>
  <c r="J14" i="2" s="1"/>
  <c r="M14" i="2" s="1"/>
  <c r="G14" i="2" s="1"/>
  <c r="E15" i="16" s="1"/>
  <c r="U12" i="6"/>
  <c r="J12" i="6" s="1"/>
  <c r="M12" i="6" s="1"/>
  <c r="G12" i="6" s="1"/>
  <c r="G12" i="9" s="1"/>
  <c r="R13" i="9"/>
  <c r="Z14" i="13"/>
  <c r="U11" i="7"/>
  <c r="J11" i="7" s="1"/>
  <c r="M11" i="7" s="1"/>
  <c r="N14" i="9"/>
  <c r="V15" i="13"/>
  <c r="I15" i="16"/>
  <c r="I15" i="13"/>
  <c r="E14" i="9"/>
  <c r="K14" i="16"/>
  <c r="Q14" i="13"/>
  <c r="U13" i="2"/>
  <c r="J13" i="2" s="1"/>
  <c r="M13" i="2" s="1"/>
  <c r="G13" i="2" s="1"/>
  <c r="E14" i="16" s="1"/>
  <c r="U12" i="8"/>
  <c r="J12" i="8" s="1"/>
  <c r="M12" i="8" s="1"/>
  <c r="G12" i="8" s="1"/>
  <c r="K13" i="16" s="1"/>
  <c r="U10" i="7"/>
  <c r="J10" i="7" s="1"/>
  <c r="L10" i="7" s="1"/>
  <c r="S11" i="16" s="1"/>
  <c r="U11" i="13"/>
  <c r="M14" i="8"/>
  <c r="G14" i="8" s="1"/>
  <c r="K15" i="16" s="1"/>
  <c r="L14" i="8"/>
  <c r="T15" i="16" s="1"/>
  <c r="L8" i="6"/>
  <c r="R9" i="16" s="1"/>
  <c r="T9" i="13"/>
  <c r="L8" i="9"/>
  <c r="G8" i="9"/>
  <c r="Q14" i="9"/>
  <c r="Y15" i="13"/>
  <c r="E9" i="13"/>
  <c r="L10" i="2"/>
  <c r="N11" i="16" s="1"/>
  <c r="L11" i="6"/>
  <c r="R12" i="16" s="1"/>
  <c r="I10" i="16"/>
  <c r="C8" i="9"/>
  <c r="E9" i="9"/>
  <c r="G11" i="9"/>
  <c r="M12" i="13"/>
  <c r="Y9" i="13"/>
  <c r="M12" i="2"/>
  <c r="G12" i="2" s="1"/>
  <c r="C12" i="9" s="1"/>
  <c r="Q8" i="9"/>
  <c r="L11" i="2"/>
  <c r="N12" i="16" s="1"/>
  <c r="M12" i="4"/>
  <c r="G12" i="4" s="1"/>
  <c r="M9" i="2"/>
  <c r="G9" i="2" s="1"/>
  <c r="L9" i="7"/>
  <c r="S10" i="16" s="1"/>
  <c r="L9" i="9"/>
  <c r="T10" i="13"/>
  <c r="C11" i="9"/>
  <c r="E12" i="13"/>
  <c r="M8" i="9"/>
  <c r="U9" i="13"/>
  <c r="O12" i="9"/>
  <c r="W13" i="13"/>
  <c r="M12" i="9"/>
  <c r="U13" i="13"/>
  <c r="E12" i="9"/>
  <c r="I13" i="13"/>
  <c r="D8" i="9"/>
  <c r="G9" i="13"/>
  <c r="U9" i="8"/>
  <c r="J9" i="8" s="1"/>
  <c r="M9" i="8" s="1"/>
  <c r="G9" i="8" s="1"/>
  <c r="K10" i="16" s="1"/>
  <c r="C10" i="9"/>
  <c r="E11" i="13"/>
  <c r="N12" i="9"/>
  <c r="V13" i="13"/>
  <c r="L12" i="9"/>
  <c r="T13" i="13"/>
  <c r="M8" i="8"/>
  <c r="G8" i="8" s="1"/>
  <c r="K9" i="16" s="1"/>
  <c r="L8" i="8"/>
  <c r="T9" i="16" s="1"/>
  <c r="U11" i="8"/>
  <c r="J11" i="8" s="1"/>
  <c r="U10" i="8"/>
  <c r="J10" i="8" s="1"/>
  <c r="L9" i="6"/>
  <c r="R10" i="16" s="1"/>
  <c r="M9" i="6"/>
  <c r="G9" i="6" s="1"/>
  <c r="M10" i="6"/>
  <c r="G10" i="6" s="1"/>
  <c r="L10" i="6"/>
  <c r="R11" i="16" s="1"/>
  <c r="X15" i="13" l="1"/>
  <c r="P14" i="9"/>
  <c r="Q13" i="9"/>
  <c r="Y14" i="13"/>
  <c r="E15" i="13"/>
  <c r="M13" i="13"/>
  <c r="I14" i="13"/>
  <c r="I14" i="16"/>
  <c r="L12" i="8"/>
  <c r="T13" i="16" s="1"/>
  <c r="C14" i="9"/>
  <c r="N30" i="2"/>
  <c r="L14" i="2"/>
  <c r="N15" i="16" s="1"/>
  <c r="L12" i="6"/>
  <c r="L11" i="7"/>
  <c r="S12" i="16" s="1"/>
  <c r="M10" i="7"/>
  <c r="C13" i="9"/>
  <c r="E14" i="13"/>
  <c r="L13" i="2"/>
  <c r="N14" i="16" s="1"/>
  <c r="I14" i="9"/>
  <c r="R14" i="9"/>
  <c r="Q15" i="13"/>
  <c r="Z15" i="13"/>
  <c r="P8" i="9"/>
  <c r="X9" i="13"/>
  <c r="Q10" i="9"/>
  <c r="Y11" i="13"/>
  <c r="L10" i="9"/>
  <c r="X12" i="13"/>
  <c r="T11" i="13"/>
  <c r="P11" i="9"/>
  <c r="G10" i="9"/>
  <c r="M11" i="13"/>
  <c r="M10" i="13"/>
  <c r="G9" i="9"/>
  <c r="C9" i="9"/>
  <c r="E10" i="16"/>
  <c r="D12" i="9"/>
  <c r="G13" i="16"/>
  <c r="E13" i="13"/>
  <c r="E13" i="16"/>
  <c r="L11" i="9"/>
  <c r="T12" i="13"/>
  <c r="Q9" i="9"/>
  <c r="G13" i="13"/>
  <c r="E10" i="13"/>
  <c r="L9" i="8"/>
  <c r="T10" i="16" s="1"/>
  <c r="Y10" i="13"/>
  <c r="I12" i="9"/>
  <c r="Q13" i="13"/>
  <c r="P9" i="9"/>
  <c r="X10" i="13"/>
  <c r="R8" i="9"/>
  <c r="Z9" i="13"/>
  <c r="P10" i="9"/>
  <c r="X11" i="13"/>
  <c r="I8" i="9"/>
  <c r="Q9" i="13"/>
  <c r="I9" i="9"/>
  <c r="Q10" i="13"/>
  <c r="M10" i="8"/>
  <c r="G10" i="8" s="1"/>
  <c r="K11" i="16" s="1"/>
  <c r="L10" i="8"/>
  <c r="T11" i="16" s="1"/>
  <c r="L11" i="8"/>
  <c r="T12" i="16" s="1"/>
  <c r="M11" i="8"/>
  <c r="G11" i="8" s="1"/>
  <c r="K12" i="16" s="1"/>
  <c r="T15" i="13" l="1"/>
  <c r="Y12" i="13"/>
  <c r="L14" i="9"/>
  <c r="Q11" i="9"/>
  <c r="Z13" i="13"/>
  <c r="R12" i="9"/>
  <c r="R13" i="16"/>
  <c r="X13" i="13"/>
  <c r="P12" i="9"/>
  <c r="T14" i="13"/>
  <c r="L13" i="9"/>
  <c r="R9" i="9"/>
  <c r="Z10" i="13"/>
  <c r="R10" i="9"/>
  <c r="Z11" i="13"/>
  <c r="I11" i="9"/>
  <c r="Q12" i="13"/>
  <c r="I10" i="9"/>
  <c r="Q11" i="13"/>
  <c r="R11" i="9"/>
  <c r="Z12" i="13"/>
  <c r="G15" i="6"/>
  <c r="G15" i="9" s="1"/>
  <c r="C15" i="8"/>
  <c r="Q15" i="8" s="1"/>
  <c r="C16" i="13"/>
  <c r="C16" i="16"/>
  <c r="J16" i="13"/>
  <c r="C15" i="7"/>
  <c r="Q15" i="7" s="1"/>
  <c r="C15" i="2"/>
  <c r="Q15" i="2" s="1"/>
  <c r="C15" i="4"/>
  <c r="P15" i="4" s="1"/>
  <c r="G12" i="10"/>
  <c r="H16" i="13"/>
  <c r="H16" i="16"/>
  <c r="C15" i="3"/>
  <c r="Q15" i="3" s="1"/>
  <c r="D12" i="10"/>
  <c r="G27" i="10" s="1"/>
  <c r="E12" i="10"/>
  <c r="D16" i="16"/>
  <c r="D16" i="13"/>
  <c r="B7" i="17"/>
  <c r="I12" i="10"/>
  <c r="L16" i="13"/>
  <c r="F16" i="13"/>
  <c r="F12" i="10"/>
  <c r="F16" i="16"/>
  <c r="C15" i="6"/>
  <c r="N16" i="13"/>
  <c r="E15" i="4"/>
  <c r="F15" i="4" s="1"/>
  <c r="E15" i="5"/>
  <c r="F15" i="5" s="1"/>
  <c r="D7" i="17"/>
  <c r="C12" i="10"/>
  <c r="E15" i="6"/>
  <c r="C15" i="5"/>
  <c r="Q15" i="5" s="1"/>
  <c r="E15" i="3"/>
  <c r="F15" i="3" s="1"/>
  <c r="E15" i="7"/>
  <c r="N15" i="7" s="1"/>
  <c r="J15" i="1"/>
  <c r="K12" i="10" s="1"/>
  <c r="E15" i="2"/>
  <c r="J27" i="10" l="1"/>
  <c r="I27" i="10"/>
  <c r="N15" i="3"/>
  <c r="N15" i="4"/>
  <c r="P16" i="13"/>
  <c r="O15" i="3"/>
  <c r="N15" i="5"/>
  <c r="M16" i="13"/>
  <c r="O15" i="5"/>
  <c r="E27" i="10"/>
  <c r="H27" i="10"/>
  <c r="D27" i="10"/>
  <c r="F27" i="10"/>
  <c r="E7" i="17"/>
  <c r="I7" i="17"/>
  <c r="A7" i="17"/>
  <c r="K7" i="17" s="1"/>
  <c r="F7" i="17"/>
  <c r="C27" i="10"/>
  <c r="F15" i="6"/>
  <c r="N15" i="6"/>
  <c r="P15" i="6"/>
  <c r="Q15" i="6"/>
  <c r="F15" i="7"/>
  <c r="F15" i="2"/>
  <c r="N15" i="2"/>
  <c r="O15" i="2"/>
  <c r="E15" i="8"/>
  <c r="J16" i="16"/>
  <c r="D15" i="6"/>
  <c r="D15" i="3"/>
  <c r="P15" i="3"/>
  <c r="P15" i="2"/>
  <c r="D15" i="2"/>
  <c r="O15" i="4"/>
  <c r="P15" i="8"/>
  <c r="D15" i="8"/>
  <c r="P15" i="5"/>
  <c r="D15" i="5"/>
  <c r="O15" i="7"/>
  <c r="Q15" i="4"/>
  <c r="D15" i="4"/>
  <c r="P15" i="7"/>
  <c r="D15" i="7"/>
  <c r="O15" i="6"/>
  <c r="G7" i="17"/>
  <c r="C7" i="17"/>
  <c r="H7" i="17" l="1"/>
  <c r="K15" i="4"/>
  <c r="R15" i="4"/>
  <c r="S15" i="4" s="1"/>
  <c r="K15" i="5"/>
  <c r="T15" i="4"/>
  <c r="K15" i="7"/>
  <c r="T15" i="7"/>
  <c r="T15" i="2"/>
  <c r="R15" i="2"/>
  <c r="S15" i="2" s="1"/>
  <c r="U15" i="2" s="1"/>
  <c r="J15" i="2" s="1"/>
  <c r="K15" i="2"/>
  <c r="T15" i="3"/>
  <c r="R15" i="3"/>
  <c r="S15" i="3" s="1"/>
  <c r="K15" i="3"/>
  <c r="F15" i="8"/>
  <c r="O15" i="8"/>
  <c r="N15" i="8"/>
  <c r="R15" i="5"/>
  <c r="S15" i="5" s="1"/>
  <c r="U15" i="5" s="1"/>
  <c r="J15" i="5" s="1"/>
  <c r="R15" i="7"/>
  <c r="S15" i="7" s="1"/>
  <c r="U15" i="7" s="1"/>
  <c r="J15" i="7" s="1"/>
  <c r="T15" i="5"/>
  <c r="T15" i="6"/>
  <c r="R15" i="6"/>
  <c r="S15" i="6" s="1"/>
  <c r="U15" i="6" s="1"/>
  <c r="J15" i="6" s="1"/>
  <c r="K15" i="6"/>
  <c r="U15" i="3" l="1"/>
  <c r="J15" i="3" s="1"/>
  <c r="M15" i="3" s="1"/>
  <c r="G15" i="3" s="1"/>
  <c r="U15" i="4"/>
  <c r="J15" i="4" s="1"/>
  <c r="L15" i="4" s="1"/>
  <c r="O16" i="16" s="1"/>
  <c r="L15" i="7"/>
  <c r="M15" i="7"/>
  <c r="M15" i="6"/>
  <c r="L15" i="6"/>
  <c r="L15" i="5"/>
  <c r="M15" i="5"/>
  <c r="T15" i="8"/>
  <c r="K15" i="8"/>
  <c r="R15" i="8"/>
  <c r="S15" i="8" s="1"/>
  <c r="L15" i="2"/>
  <c r="M15" i="2"/>
  <c r="G15" i="2" s="1"/>
  <c r="L15" i="3" l="1"/>
  <c r="V16" i="13" s="1"/>
  <c r="U16" i="13"/>
  <c r="M15" i="9"/>
  <c r="M15" i="4"/>
  <c r="G15" i="4" s="1"/>
  <c r="D15" i="9" s="1"/>
  <c r="U15" i="8"/>
  <c r="J15" i="8" s="1"/>
  <c r="M15" i="8" s="1"/>
  <c r="G15" i="8" s="1"/>
  <c r="E16" i="13"/>
  <c r="C15" i="9"/>
  <c r="E16" i="16"/>
  <c r="N16" i="16"/>
  <c r="T16" i="13"/>
  <c r="L15" i="9"/>
  <c r="Q16" i="16"/>
  <c r="W16" i="13"/>
  <c r="O15" i="9"/>
  <c r="I16" i="13"/>
  <c r="I16" i="16"/>
  <c r="E15" i="9"/>
  <c r="X16" i="13"/>
  <c r="R16" i="16"/>
  <c r="P15" i="9"/>
  <c r="S16" i="16"/>
  <c r="Q15" i="9"/>
  <c r="Y16" i="13"/>
  <c r="N15" i="9" l="1"/>
  <c r="G16" i="16"/>
  <c r="P16" i="16"/>
  <c r="L15" i="8"/>
  <c r="R15" i="9" s="1"/>
  <c r="G16" i="13"/>
  <c r="Q16" i="13"/>
  <c r="K16" i="16"/>
  <c r="I15" i="9"/>
  <c r="Z16" i="13" l="1"/>
  <c r="T16" i="16"/>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<sst xmlns="http://schemas.openxmlformats.org/spreadsheetml/2006/main" count="654" uniqueCount="141">
  <si>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</si>
  <si>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</si>
  <si>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</si>
  <si>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</si>
  <si>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</si>
  <si>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</si>
  <si>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</si>
  <si>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</si>
  <si>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</si>
  <si>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</si>
  <si>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</si>
  <si>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</si>
  <si>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</si>
  <si>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</si>
  <si>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</si>
  <si>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</si>
  <si>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</si>
  <si>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</si>
  <si>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</si>
  <si>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</si>
  <si>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</si>
  <si>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</si>
  <si>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</si>
  <si>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</si>
  <si>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</si>
  <si>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</si>
  <si>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</si>
  <si>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</si>
  <si>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</si>
  <si>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</si>
  <si>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</si>
  <si>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</si>
  <si>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</si>
  <si>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</si>
  <si>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</si>
  <si>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</si>
  <si>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</si>
  <si>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</si>
  <si>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</si>
  <si>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</si>
  <si>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</si>
  <si>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</si>
  <si>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</si>
  <si>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</si>
  <si>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</si>
  <si>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</si>
  <si>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</si>
  <si>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</si>
  <si>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</si>
  <si>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</si>
  <si>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</si>
  <si>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</si>
  <si>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</si>
  <si>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</si>
  <si>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</si>
  <si>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</si>
  <si>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</si>
  <si>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</si>
  <si>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</si>
  <si>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</si>
  <si>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</si>
  <si>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</si>
  <si>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</si>
  <si>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</si>
  <si>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</si>
  <si>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</si>
  <si>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</si>
  <si>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</si>
  <si>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</si>
  <si>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</si>
  <si>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</si>
  <si>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</si>
  <si>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</si>
  <si>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</si>
  <si>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</si>
  <si>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</si>
  <si>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</si>
  <si>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</si>
  <si>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</si>
  <si>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</si>
  <si>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</si>
  <si>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</si>
  <si>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</si>
  <si>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</si>
  <si>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</si>
  <si>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</si>
  <si>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</si>
  <si>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</si>
  <si>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</si>
  <si>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</si>
  <si>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</si>
  <si>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</si>
  <si>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</si>
  <si>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</si>
  <si>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</si>
  <si>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</si>
  <si>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</si>
  <si>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</si>
  <si>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</si>
  <si>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</si>
  <si>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</si>
  <si>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</si>
  <si>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</si>
  <si>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</si>
  <si>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</si>
  <si>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</si>
  <si>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</si>
  <si>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</si>
  <si>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</si>
  <si>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</si>
  <si>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</si>
  <si>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</si>
  <si>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</si>
  <si>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</si>
  <si>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</si>
  <si>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</si>
  <si>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</si>
  <si>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</si>
  <si>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</si>
  <si>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</si>
  <si>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</si>
  <si>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</si>
  <si>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</si>
  <si>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</si>
  <si>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</si>
  <si>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</si>
  <si>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</si>
  <si>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</si>
  <si>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</si>
  <si>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Kent</t>
  </si>
  <si>
    <t>Item 3.Referral: Kent County Juvenile Court</t>
  </si>
  <si>
    <t>Item 4.Diversion: Kent County Juvenile Court</t>
  </si>
  <si>
    <t>Item 5.Detention: Kent County Juvenile Court</t>
  </si>
  <si>
    <t>Item 6.Petitioned: Kent County Juvenile Court</t>
  </si>
  <si>
    <t>Item 7.Delinquent: Kent County Juvenile Court</t>
  </si>
  <si>
    <t>Item 8.Probation: Kent County Juvenile Court</t>
  </si>
  <si>
    <t>Item 9.Confinement: Kent County Juvenile Court</t>
  </si>
  <si>
    <t>Item 10.Transferred: Kent County Juvenile Court</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</si>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</sst>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Kent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N=530</c:v>
                </c:pt>
                <c:pt idx="7">
                  <c:v>Population, total N=61220</c:v>
                </c:pt>
              </c:strCache>
            </c:strRef>
          </c:cat>
          <c:val>
            <c:numRef>
              <c:f>'Stacked 100%'!$B$7:$B$14</c:f>
              <c:numCache>
                <c:formatCode>0%</c:formatCode>
                <c:ptCount val="8"/>
                <c:pt idx="0">
                  <c:v>0</c:v>
                </c:pt>
                <c:pt idx="1">
                  <c:v>0</c:v>
                </c:pt>
                <c:pt idx="2">
                  <c:v>0</c:v>
                </c:pt>
                <c:pt idx="3">
                  <c:v>0</c:v>
                </c:pt>
                <c:pt idx="4">
                  <c:v>0</c:v>
                </c:pt>
                <c:pt idx="5">
                  <c:v>0</c:v>
                </c:pt>
                <c:pt idx="6">
                  <c:v>0.50188679245283019</c:v>
                </c:pt>
                <c:pt idx="7">
                  <c:v>0.14436458673636066</c:v>
                </c:pt>
              </c:numCache>
            </c:numRef>
          </c:val>
          <c:extLst>
            <c:ext xmlns:c16="http://schemas.microsoft.com/office/drawing/2014/chart" uri="{C3380CC4-5D6E-409C-BE32-E72D297353CC}">
              <c16:uniqueId val="{00000000-FA62-4697-8B61-F2772E37151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N=530</c:v>
                </c:pt>
                <c:pt idx="7">
                  <c:v>Population, total N=61220</c:v>
                </c:pt>
              </c:strCache>
            </c:strRef>
          </c:cat>
          <c:val>
            <c:numRef>
              <c:f>'Stacked 100%'!$C$7:$C$14</c:f>
              <c:numCache>
                <c:formatCode>0%</c:formatCode>
                <c:ptCount val="8"/>
                <c:pt idx="0">
                  <c:v>0</c:v>
                </c:pt>
                <c:pt idx="1">
                  <c:v>0</c:v>
                </c:pt>
                <c:pt idx="2">
                  <c:v>0</c:v>
                </c:pt>
                <c:pt idx="3">
                  <c:v>0</c:v>
                </c:pt>
                <c:pt idx="4">
                  <c:v>0</c:v>
                </c:pt>
                <c:pt idx="5">
                  <c:v>0</c:v>
                </c:pt>
                <c:pt idx="6">
                  <c:v>5.849056603773585E-2</c:v>
                </c:pt>
                <c:pt idx="7">
                  <c:v>0.18061091146684091</c:v>
                </c:pt>
              </c:numCache>
            </c:numRef>
          </c:val>
          <c:extLst>
            <c:ext xmlns:c16="http://schemas.microsoft.com/office/drawing/2014/chart" uri="{C3380CC4-5D6E-409C-BE32-E72D297353CC}">
              <c16:uniqueId val="{00000001-FA62-4697-8B61-F2772E37151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N=530</c:v>
                </c:pt>
                <c:pt idx="7">
                  <c:v>Population, total N=61220</c:v>
                </c:pt>
              </c:strCache>
            </c:strRef>
          </c:cat>
          <c:val>
            <c:numRef>
              <c:f>'Stacked 100%'!$H$7:$H$14</c:f>
              <c:numCache>
                <c:formatCode>0%</c:formatCode>
                <c:ptCount val="8"/>
                <c:pt idx="0">
                  <c:v>0</c:v>
                </c:pt>
                <c:pt idx="1">
                  <c:v>0</c:v>
                </c:pt>
                <c:pt idx="2">
                  <c:v>0</c:v>
                </c:pt>
                <c:pt idx="3">
                  <c:v>0</c:v>
                </c:pt>
                <c:pt idx="4">
                  <c:v>0</c:v>
                </c:pt>
                <c:pt idx="5">
                  <c:v>0</c:v>
                </c:pt>
                <c:pt idx="6">
                  <c:v>2.1359914560341758E-5</c:v>
                </c:pt>
                <c:pt idx="7">
                  <c:v>7.4602007893298003E-7</c:v>
                </c:pt>
              </c:numCache>
            </c:numRef>
          </c:val>
          <c:extLst>
            <c:ext xmlns:c16="http://schemas.microsoft.com/office/drawing/2014/chart" uri="{C3380CC4-5D6E-409C-BE32-E72D297353CC}">
              <c16:uniqueId val="{00000002-FA62-4697-8B61-F2772E37151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N=530</c:v>
                </c:pt>
                <c:pt idx="7">
                  <c:v>Population, total N=61220</c:v>
                </c:pt>
              </c:strCache>
            </c:strRef>
          </c:cat>
          <c:val>
            <c:numRef>
              <c:f>'Stacked 100%'!$I$7:$I$14</c:f>
              <c:numCache>
                <c:formatCode>0%</c:formatCode>
                <c:ptCount val="8"/>
                <c:pt idx="0">
                  <c:v>0</c:v>
                </c:pt>
                <c:pt idx="1">
                  <c:v>0</c:v>
                </c:pt>
                <c:pt idx="2">
                  <c:v>0</c:v>
                </c:pt>
                <c:pt idx="3">
                  <c:v>0</c:v>
                </c:pt>
                <c:pt idx="4">
                  <c:v>0</c:v>
                </c:pt>
                <c:pt idx="5">
                  <c:v>0</c:v>
                </c:pt>
                <c:pt idx="6">
                  <c:v>0.3867924528301887</c:v>
                </c:pt>
                <c:pt idx="7">
                  <c:v>0.6293531525645214</c:v>
                </c:pt>
              </c:numCache>
            </c:numRef>
          </c:val>
          <c:extLst>
            <c:ext xmlns:c16="http://schemas.microsoft.com/office/drawing/2014/chart" uri="{C3380CC4-5D6E-409C-BE32-E72D297353CC}">
              <c16:uniqueId val="{00000003-FA62-4697-8B61-F2772E371519}"/>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N=530</c:v>
                </c:pt>
                <c:pt idx="7">
                  <c:v>Population, total N=61220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A62-4697-8B61-F2772E371519}"/>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5" sqref="E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114</v>
      </c>
      <c r="B2" s="4"/>
      <c r="C2" s="4"/>
      <c r="D2" s="4"/>
      <c r="E2" s="4"/>
      <c r="F2" s="4"/>
    </row>
    <row r="3" spans="1:11" ht="15" customHeight="1" x14ac:dyDescent="0.25">
      <c r="A3" s="142" t="s">
        <v>129</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124</v>
      </c>
      <c r="E5" s="9" t="s">
        <v>4</v>
      </c>
      <c r="F5" s="9" t="s">
        <v>5</v>
      </c>
      <c r="G5" s="9" t="s">
        <v>127</v>
      </c>
      <c r="H5" s="9" t="s">
        <v>6</v>
      </c>
      <c r="I5" s="9" t="s">
        <v>116</v>
      </c>
      <c r="J5" s="9" t="s">
        <v>7</v>
      </c>
      <c r="K5" s="9" t="s">
        <v>108</v>
      </c>
    </row>
    <row r="6" spans="1:11" ht="15.75" customHeight="1" thickBot="1" x14ac:dyDescent="0.25">
      <c r="A6" s="10" t="s">
        <v>128</v>
      </c>
      <c r="B6" s="11">
        <f>SUM(C6:I6)+K6</f>
        <v>61220</v>
      </c>
      <c r="C6" s="11">
        <v>38529</v>
      </c>
      <c r="D6" s="11">
        <v>8838</v>
      </c>
      <c r="E6" s="11">
        <v>11057</v>
      </c>
      <c r="F6" s="11">
        <v>2540</v>
      </c>
      <c r="G6" s="11"/>
      <c r="H6" s="11">
        <v>256</v>
      </c>
      <c r="I6" s="11"/>
      <c r="J6" s="91">
        <f>SUM(D6:I6)</f>
        <v>22691</v>
      </c>
      <c r="K6" s="11"/>
    </row>
    <row r="7" spans="1:11" ht="15.75" customHeight="1" thickBot="1" x14ac:dyDescent="0.25">
      <c r="A7" s="10" t="s">
        <v>8</v>
      </c>
      <c r="B7" s="11">
        <f t="shared" ref="B7:B15" si="0">SUM(C7:I7)+K7</f>
        <v>530</v>
      </c>
      <c r="C7" s="11">
        <v>205</v>
      </c>
      <c r="D7" s="11">
        <v>266</v>
      </c>
      <c r="E7" s="11">
        <v>31</v>
      </c>
      <c r="F7" s="11">
        <v>3</v>
      </c>
      <c r="G7" s="11"/>
      <c r="H7" s="11">
        <v>3</v>
      </c>
      <c r="I7" s="11"/>
      <c r="J7" s="91">
        <f t="shared" ref="J7:J15" si="1">SUM(D7:I7)</f>
        <v>303</v>
      </c>
      <c r="K7" s="92">
        <v>22</v>
      </c>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125</v>
      </c>
      <c r="B13" s="11">
        <f t="shared" si="0"/>
        <v>0</v>
      </c>
      <c r="C13" s="11"/>
      <c r="D13" s="11"/>
      <c r="E13" s="11"/>
      <c r="F13" s="11"/>
      <c r="G13" s="11"/>
      <c r="H13" s="11"/>
      <c r="I13" s="11"/>
      <c r="J13" s="91">
        <f t="shared" si="1"/>
        <v>0</v>
      </c>
      <c r="K13" s="92"/>
    </row>
    <row r="14" spans="1:11" ht="26.25" customHeight="1" thickBot="1" x14ac:dyDescent="0.25">
      <c r="A14" s="10" t="s">
        <v>115</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11"/>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130</v>
      </c>
      <c r="B20" s="176"/>
      <c r="C20" s="8"/>
      <c r="D20" s="176" t="s">
        <v>131</v>
      </c>
      <c r="E20" s="176"/>
      <c r="F20" s="176"/>
      <c r="G20" s="176"/>
      <c r="H20" s="176"/>
      <c r="I20" s="176"/>
    </row>
    <row r="21" spans="1:9" ht="15" customHeight="1" x14ac:dyDescent="0.25">
      <c r="A21" s="176" t="s">
        <v>132</v>
      </c>
      <c r="B21" s="176"/>
      <c r="C21" s="8"/>
      <c r="D21" s="176" t="s">
        <v>133</v>
      </c>
      <c r="E21" s="176"/>
      <c r="F21" s="176"/>
      <c r="G21" s="176"/>
      <c r="H21" s="176"/>
      <c r="I21" s="176"/>
    </row>
    <row r="22" spans="1:9" ht="15" customHeight="1" x14ac:dyDescent="0.25">
      <c r="A22" s="176" t="s">
        <v>134</v>
      </c>
      <c r="B22" s="176"/>
      <c r="C22" s="8"/>
      <c r="D22" s="176" t="s">
        <v>135</v>
      </c>
      <c r="E22" s="176"/>
      <c r="F22" s="176"/>
      <c r="G22" s="176"/>
      <c r="H22" s="176"/>
      <c r="I22" s="176"/>
    </row>
    <row r="23" spans="1:9" ht="15" customHeight="1" x14ac:dyDescent="0.25">
      <c r="A23" s="176" t="s">
        <v>136</v>
      </c>
      <c r="B23" s="176"/>
      <c r="C23" s="8"/>
      <c r="D23" s="176" t="s">
        <v>137</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Kent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38529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205</v>
      </c>
      <c r="D7" s="34">
        <f>IF((AND(C66&gt;0,C7&gt;0)),(C7/C66),0)</f>
        <v>5.3206675491188449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205</v>
      </c>
      <c r="Q7" s="42">
        <f>C6-C7</f>
        <v>38324</v>
      </c>
      <c r="R7" s="42">
        <f t="shared" ref="R7:R15" si="5">SUM(N7:Q7)</f>
        <v>38529</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204.99999999999997</v>
      </c>
      <c r="R8" s="42">
        <f t="shared" si="5"/>
        <v>205.04999999999998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204.99999999999997</v>
      </c>
      <c r="R9" s="42">
        <f t="shared" si="5"/>
        <v>204.99999999999997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204.99999999999997</v>
      </c>
      <c r="R10" s="42">
        <f t="shared" si="5"/>
        <v>204.99999999999997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204.99999999999997</v>
      </c>
      <c r="R11" s="42">
        <f t="shared" si="5"/>
        <v>204.99999999999997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204.99999999999997</v>
      </c>
      <c r="R12" s="42">
        <f t="shared" si="5"/>
        <v>204.99999999999997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204.99999999999997</v>
      </c>
      <c r="R13" s="42">
        <f t="shared" si="5"/>
        <v>204.99999999999997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204.99999999999997</v>
      </c>
      <c r="R14" s="42">
        <f t="shared" si="5"/>
        <v>204.99999999999997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204.99999999999997</v>
      </c>
      <c r="R15" s="42">
        <f t="shared" si="5"/>
        <v>204.99999999999997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38.529000000000003</v>
      </c>
      <c r="D42" s="56">
        <f>E6/1000</f>
        <v>0</v>
      </c>
      <c r="E42" s="56">
        <f>MAX(C42:D42)</f>
        <v>38.529000000000003</v>
      </c>
      <c r="G42" s="1" t="str">
        <f>B42</f>
        <v>per 1000 youth</v>
      </c>
      <c r="L42" s="57">
        <v>1000</v>
      </c>
      <c r="M42" s="57"/>
      <c r="R42" s="49"/>
    </row>
    <row r="43" spans="2:18" ht="15" hidden="1" customHeight="1" x14ac:dyDescent="0.25">
      <c r="B43" s="49" t="s">
        <v>87</v>
      </c>
      <c r="C43" s="56">
        <f>C7/100</f>
        <v>2.0499999999999998</v>
      </c>
      <c r="D43" s="56">
        <f>E7/100</f>
        <v>0</v>
      </c>
      <c r="E43" s="56">
        <f>MAX(C43:D43,0)</f>
        <v>2.0499999999999998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38.529000000000003</v>
      </c>
      <c r="D48" s="56">
        <f>D42</f>
        <v>0</v>
      </c>
      <c r="E48" s="56">
        <f>MAX(C48:D48)</f>
        <v>38.529000000000003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2.0499999999999998</v>
      </c>
      <c r="D49" s="49">
        <f t="shared" si="9"/>
        <v>0</v>
      </c>
      <c r="E49" s="49">
        <f>MAX(C49:D49)</f>
        <v>2.0499999999999998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2.0499999999999998</v>
      </c>
      <c r="D50" s="49">
        <f t="shared" si="9"/>
        <v>0</v>
      </c>
      <c r="E50" s="49">
        <f>MAX(C50:D50)</f>
        <v>2.0499999999999998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38.529000000000003</v>
      </c>
      <c r="D54" s="56">
        <f>D48</f>
        <v>0</v>
      </c>
      <c r="E54" s="56">
        <f>MAX(C54:D54)</f>
        <v>38.529000000000003</v>
      </c>
      <c r="G54" s="1" t="str">
        <f>G48</f>
        <v>per 1000 youth</v>
      </c>
      <c r="L54" s="58">
        <f>L48</f>
        <v>1000</v>
      </c>
      <c r="M54" s="58"/>
    </row>
    <row r="55" spans="2:18" ht="15" hidden="1" customHeight="1" x14ac:dyDescent="0.25">
      <c r="B55" s="49" t="str">
        <f t="shared" ref="B55:D56" si="10">IF(($E49&gt;0),B49,B48)</f>
        <v>per 100 arrests</v>
      </c>
      <c r="C55" s="49">
        <f t="shared" si="10"/>
        <v>2.0499999999999998</v>
      </c>
      <c r="D55" s="49">
        <f t="shared" si="10"/>
        <v>0</v>
      </c>
      <c r="E55" s="49">
        <f>MAX(C55:D55)</f>
        <v>2.0499999999999998</v>
      </c>
      <c r="G55" s="1" t="str">
        <f>G49</f>
        <v>per 100 arrests</v>
      </c>
      <c r="L55" s="58">
        <f>IF(($E49&gt;0),L49,L48)</f>
        <v>100</v>
      </c>
      <c r="M55" s="58"/>
    </row>
    <row r="56" spans="2:18" ht="15" hidden="1" customHeight="1" x14ac:dyDescent="0.25">
      <c r="B56" s="49" t="str">
        <f t="shared" si="10"/>
        <v>per 100 arrests</v>
      </c>
      <c r="C56" s="49">
        <f t="shared" si="10"/>
        <v>2.0499999999999998</v>
      </c>
      <c r="D56" s="49">
        <f t="shared" si="10"/>
        <v>0</v>
      </c>
      <c r="E56" s="49">
        <f>MAX(C56:D56)</f>
        <v>2.0499999999999998</v>
      </c>
      <c r="G56" s="1" t="str">
        <f>G50</f>
        <v>per 100 referrals</v>
      </c>
      <c r="L56" s="58">
        <f>IF(($E50&gt;0),L50,L49)</f>
        <v>100</v>
      </c>
      <c r="M56" s="58"/>
    </row>
    <row r="57" spans="2:18" ht="15" hidden="1" customHeight="1" x14ac:dyDescent="0.25">
      <c r="B57" s="49" t="str">
        <f>IF(($E51&gt;0),B51,B49)</f>
        <v>per 100 arrests</v>
      </c>
      <c r="C57" s="49">
        <f>IF(($E51&gt;0),C51,C50)</f>
        <v>2.0499999999999998</v>
      </c>
      <c r="D57" s="49">
        <f>IF(($E51&gt;0),D51,D50)</f>
        <v>0</v>
      </c>
      <c r="E57" s="49">
        <f>MAX(C57:D57)</f>
        <v>2.0499999999999998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38.529000000000003</v>
      </c>
      <c r="D60" s="56">
        <f>D54</f>
        <v>0</v>
      </c>
      <c r="E60" s="56">
        <f>MAX(C60:D60)</f>
        <v>38.529000000000003</v>
      </c>
      <c r="G60" s="1" t="str">
        <f>G54</f>
        <v>per 1000 youth</v>
      </c>
      <c r="L60" s="58">
        <f>L54</f>
        <v>1000</v>
      </c>
      <c r="M60" s="58"/>
    </row>
    <row r="61" spans="2:18" ht="15" hidden="1" customHeight="1" x14ac:dyDescent="0.25">
      <c r="B61" s="49" t="str">
        <f t="shared" ref="B61:D62" si="11">IF(($E55&gt;0),B55,B54)</f>
        <v>per 100 arrests</v>
      </c>
      <c r="C61" s="49">
        <f t="shared" si="11"/>
        <v>2.0499999999999998</v>
      </c>
      <c r="D61" s="49">
        <f t="shared" si="11"/>
        <v>0</v>
      </c>
      <c r="E61" s="49">
        <f>MAX(C61:D61)</f>
        <v>2.0499999999999998</v>
      </c>
      <c r="G61" s="1" t="str">
        <f>G55</f>
        <v>per 100 arrests</v>
      </c>
      <c r="L61" s="58">
        <f>IF(($E55&gt;0),L55,L54)</f>
        <v>100</v>
      </c>
      <c r="M61" s="58"/>
    </row>
    <row r="62" spans="2:18" ht="15" hidden="1" customHeight="1" x14ac:dyDescent="0.25">
      <c r="B62" s="49" t="str">
        <f t="shared" si="11"/>
        <v>per 100 arrests</v>
      </c>
      <c r="C62" s="49">
        <f t="shared" si="11"/>
        <v>2.0499999999999998</v>
      </c>
      <c r="D62" s="49">
        <f t="shared" si="11"/>
        <v>0</v>
      </c>
      <c r="E62" s="49">
        <f>MAX(C62:D62)</f>
        <v>2.0499999999999998</v>
      </c>
      <c r="G62" s="1" t="str">
        <f>G56</f>
        <v>per 100 referrals</v>
      </c>
      <c r="L62" s="58">
        <f>IF(($E56&gt;0),L56,L55)</f>
        <v>100</v>
      </c>
      <c r="M62" s="58"/>
    </row>
    <row r="63" spans="2:18" ht="15" hidden="1" customHeight="1" x14ac:dyDescent="0.25">
      <c r="B63" s="49" t="str">
        <f>IF(($E57&gt;0),B57,B55)</f>
        <v>per 100 arrests</v>
      </c>
      <c r="C63" s="49">
        <f>IF(($E57&gt;0),C57,C56)</f>
        <v>2.0499999999999998</v>
      </c>
      <c r="D63" s="49">
        <f>IF(($E57&gt;0),D57,D56)</f>
        <v>0</v>
      </c>
      <c r="E63" s="49">
        <f>MAX(C63:D63)</f>
        <v>2.0499999999999998</v>
      </c>
      <c r="G63" s="1" t="str">
        <f>G57</f>
        <v>per 100 youth petitioned</v>
      </c>
      <c r="L63" s="58">
        <f>IF(($E57&gt;0),L57,L56)</f>
        <v>100</v>
      </c>
      <c r="M63" s="58"/>
    </row>
    <row r="64" spans="2:18" ht="15" hidden="1" customHeight="1" x14ac:dyDescent="0.25">
      <c r="B64" s="49" t="str">
        <f>IF(($E58&gt;0),B58,B57)</f>
        <v>per 100 arrests</v>
      </c>
      <c r="C64" s="49">
        <f>IF(($E58&gt;0),C58,C57)</f>
        <v>2.0499999999999998</v>
      </c>
      <c r="D64" s="49">
        <f>IF(($E58&gt;0),D58,D57)</f>
        <v>0</v>
      </c>
      <c r="E64" s="56">
        <f>MAX(C64:D64)</f>
        <v>2.0499999999999998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38.529000000000003</v>
      </c>
      <c r="D66" s="56">
        <f>D60</f>
        <v>0</v>
      </c>
      <c r="E66" s="56">
        <f>MAX(C66:D66)</f>
        <v>38.529000000000003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2.0499999999999998</v>
      </c>
      <c r="D67" s="49">
        <f t="shared" si="12"/>
        <v>0</v>
      </c>
      <c r="E67" s="49">
        <f>MAX(C67:D67)</f>
        <v>2.0499999999999998</v>
      </c>
      <c r="G67" s="1" t="str">
        <f>G61</f>
        <v>per 100 arrests</v>
      </c>
      <c r="L67" s="58">
        <f>IF(($E61&gt;0),L61,L60)</f>
        <v>100</v>
      </c>
      <c r="M67" s="58">
        <f>IF((B67=G67),1,2)</f>
        <v>1</v>
      </c>
    </row>
    <row r="68" spans="2:13" ht="15" hidden="1" customHeight="1" x14ac:dyDescent="0.25">
      <c r="B68" s="49" t="str">
        <f t="shared" si="12"/>
        <v>per 100 arrests</v>
      </c>
      <c r="C68" s="49">
        <f t="shared" si="12"/>
        <v>2.0499999999999998</v>
      </c>
      <c r="D68" s="49">
        <f t="shared" si="12"/>
        <v>0</v>
      </c>
      <c r="E68" s="49">
        <f>MAX(C68:D68)</f>
        <v>2.0499999999999998</v>
      </c>
      <c r="G68" s="1" t="str">
        <f>G62</f>
        <v>per 100 referrals</v>
      </c>
      <c r="L68" s="58">
        <f>IF(($E62&gt;0),L62,L61)</f>
        <v>100</v>
      </c>
      <c r="M68" s="58">
        <f>IF((B68=G68),1,2)</f>
        <v>2</v>
      </c>
    </row>
    <row r="69" spans="2:13" ht="15" hidden="1" customHeight="1" x14ac:dyDescent="0.25">
      <c r="B69" s="49" t="str">
        <f>IF(($E63&gt;0),B63,B61)</f>
        <v>per 100 arrests</v>
      </c>
      <c r="C69" s="49">
        <f>IF(($E63&gt;0),C63,C62)</f>
        <v>2.0499999999999998</v>
      </c>
      <c r="D69" s="49">
        <f>IF(($E63&gt;0),D63,D62)</f>
        <v>0</v>
      </c>
      <c r="E69" s="49">
        <f>MAX(C69:D69)</f>
        <v>2.0499999999999998</v>
      </c>
      <c r="G69" s="1" t="str">
        <f>G63</f>
        <v>per 100 youth petitioned</v>
      </c>
      <c r="L69" s="58">
        <f>IF(($E63&gt;0),L63,L62)</f>
        <v>100</v>
      </c>
      <c r="M69" s="58">
        <f>IF((B69=G69),1,2)</f>
        <v>2</v>
      </c>
    </row>
    <row r="70" spans="2:13" ht="15" hidden="1" customHeight="1" x14ac:dyDescent="0.25">
      <c r="B70" s="49" t="str">
        <f>IF(($E64&gt;0),B64,B63)</f>
        <v>per 100 arrests</v>
      </c>
      <c r="C70" s="49">
        <f>IF(($E64&gt;0),C64,C63)</f>
        <v>2.0499999999999998</v>
      </c>
      <c r="D70" s="49">
        <f>IF(($E64&gt;0),D64,D63)</f>
        <v>0</v>
      </c>
      <c r="E70" s="56">
        <f>MAX(C70:D70)</f>
        <v>2.0499999999999998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Kent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38529</v>
      </c>
      <c r="D6" s="34"/>
      <c r="E6" s="33">
        <f>'Data Entry'!J6</f>
        <v>22691</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205</v>
      </c>
      <c r="D7" s="34">
        <f>IF((AND(C66&gt;0,C7&gt;0)),(C7/C66),0)</f>
        <v>5.3206675491188449</v>
      </c>
      <c r="E7" s="33">
        <f>'Data Entry'!J7</f>
        <v>303</v>
      </c>
      <c r="F7" s="34">
        <f>IF((AND($E$7&gt;0,$D$66&gt;0)),($E$7/$D$66),0)</f>
        <v>13.353311885769688</v>
      </c>
      <c r="G7" s="39">
        <f t="shared" ref="G7:G15" si="0">IF(L$6=100,"*",IF(M7=FALSE,"--",IF(K7=20,"**",($F7/$D7))))</f>
        <v>2.5097061153503435</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303</v>
      </c>
      <c r="O7" s="42">
        <f>E6-E7</f>
        <v>22388</v>
      </c>
      <c r="P7" s="42">
        <f t="shared" ref="P7:P15" si="4">C7</f>
        <v>205</v>
      </c>
      <c r="Q7" s="42">
        <f>C6-C7</f>
        <v>38324</v>
      </c>
      <c r="R7" s="42">
        <f t="shared" ref="R7:R15" si="5">SUM(N7:Q7)</f>
        <v>61220</v>
      </c>
      <c r="S7" s="30">
        <f t="shared" ref="S7:S15" si="6">R7*((((N7*Q7)-(O7*P7))^2))</f>
        <v>3.019208791898497E+18</v>
      </c>
      <c r="T7" s="30">
        <f t="shared" ref="T7:T15" si="7">(N7+O7)*(P7+Q7)*(N7+P7)*(O7+Q7)</f>
        <v>2.6963708610330144E+16</v>
      </c>
      <c r="U7" s="31">
        <f t="shared" ref="U7:U15" si="8">IF((S7&gt;0),S7/T7,"- -")</f>
        <v>111.97305368972127</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303.05</v>
      </c>
      <c r="P8" s="42">
        <f t="shared" si="4"/>
        <v>0</v>
      </c>
      <c r="Q8" s="42">
        <f>(C$67*L67)-C8</f>
        <v>204.99999999999997</v>
      </c>
      <c r="R8" s="42">
        <f t="shared" si="5"/>
        <v>508.04999999999995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303</v>
      </c>
      <c r="P9" s="42">
        <f t="shared" si="4"/>
        <v>0</v>
      </c>
      <c r="Q9" s="42">
        <f>(C$68*L68)-C9</f>
        <v>204.99999999999997</v>
      </c>
      <c r="R9" s="42">
        <f t="shared" si="5"/>
        <v>508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303</v>
      </c>
      <c r="P10" s="42">
        <f t="shared" si="4"/>
        <v>0</v>
      </c>
      <c r="Q10" s="42">
        <f>(C$68*L68)-C10</f>
        <v>204.99999999999997</v>
      </c>
      <c r="R10" s="42">
        <f t="shared" si="5"/>
        <v>508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303</v>
      </c>
      <c r="P11" s="42">
        <f t="shared" si="4"/>
        <v>0</v>
      </c>
      <c r="Q11" s="42">
        <f>(C$68*L68)-C11</f>
        <v>204.99999999999997</v>
      </c>
      <c r="R11" s="42">
        <f t="shared" si="5"/>
        <v>508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303</v>
      </c>
      <c r="P12" s="42">
        <f t="shared" si="4"/>
        <v>0</v>
      </c>
      <c r="Q12" s="42">
        <f>(C69*L69)-C12</f>
        <v>204.99999999999997</v>
      </c>
      <c r="R12" s="42">
        <f t="shared" si="5"/>
        <v>508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303</v>
      </c>
      <c r="P13" s="42">
        <f t="shared" si="4"/>
        <v>0</v>
      </c>
      <c r="Q13" s="42">
        <f>(C70*L70)-C13</f>
        <v>204.99999999999997</v>
      </c>
      <c r="R13" s="42">
        <f t="shared" si="5"/>
        <v>508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303</v>
      </c>
      <c r="P14" s="42">
        <f t="shared" si="4"/>
        <v>0</v>
      </c>
      <c r="Q14" s="42">
        <f>(C70*L70)-C14</f>
        <v>204.99999999999997</v>
      </c>
      <c r="R14" s="42">
        <f t="shared" si="5"/>
        <v>508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303</v>
      </c>
      <c r="P15" s="42">
        <f t="shared" si="4"/>
        <v>0</v>
      </c>
      <c r="Q15" s="42">
        <f>(C69*L69)-C15</f>
        <v>204.99999999999997</v>
      </c>
      <c r="R15" s="42">
        <f t="shared" si="5"/>
        <v>508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38.529000000000003</v>
      </c>
      <c r="D42" s="56">
        <f>E6/1000</f>
        <v>22.690999999999999</v>
      </c>
      <c r="E42" s="56">
        <f>MAX(C42:D42)</f>
        <v>38.529000000000003</v>
      </c>
      <c r="G42" s="1" t="str">
        <f>B42</f>
        <v>per 1000 youth</v>
      </c>
      <c r="L42" s="57">
        <v>1000</v>
      </c>
      <c r="M42" s="57"/>
      <c r="R42" s="49"/>
    </row>
    <row r="43" spans="2:18" ht="15" hidden="1" customHeight="1" x14ac:dyDescent="0.25">
      <c r="B43" s="49" t="s">
        <v>87</v>
      </c>
      <c r="C43" s="56">
        <f>C7/100</f>
        <v>2.0499999999999998</v>
      </c>
      <c r="D43" s="56">
        <f>E7/100</f>
        <v>3.03</v>
      </c>
      <c r="E43" s="56">
        <f>MAX(C43:D43,0)</f>
        <v>3.03</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38.529000000000003</v>
      </c>
      <c r="D48" s="56">
        <f>D42</f>
        <v>22.690999999999999</v>
      </c>
      <c r="E48" s="56">
        <f>MAX(C48:D48)</f>
        <v>38.529000000000003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2.0499999999999998</v>
      </c>
      <c r="D49" s="49">
        <f t="shared" si="9"/>
        <v>3.03</v>
      </c>
      <c r="E49" s="49">
        <f>MAX(C49:D49)</f>
        <v>3.03</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2.0499999999999998</v>
      </c>
      <c r="D50" s="49">
        <f t="shared" si="9"/>
        <v>3.03</v>
      </c>
      <c r="E50" s="49">
        <f>MAX(C50:D50)</f>
        <v>3.03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38.529000000000003</v>
      </c>
      <c r="D54" s="56">
        <f>D48</f>
        <v>22.690999999999999</v>
      </c>
      <c r="E54" s="56">
        <f>MAX(C54:D54)</f>
        <v>38.529000000000003</v>
      </c>
      <c r="G54" s="1" t="str">
        <f>G48</f>
        <v>per 1000 youth</v>
      </c>
      <c r="L54" s="58">
        <f>L48</f>
        <v>1000</v>
      </c>
      <c r="M54" s="58"/>
    </row>
    <row r="55" spans="2:18" ht="15" hidden="1" customHeight="1" x14ac:dyDescent="0.25">
      <c r="B55" s="49" t="str">
        <f t="shared" ref="B55:D56" si="10">IF(($E49&gt;0),B49,B48)</f>
        <v>per 100 arrests</v>
      </c>
      <c r="C55" s="49">
        <f t="shared" si="10"/>
        <v>2.0499999999999998</v>
      </c>
      <c r="D55" s="49">
        <f t="shared" si="10"/>
        <v>3.03</v>
      </c>
      <c r="E55" s="49">
        <f>MAX(C55:D55)</f>
        <v>3.03</v>
      </c>
      <c r="G55" s="1" t="str">
        <f>G49</f>
        <v>per 100 arrests</v>
      </c>
      <c r="L55" s="58">
        <f>IF(($E49&gt;0),L49,L48)</f>
        <v>100</v>
      </c>
      <c r="M55" s="58"/>
    </row>
    <row r="56" spans="2:18" ht="15" hidden="1" customHeight="1" x14ac:dyDescent="0.25">
      <c r="B56" s="49" t="str">
        <f t="shared" si="10"/>
        <v>per 100 arrests</v>
      </c>
      <c r="C56" s="49">
        <f t="shared" si="10"/>
        <v>2.0499999999999998</v>
      </c>
      <c r="D56" s="49">
        <f t="shared" si="10"/>
        <v>3.03</v>
      </c>
      <c r="E56" s="49">
        <f>MAX(C56:D56)</f>
        <v>3.03</v>
      </c>
      <c r="G56" s="1" t="str">
        <f>G50</f>
        <v>per 100 referrals</v>
      </c>
      <c r="L56" s="58">
        <f>IF(($E50&gt;0),L50,L49)</f>
        <v>100</v>
      </c>
      <c r="M56" s="58"/>
    </row>
    <row r="57" spans="2:18" ht="15" hidden="1" customHeight="1" x14ac:dyDescent="0.25">
      <c r="B57" s="49" t="str">
        <f>IF(($E51&gt;0),B51,B49)</f>
        <v>per 100 arrests</v>
      </c>
      <c r="C57" s="49">
        <f>IF(($E51&gt;0),C51,C50)</f>
        <v>2.0499999999999998</v>
      </c>
      <c r="D57" s="49">
        <f>IF(($E51&gt;0),D51,D50)</f>
        <v>3.03</v>
      </c>
      <c r="E57" s="49">
        <f>MAX(C57:D57)</f>
        <v>3.03</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38.529000000000003</v>
      </c>
      <c r="D60" s="56">
        <f>D54</f>
        <v>22.690999999999999</v>
      </c>
      <c r="E60" s="56">
        <f>MAX(C60:D60)</f>
        <v>38.529000000000003</v>
      </c>
      <c r="G60" s="1" t="str">
        <f>G54</f>
        <v>per 1000 youth</v>
      </c>
      <c r="L60" s="58">
        <f>L54</f>
        <v>1000</v>
      </c>
      <c r="M60" s="58"/>
    </row>
    <row r="61" spans="2:18" ht="15" hidden="1" customHeight="1" x14ac:dyDescent="0.25">
      <c r="B61" s="49" t="str">
        <f t="shared" ref="B61:D62" si="11">IF(($E55&gt;0),B55,B54)</f>
        <v>per 100 arrests</v>
      </c>
      <c r="C61" s="49">
        <f t="shared" si="11"/>
        <v>2.0499999999999998</v>
      </c>
      <c r="D61" s="49">
        <f t="shared" si="11"/>
        <v>3.03</v>
      </c>
      <c r="E61" s="49">
        <f>MAX(C61:D61)</f>
        <v>3.03</v>
      </c>
      <c r="G61" s="1" t="str">
        <f>G55</f>
        <v>per 100 arrests</v>
      </c>
      <c r="L61" s="58">
        <f>IF(($E55&gt;0),L55,L54)</f>
        <v>100</v>
      </c>
      <c r="M61" s="58"/>
    </row>
    <row r="62" spans="2:18" ht="15" hidden="1" customHeight="1" x14ac:dyDescent="0.25">
      <c r="B62" s="49" t="str">
        <f t="shared" si="11"/>
        <v>per 100 arrests</v>
      </c>
      <c r="C62" s="49">
        <f t="shared" si="11"/>
        <v>2.0499999999999998</v>
      </c>
      <c r="D62" s="49">
        <f t="shared" si="11"/>
        <v>3.03</v>
      </c>
      <c r="E62" s="49">
        <f>MAX(C62:D62)</f>
        <v>3.03</v>
      </c>
      <c r="G62" s="1" t="str">
        <f>G56</f>
        <v>per 100 referrals</v>
      </c>
      <c r="L62" s="58">
        <f>IF(($E56&gt;0),L56,L55)</f>
        <v>100</v>
      </c>
      <c r="M62" s="58"/>
    </row>
    <row r="63" spans="2:18" ht="15" hidden="1" customHeight="1" x14ac:dyDescent="0.25">
      <c r="B63" s="49" t="str">
        <f>IF(($E57&gt;0),B57,B55)</f>
        <v>per 100 arrests</v>
      </c>
      <c r="C63" s="49">
        <f>IF(($E57&gt;0),C57,C56)</f>
        <v>2.0499999999999998</v>
      </c>
      <c r="D63" s="49">
        <f>IF(($E57&gt;0),D57,D56)</f>
        <v>3.03</v>
      </c>
      <c r="E63" s="49">
        <f>MAX(C63:D63)</f>
        <v>3.03</v>
      </c>
      <c r="G63" s="1" t="str">
        <f>G57</f>
        <v>per 100 youth petitioned</v>
      </c>
      <c r="L63" s="58">
        <f>IF(($E57&gt;0),L57,L56)</f>
        <v>100</v>
      </c>
      <c r="M63" s="58"/>
    </row>
    <row r="64" spans="2:18" ht="15" hidden="1" customHeight="1" x14ac:dyDescent="0.25">
      <c r="B64" s="49" t="str">
        <f>IF(($E58&gt;0),B58,B57)</f>
        <v>per 100 arrests</v>
      </c>
      <c r="C64" s="49">
        <f>IF(($E58&gt;0),C58,C57)</f>
        <v>2.0499999999999998</v>
      </c>
      <c r="D64" s="49">
        <f>IF(($E58&gt;0),D58,D57)</f>
        <v>3.03</v>
      </c>
      <c r="E64" s="56">
        <f>MAX(C64:D64)</f>
        <v>3.03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38.529000000000003</v>
      </c>
      <c r="D66" s="56">
        <f>D60</f>
        <v>22.690999999999999</v>
      </c>
      <c r="E66" s="56">
        <f>MAX(C66:D66)</f>
        <v>38.529000000000003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2.0499999999999998</v>
      </c>
      <c r="D67" s="49">
        <f t="shared" si="12"/>
        <v>3.03</v>
      </c>
      <c r="E67" s="49">
        <f>MAX(C67:D67)</f>
        <v>3.03</v>
      </c>
      <c r="G67" s="1" t="str">
        <f>G61</f>
        <v>per 100 arrests</v>
      </c>
      <c r="L67" s="58">
        <f>IF(($E61&gt;0),L61,L60)</f>
        <v>100</v>
      </c>
      <c r="M67" s="58">
        <f>IF((B67=G67),1,2)</f>
        <v>1</v>
      </c>
    </row>
    <row r="68" spans="2:13" ht="15" hidden="1" customHeight="1" x14ac:dyDescent="0.25">
      <c r="B68" s="49" t="str">
        <f t="shared" si="12"/>
        <v>per 100 arrests</v>
      </c>
      <c r="C68" s="49">
        <f t="shared" si="12"/>
        <v>2.0499999999999998</v>
      </c>
      <c r="D68" s="49">
        <f t="shared" si="12"/>
        <v>3.03</v>
      </c>
      <c r="E68" s="49">
        <f>MAX(C68:D68)</f>
        <v>3.03</v>
      </c>
      <c r="G68" s="1" t="str">
        <f>G62</f>
        <v>per 100 referrals</v>
      </c>
      <c r="L68" s="58">
        <f>IF(($E62&gt;0),L62,L61)</f>
        <v>100</v>
      </c>
      <c r="M68" s="58">
        <f>IF((B68=G68),1,2)</f>
        <v>2</v>
      </c>
    </row>
    <row r="69" spans="2:13" ht="15" hidden="1" customHeight="1" x14ac:dyDescent="0.25">
      <c r="B69" s="49" t="str">
        <f>IF(($E63&gt;0),B63,B61)</f>
        <v>per 100 arrests</v>
      </c>
      <c r="C69" s="49">
        <f>IF(($E63&gt;0),C63,C62)</f>
        <v>2.0499999999999998</v>
      </c>
      <c r="D69" s="49">
        <f>IF(($E63&gt;0),D63,D62)</f>
        <v>3.03</v>
      </c>
      <c r="E69" s="49">
        <f>MAX(C69:D69)</f>
        <v>3.03</v>
      </c>
      <c r="G69" s="1" t="str">
        <f>G63</f>
        <v>per 100 youth petitioned</v>
      </c>
      <c r="L69" s="58">
        <f>IF(($E63&gt;0),L63,L62)</f>
        <v>100</v>
      </c>
      <c r="M69" s="58">
        <f>IF((B69=G69),1,2)</f>
        <v>2</v>
      </c>
    </row>
    <row r="70" spans="2:13" ht="15" hidden="1" customHeight="1" x14ac:dyDescent="0.25">
      <c r="B70" s="49" t="str">
        <f>IF(($E64&gt;0),B64,B63)</f>
        <v>per 100 arrests</v>
      </c>
      <c r="C70" s="49">
        <f>IF(($E64&gt;0),C64,C63)</f>
        <v>2.0499999999999998</v>
      </c>
      <c r="D70" s="49">
        <f>IF(($E64&gt;0),D64,D63)</f>
        <v>3.03</v>
      </c>
      <c r="E70" s="56">
        <f>MAX(C70:D70)</f>
        <v>3.03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Kent</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5.6566787541602519</v>
      </c>
      <c r="D7" s="72">
        <f>Hispanic!G7</f>
        <v>0.52693647330793658</v>
      </c>
      <c r="E7" s="72" t="str">
        <f>Asian!G7</f>
        <v>**</v>
      </c>
      <c r="F7" s="72" t="str">
        <f>Hawaiian!G7</f>
        <v>*</v>
      </c>
      <c r="G7" s="72" t="str">
        <f>'Am Indian'!G7</f>
        <v>*</v>
      </c>
      <c r="H7" s="72" t="str">
        <f>'Other - Mixed'!G7</f>
        <v>*</v>
      </c>
      <c r="I7" s="73">
        <f>'All Minorities'!G7</f>
        <v>2.5097061153503435</v>
      </c>
      <c r="L7" s="1">
        <f>'Black or African-American'!L7</f>
        <v>1</v>
      </c>
      <c r="M7" s="1">
        <f>Hispanic!L7</f>
        <v>1</v>
      </c>
      <c r="N7" s="1">
        <f>Asian!L7</f>
        <v>20</v>
      </c>
      <c r="O7" s="1" t="e">
        <f>Hawaiian!L7</f>
        <v>#VALUE!</v>
      </c>
      <c r="P7" s="1">
        <f>'Am Indian'!L7</f>
        <v>139</v>
      </c>
      <c r="Q7" s="1" t="e">
        <f>'Other - Mixed'!L7</f>
        <v>#VALUE!</v>
      </c>
      <c r="R7" s="1">
        <f>'All Minorities'!L7</f>
        <v>1</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61220</v>
      </c>
      <c r="D3" s="57">
        <f>'Data Entry'!C6</f>
        <v>38529</v>
      </c>
      <c r="E3" s="57">
        <f>'Data Entry'!D6</f>
        <v>8838</v>
      </c>
      <c r="F3" s="57">
        <f>'Data Entry'!E6</f>
        <v>11057</v>
      </c>
      <c r="G3" s="57">
        <f>'Data Entry'!F6</f>
        <v>2540</v>
      </c>
      <c r="H3" s="57">
        <f>'Data Entry'!G6</f>
        <v>0</v>
      </c>
      <c r="I3" s="57">
        <f>'Data Entry'!H6</f>
        <v>256</v>
      </c>
      <c r="J3" s="57">
        <f>'Data Entry'!I6</f>
        <v>0</v>
      </c>
      <c r="K3" s="57">
        <f>'Data Entry'!J6</f>
        <v>22691</v>
      </c>
    </row>
    <row r="4" spans="2:11" ht="15" customHeight="1" x14ac:dyDescent="0.25">
      <c r="B4" s="16" t="s">
        <v>8</v>
      </c>
      <c r="C4" s="1">
        <f>IF((C$3&gt;0),(1000*('Data Entry'!B7/'Data Entry'!B$6)), 0)</f>
        <v>8.6573015354459333</v>
      </c>
      <c r="D4" s="1">
        <f>IF((D$3&gt;0),(1000*('Data Entry'!C7/'Data Entry'!C$6)), 0)</f>
        <v>5.3206675491188449</v>
      </c>
      <c r="E4" s="1">
        <f>IF((E$3&gt;0),(1000*('Data Entry'!D7/'Data Entry'!D$6)), 0)</f>
        <v>30.097307083050463</v>
      </c>
      <c r="F4" s="1">
        <f>IF((F$3&gt;0),(1000*('Data Entry'!E7/'Data Entry'!E$6)), 0)</f>
        <v>2.8036537939766664</v>
      </c>
      <c r="G4" s="1">
        <f>IF((G$3&gt;0),(1000*('Data Entry'!F7/'Data Entry'!F$6)), 0)</f>
        <v>1.1811023622047243</v>
      </c>
      <c r="H4" s="1">
        <f>IF((H$3&gt;0),(1000*('Data Entry'!G7/'Data Entry'!G$6)), 0)</f>
        <v>0</v>
      </c>
      <c r="I4" s="1">
        <f>IF((I$3&gt;0),(1000*('Data Entry'!H7/'Data Entry'!H$6)), 0)</f>
        <v>11.71875</v>
      </c>
      <c r="J4" s="1">
        <f>IF((J$3&gt;0),(1000*('Data Entry'!I7/'Data Entry'!I$6)), 0)</f>
        <v>0</v>
      </c>
      <c r="K4" s="1">
        <f>IF((K$3&gt;0),(1000*('Data Entry'!J7/'Data Entry'!J$6)), 0)</f>
        <v>13.353311885769688</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Kent</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5.656678754160251</v>
      </c>
      <c r="E19" s="72">
        <f t="shared" si="1"/>
        <v>0.52693647330793658</v>
      </c>
      <c r="F19" s="72">
        <f t="shared" si="1"/>
        <v>0.22198386787017477</v>
      </c>
      <c r="G19" s="72" t="str">
        <f t="shared" si="1"/>
        <v>--</v>
      </c>
      <c r="H19" s="72">
        <f t="shared" si="1"/>
        <v>2.2024961890243904</v>
      </c>
      <c r="I19" s="72" t="str">
        <f t="shared" si="1"/>
        <v>--</v>
      </c>
      <c r="J19" s="73">
        <f t="shared" si="1"/>
        <v>2.5097061153503435</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113</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Kent</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111</v>
      </c>
      <c r="C6" s="153" t="s">
        <v>109</v>
      </c>
      <c r="D6" s="154" t="s">
        <v>109</v>
      </c>
      <c r="E6" s="155" t="s">
        <v>110</v>
      </c>
      <c r="F6" s="154" t="s">
        <v>109</v>
      </c>
      <c r="G6" s="155" t="s">
        <v>110</v>
      </c>
      <c r="H6" s="154" t="s">
        <v>109</v>
      </c>
      <c r="I6" s="155" t="s">
        <v>110</v>
      </c>
      <c r="J6" s="154" t="s">
        <v>109</v>
      </c>
      <c r="K6" s="155" t="s">
        <v>110</v>
      </c>
      <c r="L6" s="154" t="s">
        <v>109</v>
      </c>
      <c r="M6" s="155" t="s">
        <v>110</v>
      </c>
      <c r="N6" s="154" t="s">
        <v>109</v>
      </c>
      <c r="O6" s="155" t="s">
        <v>110</v>
      </c>
      <c r="P6" s="154" t="s">
        <v>109</v>
      </c>
      <c r="Q6" s="156" t="s">
        <v>110</v>
      </c>
    </row>
    <row r="7" spans="2:26" s="135" customFormat="1" ht="18" customHeight="1" x14ac:dyDescent="0.3">
      <c r="B7" s="150" t="str">
        <f>'Data Entry'!A6</f>
        <v xml:space="preserve">1. Population at Risk (age 10 through 16) </v>
      </c>
      <c r="C7" s="104">
        <f>'Data Entry'!C6</f>
        <v>38529</v>
      </c>
      <c r="D7" s="105">
        <f>'Data Entry'!D6</f>
        <v>8838</v>
      </c>
      <c r="E7" s="106"/>
      <c r="F7" s="107">
        <f>'Data Entry'!E6</f>
        <v>11057</v>
      </c>
      <c r="G7" s="106"/>
      <c r="H7" s="107">
        <f>'Data Entry'!F6</f>
        <v>2540</v>
      </c>
      <c r="I7" s="106"/>
      <c r="J7" s="107">
        <f>'Data Entry'!G6</f>
        <v>0</v>
      </c>
      <c r="K7" s="106"/>
      <c r="L7" s="107">
        <f>'Data Entry'!H6</f>
        <v>256</v>
      </c>
      <c r="M7" s="106"/>
      <c r="N7" s="107">
        <f>'Data Entry'!I6</f>
        <v>0</v>
      </c>
      <c r="O7" s="106"/>
      <c r="P7" s="107">
        <f>'Data Entry'!J6</f>
        <v>22691</v>
      </c>
      <c r="Q7" s="108"/>
    </row>
    <row r="8" spans="2:26" s="1" customFormat="1" ht="15" customHeight="1" x14ac:dyDescent="0.3">
      <c r="B8" s="149" t="s">
        <v>8</v>
      </c>
      <c r="C8" s="104">
        <f>'Data Entry'!C7</f>
        <v>205</v>
      </c>
      <c r="D8" s="105">
        <f>'Data Entry'!D7</f>
        <v>266</v>
      </c>
      <c r="E8" s="106">
        <f>'Black or African-American'!$G7</f>
        <v>5.6566787541602519</v>
      </c>
      <c r="F8" s="107">
        <f>'Data Entry'!E7</f>
        <v>31</v>
      </c>
      <c r="G8" s="106">
        <f>Hispanic!G7</f>
        <v>0.52693647330793658</v>
      </c>
      <c r="H8" s="107">
        <f>'Data Entry'!F7</f>
        <v>3</v>
      </c>
      <c r="I8" s="106" t="str">
        <f>Asian!G7</f>
        <v>**</v>
      </c>
      <c r="J8" s="107">
        <f>'Data Entry'!G7</f>
        <v>0</v>
      </c>
      <c r="K8" s="106" t="str">
        <f>Hawaiian!G7</f>
        <v>*</v>
      </c>
      <c r="L8" s="107">
        <f>'Data Entry'!H7</f>
        <v>3</v>
      </c>
      <c r="M8" s="106" t="str">
        <f>'Am Indian'!G7</f>
        <v>*</v>
      </c>
      <c r="N8" s="107">
        <f>'Data Entry'!I7</f>
        <v>0</v>
      </c>
      <c r="O8" s="106" t="str">
        <f>'Other - Mixed'!G7</f>
        <v>*</v>
      </c>
      <c r="P8" s="107">
        <f>'Data Entry'!J7</f>
        <v>303</v>
      </c>
      <c r="Q8" s="108">
        <f>'All Minorities'!G7</f>
        <v>2.5097061153503435</v>
      </c>
      <c r="R8"/>
      <c r="T8" s="1">
        <f>'Black or African-American'!L7</f>
        <v>1</v>
      </c>
      <c r="U8" s="1">
        <f>Hispanic!L7</f>
        <v>1</v>
      </c>
      <c r="V8" s="1">
        <f>Asian!L7</f>
        <v>20</v>
      </c>
      <c r="W8" s="1" t="e">
        <f>Hawaiian!L7</f>
        <v>#VALUE!</v>
      </c>
      <c r="X8" s="1">
        <f>'Am Indian'!L7</f>
        <v>139</v>
      </c>
      <c r="Y8" s="1" t="e">
        <f>'Other - Mixed'!L7</f>
        <v>#VALUE!</v>
      </c>
      <c r="Z8" s="1">
        <f>'All Minorities'!L7</f>
        <v>1</v>
      </c>
    </row>
    <row r="9" spans="2:26" s="1" customFormat="1" ht="15" customHeight="1" x14ac:dyDescent="0.3">
      <c r="B9" s="149" t="s">
        <v>126</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125</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115</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120</v>
      </c>
      <c r="I19" s="139" t="s">
        <v>51</v>
      </c>
      <c r="J19" s="136"/>
      <c r="K19" s="136"/>
      <c r="L19" s="136"/>
      <c r="M19" s="136"/>
      <c r="N19" s="136"/>
      <c r="O19" s="137"/>
      <c r="P19" s="94"/>
      <c r="Q19" s="94"/>
    </row>
    <row r="20" spans="2:18" ht="16.5" x14ac:dyDescent="0.3">
      <c r="B20" s="94"/>
      <c r="C20" s="160" t="s">
        <v>117</v>
      </c>
      <c r="D20" s="166"/>
      <c r="E20" s="167"/>
      <c r="F20" s="168"/>
      <c r="G20" s="169" t="s">
        <v>53</v>
      </c>
      <c r="H20" s="166"/>
      <c r="I20" s="160" t="s">
        <v>56</v>
      </c>
      <c r="J20" s="166"/>
      <c r="K20" s="166"/>
      <c r="L20" s="166"/>
      <c r="M20" s="166"/>
      <c r="N20" s="166"/>
      <c r="O20" s="161" t="s">
        <v>57</v>
      </c>
      <c r="Q20" s="94"/>
    </row>
    <row r="21" spans="2:18" ht="15" customHeight="1" x14ac:dyDescent="0.3">
      <c r="B21" s="94"/>
      <c r="C21" s="162" t="s">
        <v>119</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Kent County Juvenile Court</v>
      </c>
      <c r="E27" s="1" t="str">
        <f>'Data Entry'!D20</f>
        <v>Item 4.Diversion: Kent County Juvenile Court</v>
      </c>
      <c r="I27" s="97"/>
      <c r="J27" s="97"/>
    </row>
    <row r="28" spans="2:18" ht="12.75" customHeight="1" x14ac:dyDescent="0.25">
      <c r="B28" s="1" t="str">
        <f>'Data Entry'!A21</f>
        <v>Item 5.Detention: Kent County Juvenile Court</v>
      </c>
      <c r="E28" s="1" t="str">
        <f>'Data Entry'!D21</f>
        <v>Item 6.Petitioned: Kent County Juvenile Court</v>
      </c>
      <c r="I28" s="97"/>
      <c r="J28" s="97"/>
    </row>
    <row r="29" spans="2:18" ht="12.75" customHeight="1" x14ac:dyDescent="0.25">
      <c r="B29" s="1" t="str">
        <f>'Data Entry'!A22</f>
        <v>Item 7.Delinquent: Kent County Juvenile Court</v>
      </c>
      <c r="E29" s="1" t="str">
        <f>'Data Entry'!D22</f>
        <v>Item 8.Probation: Kent County Juvenile Court</v>
      </c>
      <c r="I29" s="97"/>
      <c r="J29" s="97"/>
    </row>
    <row r="30" spans="2:18" ht="12.75" customHeight="1" x14ac:dyDescent="0.25">
      <c r="B30" s="1" t="str">
        <f>'Data Entry'!A23</f>
        <v>Item 9.Confinement: Kent County Juvenile Court</v>
      </c>
      <c r="E30" s="1" t="str">
        <f>'Data Entry'!D23</f>
        <v>Item 10.Transferred: Kent County Juvenile Court</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Kent</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Kent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122</v>
      </c>
      <c r="I6" s="97" t="str">
        <f>'Data Entry'!C5</f>
        <v>White</v>
      </c>
      <c r="K6" s="143" t="s">
        <v>123</v>
      </c>
      <c r="L6" s="143" t="s">
        <v>121</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1.6979859856330701</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1.6979859856330701</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1.6979859856330701</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1.6979859856330701</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1.6979859856330701</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1.6979859856330701</v>
      </c>
    </row>
    <row r="13" spans="1:12" x14ac:dyDescent="0.2">
      <c r="A13" s="132" t="str">
        <f>CONCATENATE("Arrests, total N=", 'Data Entry'!B7)</f>
        <v>Arrests, total N=530</v>
      </c>
      <c r="B13" s="157">
        <f>'Data Entry'!D7/'Data Entry'!B7</f>
        <v>0.50188679245283019</v>
      </c>
      <c r="C13" s="157">
        <f>'Data Entry'!E7/'Data Entry'!B7</f>
        <v>5.849056603773585E-2</v>
      </c>
      <c r="D13" s="157">
        <f>'Data Entry'!F7/'Data Entry'!B7</f>
        <v>5.6603773584905656E-3</v>
      </c>
      <c r="E13" s="157">
        <f>'Data Entry'!G7/'Data Entry'!B7</f>
        <v>0</v>
      </c>
      <c r="F13" s="157">
        <f>'Data Entry'!H7/'Data Entry'!B7</f>
        <v>5.6603773584905656E-3</v>
      </c>
      <c r="G13" s="157">
        <f>'Data Entry'!I7/'Data Entry'!B7</f>
        <v>0</v>
      </c>
      <c r="H13" s="157">
        <f>SUM(D13:G13)/'Data Entry'!B7</f>
        <v>2.1359914560341758E-5</v>
      </c>
      <c r="I13" s="157">
        <f>'Data Entry'!C7/'Data Entry'!B7</f>
        <v>0.3867924528301887</v>
      </c>
      <c r="K13" s="97" t="str">
        <f t="shared" si="0"/>
        <v>Arrests, total N=530</v>
      </c>
      <c r="L13">
        <f>I14/(SUM(B14:G14))</f>
        <v>1.6979859856330701</v>
      </c>
    </row>
    <row r="14" spans="1:12" x14ac:dyDescent="0.2">
      <c r="A14" s="132" t="str">
        <f>CONCATENATE("Population, total N=", 'Data Entry'!B6)</f>
        <v>Population, total N=61220</v>
      </c>
      <c r="B14" s="157">
        <f>'Data Entry'!D6/'Data Entry'!B6</f>
        <v>0.14436458673636066</v>
      </c>
      <c r="C14" s="157">
        <f>'Data Entry'!E6/'Data Entry'!B6</f>
        <v>0.18061091146684091</v>
      </c>
      <c r="D14" s="157">
        <f>'Data Entry'!F6/'Data Entry'!B6</f>
        <v>4.1489709245344661E-2</v>
      </c>
      <c r="E14" s="157">
        <f>'Data Entry'!G6/'Data Entry'!B6</f>
        <v>0</v>
      </c>
      <c r="F14" s="157">
        <f>'Data Entry'!H6/'Data Entry'!B6</f>
        <v>4.1816399869323752E-3</v>
      </c>
      <c r="G14" s="157">
        <f>'Data Entry'!I6/'Data Entry'!B6</f>
        <v>0</v>
      </c>
      <c r="H14" s="157">
        <f>SUM(D14:G14)/'Data Entry'!B6</f>
        <v>7.4602007893298003E-7</v>
      </c>
      <c r="I14" s="157">
        <f>'Data Entry'!C6/'Data Entry'!B6</f>
        <v>0.6293531525645214</v>
      </c>
      <c r="K14" s="97" t="str">
        <f t="shared" si="0"/>
        <v>Population, total N=61220</v>
      </c>
      <c r="L14">
        <f>I14/(SUM(B14:G14))</f>
        <v>1.6979859856330701</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113</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Kent</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111</v>
      </c>
      <c r="C6" s="126" t="s">
        <v>109</v>
      </c>
      <c r="D6" s="127" t="s">
        <v>109</v>
      </c>
      <c r="E6" s="128" t="s">
        <v>110</v>
      </c>
      <c r="F6" s="127" t="s">
        <v>109</v>
      </c>
      <c r="G6" s="128" t="s">
        <v>110</v>
      </c>
      <c r="H6" s="127" t="s">
        <v>109</v>
      </c>
      <c r="I6" s="128" t="s">
        <v>110</v>
      </c>
      <c r="J6" s="127" t="s">
        <v>109</v>
      </c>
      <c r="K6" s="129" t="s">
        <v>110</v>
      </c>
    </row>
    <row r="7" spans="2:30" s="135" customFormat="1" ht="18" customHeight="1" x14ac:dyDescent="0.3">
      <c r="B7" s="148" t="str">
        <f>'Data Entry'!A6</f>
        <v xml:space="preserve">1. Population at Risk (age 10 through 16) </v>
      </c>
      <c r="C7" s="104">
        <f>'Data Entry'!C6</f>
        <v>38529</v>
      </c>
      <c r="D7" s="105">
        <f>'Data Entry'!D6</f>
        <v>8838</v>
      </c>
      <c r="E7" s="106"/>
      <c r="F7" s="107">
        <f>'Data Entry'!E6</f>
        <v>11057</v>
      </c>
      <c r="G7" s="106"/>
      <c r="H7" s="107">
        <f>'Data Entry'!F6</f>
        <v>2540</v>
      </c>
      <c r="I7" s="106"/>
      <c r="J7" s="107">
        <f>'Data Entry'!J6</f>
        <v>22691</v>
      </c>
      <c r="K7" s="108"/>
    </row>
    <row r="8" spans="2:30" s="1" customFormat="1" ht="15" customHeight="1" x14ac:dyDescent="0.3">
      <c r="B8" s="125" t="s">
        <v>8</v>
      </c>
      <c r="C8" s="104">
        <f>'Data Entry'!C7</f>
        <v>205</v>
      </c>
      <c r="D8" s="105">
        <f>'Data Entry'!D7</f>
        <v>266</v>
      </c>
      <c r="E8" s="106">
        <f>'Black or African-American'!$G7</f>
        <v>5.6566787541602519</v>
      </c>
      <c r="F8" s="107">
        <f>'Data Entry'!E7</f>
        <v>31</v>
      </c>
      <c r="G8" s="106">
        <f>Hispanic!G7</f>
        <v>0.52693647330793658</v>
      </c>
      <c r="H8" s="107">
        <f>'Data Entry'!F7</f>
        <v>3</v>
      </c>
      <c r="I8" s="106" t="str">
        <f>Asian!G7</f>
        <v>**</v>
      </c>
      <c r="J8" s="107">
        <f>'Data Entry'!J7</f>
        <v>303</v>
      </c>
      <c r="K8" s="108">
        <f>'All Minorities'!G7</f>
        <v>2.5097061153503435</v>
      </c>
      <c r="L8"/>
      <c r="N8" s="1">
        <f>'Black or African-American'!L7</f>
        <v>1</v>
      </c>
      <c r="O8" s="1">
        <f>Hispanic!L7</f>
        <v>1</v>
      </c>
      <c r="P8" s="1">
        <f>Asian!L7</f>
        <v>20</v>
      </c>
      <c r="Q8" s="1" t="e">
        <f>Hawaiian!L7</f>
        <v>#VALUE!</v>
      </c>
      <c r="R8" s="1">
        <f>'Am Indian'!L7</f>
        <v>139</v>
      </c>
      <c r="S8" s="1" t="e">
        <f>'Other - Mixed'!L7</f>
        <v>#VALUE!</v>
      </c>
      <c r="T8" s="1">
        <f>'All Minorities'!L7</f>
        <v>1</v>
      </c>
    </row>
    <row r="9" spans="2:30" s="1" customFormat="1" ht="15" customHeight="1" x14ac:dyDescent="0.3">
      <c r="B9" s="125" t="s">
        <v>126</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115</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112</v>
      </c>
      <c r="C19" s="200"/>
      <c r="D19" s="200"/>
      <c r="E19" s="200"/>
      <c r="F19" s="200"/>
      <c r="G19" s="200"/>
      <c r="H19" s="200"/>
      <c r="I19" s="201"/>
      <c r="J19" s="202"/>
      <c r="K19" s="203"/>
    </row>
    <row r="20" spans="2:30" ht="15.75" x14ac:dyDescent="0.3">
      <c r="B20" s="160" t="s">
        <v>117</v>
      </c>
      <c r="C20" s="207" t="s">
        <v>53</v>
      </c>
      <c r="D20" s="208"/>
      <c r="E20" s="191" t="s">
        <v>56</v>
      </c>
      <c r="F20" s="192"/>
      <c r="G20" s="192"/>
      <c r="H20" s="192"/>
      <c r="I20" s="192"/>
      <c r="J20" s="192"/>
      <c r="K20" s="161" t="s">
        <v>57</v>
      </c>
    </row>
    <row r="21" spans="2:30" ht="15" customHeight="1" x14ac:dyDescent="0.3">
      <c r="B21" s="162" t="s">
        <v>118</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Kent County Juvenile Court</v>
      </c>
      <c r="E27" s="1" t="str">
        <f>'Data Entry'!D20</f>
        <v>Item 4.Diversion: Kent County Juvenile Court</v>
      </c>
      <c r="I27" s="97"/>
    </row>
    <row r="28" spans="2:30" ht="12.75" customHeight="1" x14ac:dyDescent="0.25">
      <c r="B28" s="1" t="str">
        <f>'Data Entry'!A21</f>
        <v>Item 5.Detention: Kent County Juvenile Court</v>
      </c>
      <c r="E28" s="1" t="str">
        <f>'Data Entry'!D21</f>
        <v>Item 6.Petitioned: Kent County Juvenile Court</v>
      </c>
      <c r="I28" s="97"/>
    </row>
    <row r="29" spans="2:30" ht="12.75" customHeight="1" x14ac:dyDescent="0.25">
      <c r="B29" s="1" t="str">
        <f>'Data Entry'!A22</f>
        <v>Item 7.Delinquent: Kent County Juvenile Court</v>
      </c>
      <c r="E29" s="1" t="str">
        <f>'Data Entry'!D22</f>
        <v>Item 8.Probation: Kent County Juvenile Court</v>
      </c>
      <c r="I29" s="97"/>
    </row>
    <row r="30" spans="2:30" ht="12.75" customHeight="1" x14ac:dyDescent="0.25">
      <c r="B30" s="1" t="str">
        <f>'Data Entry'!A23</f>
        <v>Item 9.Confinement: Kent County Juvenile Court</v>
      </c>
      <c r="E30" s="1" t="str">
        <f>'Data Entry'!D23</f>
        <v>Item 10.Transferred: Kent County Juvenile Court</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Kent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38529</v>
      </c>
      <c r="D6" s="34"/>
      <c r="E6" s="33">
        <f>'Data Entry'!D6</f>
        <v>8838</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205</v>
      </c>
      <c r="D7" s="34">
        <f>IF((AND(C66&gt;0,C7&gt;0)),(C7/C66),0)</f>
        <v>5.3206675491188449</v>
      </c>
      <c r="E7" s="33">
        <f>'Data Entry'!D7</f>
        <v>266</v>
      </c>
      <c r="F7" s="34">
        <f>IF((AND($E$7&gt;0,$D$66&gt;0)),($E$7/$D$66),0)</f>
        <v>30.097307083050467</v>
      </c>
      <c r="G7" s="39">
        <f>IF(L$6=100,"*",IF(M7=FALSE,"--",IF(K7=20,"**",($F7/$D7))))</f>
        <v>5.6566787541602519</v>
      </c>
      <c r="H7" s="40"/>
      <c r="I7" s="41"/>
      <c r="J7" s="40">
        <f>IF((ABS($U7)&gt;Defaults!D$7),1,2)</f>
        <v>1</v>
      </c>
      <c r="K7" s="39">
        <f>IF((AND(N7&gt;Defaults!B$12,(N7+O7)&gt;Defaults!B$13, P7 &gt; Defaults!B$12, (P7+Q7) &gt; Defaults!B$13)),1,20)</f>
        <v>1</v>
      </c>
      <c r="L7" s="1">
        <f>(J7*K7+L$6)-1</f>
        <v>1</v>
      </c>
      <c r="M7" s="1" t="b">
        <f t="shared" ref="M7:M15" si="0">(ISNUMBER(J7))</f>
        <v>1</v>
      </c>
      <c r="N7" s="42">
        <f t="shared" ref="N7:N15" si="1">E7</f>
        <v>266</v>
      </c>
      <c r="O7" s="42">
        <f>E6-E7</f>
        <v>8572</v>
      </c>
      <c r="P7" s="42">
        <f t="shared" ref="P7:P15" si="2">C7</f>
        <v>205</v>
      </c>
      <c r="Q7" s="42">
        <f>C6-C7</f>
        <v>38324</v>
      </c>
      <c r="R7" s="42">
        <f t="shared" ref="R7:R15" si="3">SUM(N7:Q7)</f>
        <v>47367</v>
      </c>
      <c r="S7" s="30">
        <f t="shared" ref="S7:S15" si="4">R7*((((N7*Q7)-(O7*P7))^2))</f>
        <v>3.3716629483189837E+18</v>
      </c>
      <c r="T7" s="30">
        <f t="shared" ref="T7:T15" si="5">(N7+O7)*(P7+Q7)*(N7+P7)*(O7+Q7)</f>
        <v>7521395790884832</v>
      </c>
      <c r="U7" s="31">
        <f t="shared" ref="U7:U15" si="6">IF((S7&gt;0),S7/T7,"- -")</f>
        <v>448.27622984620712</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266.05</v>
      </c>
      <c r="P8" s="42">
        <f t="shared" si="2"/>
        <v>0</v>
      </c>
      <c r="Q8" s="42">
        <f>(C$67*L67)-C8</f>
        <v>204.99999999999997</v>
      </c>
      <c r="R8" s="42">
        <f t="shared" si="3"/>
        <v>471.04999999999995</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266</v>
      </c>
      <c r="P9" s="42">
        <f t="shared" si="2"/>
        <v>0</v>
      </c>
      <c r="Q9" s="42">
        <f>(C$68*L68)-C9</f>
        <v>204.99999999999997</v>
      </c>
      <c r="R9" s="42">
        <f t="shared" si="3"/>
        <v>471</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266</v>
      </c>
      <c r="P10" s="42">
        <f t="shared" si="2"/>
        <v>0</v>
      </c>
      <c r="Q10" s="42">
        <f>(C$68*L68)-C10</f>
        <v>204.99999999999997</v>
      </c>
      <c r="R10" s="42">
        <f t="shared" si="3"/>
        <v>471</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266</v>
      </c>
      <c r="P11" s="42">
        <f t="shared" si="2"/>
        <v>0</v>
      </c>
      <c r="Q11" s="42">
        <f>(C$68*L68)-C11</f>
        <v>204.99999999999997</v>
      </c>
      <c r="R11" s="42">
        <f t="shared" si="3"/>
        <v>471</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266</v>
      </c>
      <c r="P12" s="42">
        <f t="shared" si="2"/>
        <v>0</v>
      </c>
      <c r="Q12" s="42">
        <f>(C69*L69)-C12</f>
        <v>204.99999999999997</v>
      </c>
      <c r="R12" s="42">
        <f t="shared" si="3"/>
        <v>471</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266</v>
      </c>
      <c r="P13" s="42">
        <f t="shared" si="2"/>
        <v>0</v>
      </c>
      <c r="Q13" s="42">
        <f>(C70*L70)-C13</f>
        <v>204.99999999999997</v>
      </c>
      <c r="R13" s="42">
        <f t="shared" si="3"/>
        <v>471</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266</v>
      </c>
      <c r="P14" s="42">
        <f t="shared" si="2"/>
        <v>0</v>
      </c>
      <c r="Q14" s="42">
        <f>(C70*L70)-C14</f>
        <v>204.99999999999997</v>
      </c>
      <c r="R14" s="42">
        <f t="shared" si="3"/>
        <v>471</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266</v>
      </c>
      <c r="P15" s="42">
        <f t="shared" si="2"/>
        <v>0</v>
      </c>
      <c r="Q15" s="42">
        <f>(C69*L69)-C15</f>
        <v>204.99999999999997</v>
      </c>
      <c r="R15" s="42">
        <f t="shared" si="3"/>
        <v>471</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38.529000000000003</v>
      </c>
      <c r="D42" s="56">
        <f>E6/1000</f>
        <v>8.8379999999999992</v>
      </c>
      <c r="E42" s="56">
        <f>MAX(C42:D42)</f>
        <v>38.529000000000003</v>
      </c>
      <c r="G42" s="1" t="str">
        <f>B42</f>
        <v>per 1000 youth</v>
      </c>
      <c r="L42" s="57">
        <v>1000</v>
      </c>
      <c r="M42" s="57"/>
      <c r="R42" s="49"/>
    </row>
    <row r="43" spans="2:18" ht="15" hidden="1" customHeight="1" x14ac:dyDescent="0.25">
      <c r="B43" s="49" t="s">
        <v>87</v>
      </c>
      <c r="C43" s="56">
        <f>C7/100</f>
        <v>2.0499999999999998</v>
      </c>
      <c r="D43" s="56">
        <f>E7/100</f>
        <v>2.66</v>
      </c>
      <c r="E43" s="56">
        <f>MAX(C43:D43,0)</f>
        <v>2.66</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38.529000000000003</v>
      </c>
      <c r="D48" s="56">
        <f>D42</f>
        <v>8.8379999999999992</v>
      </c>
      <c r="E48" s="56">
        <f>MAX(C48:D48)</f>
        <v>38.529000000000003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2.0499999999999998</v>
      </c>
      <c r="D49" s="49">
        <f t="shared" si="9"/>
        <v>2.66</v>
      </c>
      <c r="E49" s="49">
        <f>MAX(C49:D49)</f>
        <v>2.66</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2.0499999999999998</v>
      </c>
      <c r="D50" s="49">
        <f t="shared" si="9"/>
        <v>2.66</v>
      </c>
      <c r="E50" s="49">
        <f>MAX(C50:D50)</f>
        <v>2.66</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38.529000000000003</v>
      </c>
      <c r="D54" s="56">
        <f>D48</f>
        <v>8.8379999999999992</v>
      </c>
      <c r="E54" s="56">
        <f>MAX(C54:D54)</f>
        <v>38.529000000000003</v>
      </c>
      <c r="G54" s="1" t="str">
        <f>G48</f>
        <v>per 1000 youth</v>
      </c>
      <c r="L54" s="58">
        <f>L48</f>
        <v>1000</v>
      </c>
      <c r="M54" s="58"/>
    </row>
    <row r="55" spans="2:18" ht="15" hidden="1" customHeight="1" x14ac:dyDescent="0.25">
      <c r="B55" s="49" t="str">
        <f t="shared" ref="B55:D56" si="10">IF(($E49&gt;0),B49,B48)</f>
        <v>per 100 arrests</v>
      </c>
      <c r="C55" s="49">
        <f t="shared" si="10"/>
        <v>2.0499999999999998</v>
      </c>
      <c r="D55" s="49">
        <f t="shared" si="10"/>
        <v>2.66</v>
      </c>
      <c r="E55" s="49">
        <f>MAX(C55:D55)</f>
        <v>2.66</v>
      </c>
      <c r="G55" s="1" t="str">
        <f>G49</f>
        <v>per 100 arrests</v>
      </c>
      <c r="L55" s="58">
        <f>IF(($E49&gt;0),L49,L48)</f>
        <v>100</v>
      </c>
      <c r="M55" s="58"/>
    </row>
    <row r="56" spans="2:18" ht="15" hidden="1" customHeight="1" x14ac:dyDescent="0.25">
      <c r="B56" s="49" t="str">
        <f t="shared" si="10"/>
        <v>per 100 arrests</v>
      </c>
      <c r="C56" s="49">
        <f t="shared" si="10"/>
        <v>2.0499999999999998</v>
      </c>
      <c r="D56" s="49">
        <f t="shared" si="10"/>
        <v>2.66</v>
      </c>
      <c r="E56" s="49">
        <f>MAX(C56:D56)</f>
        <v>2.66</v>
      </c>
      <c r="G56" s="1" t="str">
        <f>G50</f>
        <v>per 100 referrals</v>
      </c>
      <c r="L56" s="58">
        <f>IF(($E50&gt;0),L50,L49)</f>
        <v>100</v>
      </c>
      <c r="M56" s="58"/>
    </row>
    <row r="57" spans="2:18" ht="15" hidden="1" customHeight="1" x14ac:dyDescent="0.25">
      <c r="B57" s="49" t="str">
        <f>IF(($E51&gt;0),B51,B49)</f>
        <v>per 100 arrests</v>
      </c>
      <c r="C57" s="49">
        <f>IF(($E51&gt;0),C51,C50)</f>
        <v>2.0499999999999998</v>
      </c>
      <c r="D57" s="49">
        <f>IF(($E51&gt;0),D51,D50)</f>
        <v>2.66</v>
      </c>
      <c r="E57" s="49">
        <f>MAX(C57:D57)</f>
        <v>2.66</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38.529000000000003</v>
      </c>
      <c r="D60" s="56">
        <f>D54</f>
        <v>8.8379999999999992</v>
      </c>
      <c r="E60" s="56">
        <f>MAX(C60:D60)</f>
        <v>38.529000000000003</v>
      </c>
      <c r="G60" s="1" t="str">
        <f>G54</f>
        <v>per 1000 youth</v>
      </c>
      <c r="L60" s="58">
        <f>L54</f>
        <v>1000</v>
      </c>
      <c r="M60" s="58"/>
    </row>
    <row r="61" spans="2:18" ht="15" hidden="1" customHeight="1" x14ac:dyDescent="0.25">
      <c r="B61" s="49" t="str">
        <f t="shared" ref="B61:D62" si="11">IF(($E55&gt;0),B55,B54)</f>
        <v>per 100 arrests</v>
      </c>
      <c r="C61" s="49">
        <f t="shared" si="11"/>
        <v>2.0499999999999998</v>
      </c>
      <c r="D61" s="49">
        <f t="shared" si="11"/>
        <v>2.66</v>
      </c>
      <c r="E61" s="49">
        <f>MAX(C61:D61)</f>
        <v>2.66</v>
      </c>
      <c r="G61" s="1" t="str">
        <f>G55</f>
        <v>per 100 arrests</v>
      </c>
      <c r="L61" s="58">
        <f>IF(($E55&gt;0),L55,L54)</f>
        <v>100</v>
      </c>
      <c r="M61" s="58"/>
    </row>
    <row r="62" spans="2:18" ht="15" hidden="1" customHeight="1" x14ac:dyDescent="0.25">
      <c r="B62" s="49" t="str">
        <f t="shared" si="11"/>
        <v>per 100 arrests</v>
      </c>
      <c r="C62" s="49">
        <f t="shared" si="11"/>
        <v>2.0499999999999998</v>
      </c>
      <c r="D62" s="49">
        <f t="shared" si="11"/>
        <v>2.66</v>
      </c>
      <c r="E62" s="49">
        <f>MAX(C62:D62)</f>
        <v>2.66</v>
      </c>
      <c r="G62" s="1" t="str">
        <f>G56</f>
        <v>per 100 referrals</v>
      </c>
      <c r="L62" s="58">
        <f>IF(($E56&gt;0),L56,L55)</f>
        <v>100</v>
      </c>
      <c r="M62" s="58"/>
    </row>
    <row r="63" spans="2:18" ht="15" hidden="1" customHeight="1" x14ac:dyDescent="0.25">
      <c r="B63" s="49" t="str">
        <f>IF(($E57&gt;0),B57,B55)</f>
        <v>per 100 arrests</v>
      </c>
      <c r="C63" s="49">
        <f>IF(($E57&gt;0),C57,C56)</f>
        <v>2.0499999999999998</v>
      </c>
      <c r="D63" s="49">
        <f>IF(($E57&gt;0),D57,D56)</f>
        <v>2.66</v>
      </c>
      <c r="E63" s="49">
        <f>MAX(C63:D63)</f>
        <v>2.66</v>
      </c>
      <c r="G63" s="1" t="str">
        <f>G57</f>
        <v>per 100 youth petitioned</v>
      </c>
      <c r="L63" s="58">
        <f>IF(($E57&gt;0),L57,L56)</f>
        <v>100</v>
      </c>
      <c r="M63" s="58"/>
    </row>
    <row r="64" spans="2:18" ht="15" hidden="1" customHeight="1" x14ac:dyDescent="0.25">
      <c r="B64" s="49" t="str">
        <f>IF(($E58&gt;0),B58,B57)</f>
        <v>per 100 arrests</v>
      </c>
      <c r="C64" s="49">
        <f>IF(($E58&gt;0),C58,C57)</f>
        <v>2.0499999999999998</v>
      </c>
      <c r="D64" s="49">
        <f>IF(($E58&gt;0),D58,D57)</f>
        <v>2.66</v>
      </c>
      <c r="E64" s="56">
        <f>MAX(C64:D64)</f>
        <v>2.66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38.529000000000003</v>
      </c>
      <c r="D66" s="56">
        <f>D60</f>
        <v>8.8379999999999992</v>
      </c>
      <c r="E66" s="56">
        <f>MAX(C66:D66)</f>
        <v>38.529000000000003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2.0499999999999998</v>
      </c>
      <c r="D67" s="49">
        <f t="shared" si="12"/>
        <v>2.66</v>
      </c>
      <c r="E67" s="49">
        <f>MAX(C67:D67)</f>
        <v>2.66</v>
      </c>
      <c r="G67" s="1" t="str">
        <f>G61</f>
        <v>per 100 arrests</v>
      </c>
      <c r="L67" s="58">
        <f>IF(($E61&gt;0),L61,L60)</f>
        <v>100</v>
      </c>
      <c r="M67" s="58">
        <f>IF((B67=G67),1,2)</f>
        <v>1</v>
      </c>
    </row>
    <row r="68" spans="2:13" ht="15" hidden="1" customHeight="1" x14ac:dyDescent="0.25">
      <c r="B68" s="49" t="str">
        <f t="shared" si="12"/>
        <v>per 100 arrests</v>
      </c>
      <c r="C68" s="49">
        <f t="shared" si="12"/>
        <v>2.0499999999999998</v>
      </c>
      <c r="D68" s="49">
        <f t="shared" si="12"/>
        <v>2.66</v>
      </c>
      <c r="E68" s="49">
        <f>MAX(C68:D68)</f>
        <v>2.66</v>
      </c>
      <c r="G68" s="1" t="str">
        <f>G62</f>
        <v>per 100 referrals</v>
      </c>
      <c r="L68" s="58">
        <f>IF(($E62&gt;0),L62,L61)</f>
        <v>100</v>
      </c>
      <c r="M68" s="58">
        <f>IF((B68=G68),1,2)</f>
        <v>2</v>
      </c>
    </row>
    <row r="69" spans="2:13" ht="15" hidden="1" customHeight="1" x14ac:dyDescent="0.25">
      <c r="B69" s="49" t="str">
        <f>IF(($E63&gt;0),B63,B61)</f>
        <v>per 100 arrests</v>
      </c>
      <c r="C69" s="49">
        <f>IF(($E63&gt;0),C63,C62)</f>
        <v>2.0499999999999998</v>
      </c>
      <c r="D69" s="49">
        <f>IF(($E63&gt;0),D63,D62)</f>
        <v>2.66</v>
      </c>
      <c r="E69" s="49">
        <f>MAX(C69:D69)</f>
        <v>2.66</v>
      </c>
      <c r="G69" s="1" t="str">
        <f>G63</f>
        <v>per 100 youth petitioned</v>
      </c>
      <c r="L69" s="58">
        <f>IF(($E63&gt;0),L63,L62)</f>
        <v>100</v>
      </c>
      <c r="M69" s="58">
        <f>IF((B69=G69),1,2)</f>
        <v>2</v>
      </c>
    </row>
    <row r="70" spans="2:13" ht="15" hidden="1" customHeight="1" x14ac:dyDescent="0.25">
      <c r="B70" s="49" t="str">
        <f>IF(($E64&gt;0),B64,B63)</f>
        <v>per 100 arrests</v>
      </c>
      <c r="C70" s="49">
        <f>IF(($E64&gt;0),C64,C63)</f>
        <v>2.0499999999999998</v>
      </c>
      <c r="D70" s="49">
        <f>IF(($E64&gt;0),D64,D63)</f>
        <v>2.66</v>
      </c>
      <c r="E70" s="56">
        <f>MAX(C70:D70)</f>
        <v>2.66</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Kent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38529</v>
      </c>
      <c r="D6" s="34"/>
      <c r="E6" s="33">
        <f>'Data Entry'!F6</f>
        <v>2540</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205</v>
      </c>
      <c r="D7" s="34">
        <f>IF((AND(C66&gt;0,C7&gt;0)),(C7/C66),0)</f>
        <v>5.3206675491188449</v>
      </c>
      <c r="E7" s="33">
        <f>'Data Entry'!F7</f>
        <v>3</v>
      </c>
      <c r="F7" s="34">
        <f>IF((AND($E$7&gt;0,$D$66&gt;0)),($E$7/$D$66),0)</f>
        <v>1.1811023622047243</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3</v>
      </c>
      <c r="O7" s="42">
        <f>E6-E7</f>
        <v>2537</v>
      </c>
      <c r="P7" s="42">
        <f t="shared" ref="P7:P15" si="4">C7</f>
        <v>205</v>
      </c>
      <c r="Q7" s="42">
        <f>C6-C7</f>
        <v>38324</v>
      </c>
      <c r="R7" s="42">
        <f t="shared" ref="R7:R15" si="5">SUM(N7:Q7)</f>
        <v>41069</v>
      </c>
      <c r="S7" s="30">
        <f t="shared" ref="S7:S15" si="6">R7*((((N7*Q7)-(O7*P7))^2))</f>
        <v>6740102294980061</v>
      </c>
      <c r="T7" s="30">
        <f t="shared" ref="T7:T15" si="7">(N7+O7)*(P7+Q7)*(N7+P7)*(O7+Q7)</f>
        <v>831751858342080</v>
      </c>
      <c r="U7" s="31">
        <f t="shared" ref="U7:U15" si="8">IF((S7&gt;0),S7/T7,"- -")</f>
        <v>8.1035013356207202</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3.05</v>
      </c>
      <c r="P8" s="42">
        <f t="shared" si="4"/>
        <v>0</v>
      </c>
      <c r="Q8" s="42">
        <f>(C$67*L67)-C8</f>
        <v>204.99999999999997</v>
      </c>
      <c r="R8" s="42">
        <f t="shared" si="5"/>
        <v>208.04999999999998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204.99999999999997</v>
      </c>
      <c r="R9" s="42">
        <f t="shared" si="5"/>
        <v>207.99999999999997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204.99999999999997</v>
      </c>
      <c r="R10" s="42">
        <f t="shared" si="5"/>
        <v>207.99999999999997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v>
      </c>
      <c r="P11" s="42">
        <f t="shared" si="4"/>
        <v>0</v>
      </c>
      <c r="Q11" s="42">
        <f>(C$68*L68)-C11</f>
        <v>204.99999999999997</v>
      </c>
      <c r="R11" s="42">
        <f t="shared" si="5"/>
        <v>207.99999999999997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3</v>
      </c>
      <c r="P12" s="42">
        <f t="shared" si="4"/>
        <v>0</v>
      </c>
      <c r="Q12" s="42">
        <f>(C69*L69)-C12</f>
        <v>204.99999999999997</v>
      </c>
      <c r="R12" s="42">
        <f t="shared" si="5"/>
        <v>207.99999999999997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v>
      </c>
      <c r="P13" s="42">
        <f t="shared" si="4"/>
        <v>0</v>
      </c>
      <c r="Q13" s="42">
        <f>(C70*L70)-C13</f>
        <v>204.99999999999997</v>
      </c>
      <c r="R13" s="42">
        <f t="shared" si="5"/>
        <v>207.99999999999997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v>
      </c>
      <c r="P14" s="42">
        <f t="shared" si="4"/>
        <v>0</v>
      </c>
      <c r="Q14" s="42">
        <f>(C70*L70)-C14</f>
        <v>204.99999999999997</v>
      </c>
      <c r="R14" s="42">
        <f t="shared" si="5"/>
        <v>207.99999999999997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204.99999999999997</v>
      </c>
      <c r="R15" s="42">
        <f t="shared" si="5"/>
        <v>207.99999999999997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38.529000000000003</v>
      </c>
      <c r="D42" s="56">
        <f>E6/1000</f>
        <v>2.54</v>
      </c>
      <c r="E42" s="56">
        <f>MAX(C42:D42)</f>
        <v>38.529000000000003</v>
      </c>
      <c r="G42" s="1" t="str">
        <f>B42</f>
        <v>per 1000 youth</v>
      </c>
      <c r="L42" s="57">
        <v>1000</v>
      </c>
      <c r="M42" s="57"/>
      <c r="R42" s="49"/>
    </row>
    <row r="43" spans="2:18" ht="15" hidden="1" customHeight="1" x14ac:dyDescent="0.25">
      <c r="B43" s="49" t="s">
        <v>87</v>
      </c>
      <c r="C43" s="56">
        <f>C7/100</f>
        <v>2.0499999999999998</v>
      </c>
      <c r="D43" s="56">
        <f>E7/100</f>
        <v>0.03</v>
      </c>
      <c r="E43" s="56">
        <f>MAX(C43:D43,0)</f>
        <v>2.0499999999999998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38.529000000000003</v>
      </c>
      <c r="D48" s="56">
        <f>D42</f>
        <v>2.54</v>
      </c>
      <c r="E48" s="56">
        <f>MAX(C48:D48)</f>
        <v>38.529000000000003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2.0499999999999998</v>
      </c>
      <c r="D49" s="49">
        <f t="shared" si="9"/>
        <v>0.03</v>
      </c>
      <c r="E49" s="49">
        <f>MAX(C49:D49)</f>
        <v>2.0499999999999998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2.0499999999999998</v>
      </c>
      <c r="D50" s="49">
        <f t="shared" si="9"/>
        <v>0.03</v>
      </c>
      <c r="E50" s="49">
        <f>MAX(C50:D50)</f>
        <v>2.0499999999999998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38.529000000000003</v>
      </c>
      <c r="D54" s="56">
        <f>D48</f>
        <v>2.54</v>
      </c>
      <c r="E54" s="56">
        <f>MAX(C54:D54)</f>
        <v>38.529000000000003</v>
      </c>
      <c r="G54" s="1" t="str">
        <f>G48</f>
        <v>per 1000 youth</v>
      </c>
      <c r="L54" s="58">
        <f>L48</f>
        <v>1000</v>
      </c>
      <c r="M54" s="58"/>
    </row>
    <row r="55" spans="2:18" ht="15" hidden="1" customHeight="1" x14ac:dyDescent="0.25">
      <c r="B55" s="49" t="str">
        <f t="shared" ref="B55:D56" si="10">IF(($E49&gt;0),B49,B48)</f>
        <v>per 100 arrests</v>
      </c>
      <c r="C55" s="49">
        <f t="shared" si="10"/>
        <v>2.0499999999999998</v>
      </c>
      <c r="D55" s="49">
        <f t="shared" si="10"/>
        <v>0.03</v>
      </c>
      <c r="E55" s="49">
        <f>MAX(C55:D55)</f>
        <v>2.0499999999999998</v>
      </c>
      <c r="G55" s="1" t="str">
        <f>G49</f>
        <v>per 100 arrests</v>
      </c>
      <c r="L55" s="58">
        <f>IF(($E49&gt;0),L49,L48)</f>
        <v>100</v>
      </c>
      <c r="M55" s="58"/>
    </row>
    <row r="56" spans="2:18" ht="15" hidden="1" customHeight="1" x14ac:dyDescent="0.25">
      <c r="B56" s="49" t="str">
        <f t="shared" si="10"/>
        <v>per 100 arrests</v>
      </c>
      <c r="C56" s="49">
        <f t="shared" si="10"/>
        <v>2.0499999999999998</v>
      </c>
      <c r="D56" s="49">
        <f t="shared" si="10"/>
        <v>0.03</v>
      </c>
      <c r="E56" s="49">
        <f>MAX(C56:D56)</f>
        <v>2.0499999999999998</v>
      </c>
      <c r="G56" s="1" t="str">
        <f>G50</f>
        <v>per 100 referrals</v>
      </c>
      <c r="L56" s="58">
        <f>IF(($E50&gt;0),L50,L49)</f>
        <v>100</v>
      </c>
      <c r="M56" s="58"/>
    </row>
    <row r="57" spans="2:18" ht="15" hidden="1" customHeight="1" x14ac:dyDescent="0.25">
      <c r="B57" s="49" t="str">
        <f>IF(($E51&gt;0),B51,B49)</f>
        <v>per 100 arrests</v>
      </c>
      <c r="C57" s="49">
        <f>IF(($E51&gt;0),C51,C50)</f>
        <v>2.0499999999999998</v>
      </c>
      <c r="D57" s="49">
        <f>IF(($E51&gt;0),D51,D50)</f>
        <v>0.03</v>
      </c>
      <c r="E57" s="49">
        <f>MAX(C57:D57)</f>
        <v>2.0499999999999998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38.529000000000003</v>
      </c>
      <c r="D60" s="56">
        <f>D54</f>
        <v>2.54</v>
      </c>
      <c r="E60" s="56">
        <f>MAX(C60:D60)</f>
        <v>38.529000000000003</v>
      </c>
      <c r="G60" s="1" t="str">
        <f>G54</f>
        <v>per 1000 youth</v>
      </c>
      <c r="L60" s="58">
        <f>L54</f>
        <v>1000</v>
      </c>
      <c r="M60" s="58"/>
    </row>
    <row r="61" spans="2:18" ht="15" hidden="1" customHeight="1" x14ac:dyDescent="0.25">
      <c r="B61" s="49" t="str">
        <f t="shared" ref="B61:D62" si="11">IF(($E55&gt;0),B55,B54)</f>
        <v>per 100 arrests</v>
      </c>
      <c r="C61" s="49">
        <f t="shared" si="11"/>
        <v>2.0499999999999998</v>
      </c>
      <c r="D61" s="49">
        <f t="shared" si="11"/>
        <v>0.03</v>
      </c>
      <c r="E61" s="49">
        <f>MAX(C61:D61)</f>
        <v>2.0499999999999998</v>
      </c>
      <c r="G61" s="1" t="str">
        <f>G55</f>
        <v>per 100 arrests</v>
      </c>
      <c r="L61" s="58">
        <f>IF(($E55&gt;0),L55,L54)</f>
        <v>100</v>
      </c>
      <c r="M61" s="58"/>
    </row>
    <row r="62" spans="2:18" ht="15" hidden="1" customHeight="1" x14ac:dyDescent="0.25">
      <c r="B62" s="49" t="str">
        <f t="shared" si="11"/>
        <v>per 100 arrests</v>
      </c>
      <c r="C62" s="49">
        <f t="shared" si="11"/>
        <v>2.0499999999999998</v>
      </c>
      <c r="D62" s="49">
        <f t="shared" si="11"/>
        <v>0.03</v>
      </c>
      <c r="E62" s="49">
        <f>MAX(C62:D62)</f>
        <v>2.0499999999999998</v>
      </c>
      <c r="G62" s="1" t="str">
        <f>G56</f>
        <v>per 100 referrals</v>
      </c>
      <c r="L62" s="58">
        <f>IF(($E56&gt;0),L56,L55)</f>
        <v>100</v>
      </c>
      <c r="M62" s="58"/>
    </row>
    <row r="63" spans="2:18" ht="15" hidden="1" customHeight="1" x14ac:dyDescent="0.25">
      <c r="B63" s="49" t="str">
        <f>IF(($E57&gt;0),B57,B55)</f>
        <v>per 100 arrests</v>
      </c>
      <c r="C63" s="49">
        <f>IF(($E57&gt;0),C57,C56)</f>
        <v>2.0499999999999998</v>
      </c>
      <c r="D63" s="49">
        <f>IF(($E57&gt;0),D57,D56)</f>
        <v>0.03</v>
      </c>
      <c r="E63" s="49">
        <f>MAX(C63:D63)</f>
        <v>2.0499999999999998</v>
      </c>
      <c r="G63" s="1" t="str">
        <f>G57</f>
        <v>per 100 youth petitioned</v>
      </c>
      <c r="L63" s="58">
        <f>IF(($E57&gt;0),L57,L56)</f>
        <v>100</v>
      </c>
      <c r="M63" s="58"/>
    </row>
    <row r="64" spans="2:18" ht="15" hidden="1" customHeight="1" x14ac:dyDescent="0.25">
      <c r="B64" s="49" t="str">
        <f>IF(($E58&gt;0),B58,B57)</f>
        <v>per 100 arrests</v>
      </c>
      <c r="C64" s="49">
        <f>IF(($E58&gt;0),C58,C57)</f>
        <v>2.0499999999999998</v>
      </c>
      <c r="D64" s="49">
        <f>IF(($E58&gt;0),D58,D57)</f>
        <v>0.03</v>
      </c>
      <c r="E64" s="56">
        <f>MAX(C64:D64)</f>
        <v>2.0499999999999998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38.529000000000003</v>
      </c>
      <c r="D66" s="56">
        <f>D60</f>
        <v>2.54</v>
      </c>
      <c r="E66" s="56">
        <f>MAX(C66:D66)</f>
        <v>38.529000000000003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2.0499999999999998</v>
      </c>
      <c r="D67" s="49">
        <f t="shared" si="12"/>
        <v>0.03</v>
      </c>
      <c r="E67" s="49">
        <f>MAX(C67:D67)</f>
        <v>2.0499999999999998</v>
      </c>
      <c r="G67" s="1" t="str">
        <f>G61</f>
        <v>per 100 arrests</v>
      </c>
      <c r="L67" s="58">
        <f>IF(($E61&gt;0),L61,L60)</f>
        <v>100</v>
      </c>
      <c r="M67" s="58">
        <f>IF((B67=G67),1,2)</f>
        <v>1</v>
      </c>
    </row>
    <row r="68" spans="2:13" ht="15" hidden="1" customHeight="1" x14ac:dyDescent="0.25">
      <c r="B68" s="49" t="str">
        <f t="shared" si="12"/>
        <v>per 100 arrests</v>
      </c>
      <c r="C68" s="49">
        <f t="shared" si="12"/>
        <v>2.0499999999999998</v>
      </c>
      <c r="D68" s="49">
        <f t="shared" si="12"/>
        <v>0.03</v>
      </c>
      <c r="E68" s="49">
        <f>MAX(C68:D68)</f>
        <v>2.0499999999999998</v>
      </c>
      <c r="G68" s="1" t="str">
        <f>G62</f>
        <v>per 100 referrals</v>
      </c>
      <c r="L68" s="58">
        <f>IF(($E62&gt;0),L62,L61)</f>
        <v>100</v>
      </c>
      <c r="M68" s="58">
        <f>IF((B68=G68),1,2)</f>
        <v>2</v>
      </c>
    </row>
    <row r="69" spans="2:13" ht="15" hidden="1" customHeight="1" x14ac:dyDescent="0.25">
      <c r="B69" s="49" t="str">
        <f>IF(($E63&gt;0),B63,B61)</f>
        <v>per 100 arrests</v>
      </c>
      <c r="C69" s="49">
        <f>IF(($E63&gt;0),C63,C62)</f>
        <v>2.0499999999999998</v>
      </c>
      <c r="D69" s="49">
        <f>IF(($E63&gt;0),D63,D62)</f>
        <v>0.03</v>
      </c>
      <c r="E69" s="49">
        <f>MAX(C69:D69)</f>
        <v>2.0499999999999998</v>
      </c>
      <c r="G69" s="1" t="str">
        <f>G63</f>
        <v>per 100 youth petitioned</v>
      </c>
      <c r="L69" s="58">
        <f>IF(($E63&gt;0),L63,L62)</f>
        <v>100</v>
      </c>
      <c r="M69" s="58">
        <f>IF((B69=G69),1,2)</f>
        <v>2</v>
      </c>
    </row>
    <row r="70" spans="2:13" ht="15" hidden="1" customHeight="1" x14ac:dyDescent="0.25">
      <c r="B70" s="49" t="str">
        <f>IF(($E64&gt;0),B64,B63)</f>
        <v>per 100 arrests</v>
      </c>
      <c r="C70" s="49">
        <f>IF(($E64&gt;0),C64,C63)</f>
        <v>2.0499999999999998</v>
      </c>
      <c r="D70" s="49">
        <f>IF(($E64&gt;0),D64,D63)</f>
        <v>0.03</v>
      </c>
      <c r="E70" s="56">
        <f>MAX(C70:D70)</f>
        <v>2.0499999999999998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Kent</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38529</v>
      </c>
      <c r="D6" s="34"/>
      <c r="E6" s="33">
        <f>'Data Entry'!E6</f>
        <v>11057</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205</v>
      </c>
      <c r="D7" s="34">
        <f>IF((AND(C66&gt;0,C7&gt;0)),(C7/C66),0)</f>
        <v>5.3206675491188449</v>
      </c>
      <c r="E7" s="33">
        <f>'Data Entry'!E7</f>
        <v>31</v>
      </c>
      <c r="F7" s="34">
        <f>IF((AND($E$7&gt;0,$D$66&gt;0)),($E$7/$D$66),0)</f>
        <v>2.8036537939766664</v>
      </c>
      <c r="G7" s="39">
        <f t="shared" ref="G7:G15" si="0">IF(L$6=100,"*",IF(M7=FALSE,"--",IF(K7=20,"**",($F7/$D7))))</f>
        <v>0.52693647330793658</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31</v>
      </c>
      <c r="O7" s="42">
        <f>E6-E7</f>
        <v>11026</v>
      </c>
      <c r="P7" s="42">
        <f t="shared" ref="P7:P15" si="4">C7</f>
        <v>205</v>
      </c>
      <c r="Q7" s="42">
        <f>C6-C7</f>
        <v>38324</v>
      </c>
      <c r="R7" s="42">
        <f t="shared" ref="R7:R15" si="5">SUM(N7:Q7)</f>
        <v>49586</v>
      </c>
      <c r="S7" s="30">
        <f t="shared" ref="S7:S15" si="6">R7*((((N7*Q7)-(O7*P7))^2))</f>
        <v>5.7013847221760456E+16</v>
      </c>
      <c r="T7" s="30">
        <f t="shared" ref="T7:T15" si="7">(N7+O7)*(P7+Q7)*(N7+P7)*(O7+Q7)</f>
        <v>4961628080929800</v>
      </c>
      <c r="U7" s="31">
        <f t="shared" ref="U7:U15" si="8">IF((S7&gt;0),S7/T7,"- -")</f>
        <v>11.490955446841184</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31.05</v>
      </c>
      <c r="P8" s="42">
        <f t="shared" si="4"/>
        <v>0</v>
      </c>
      <c r="Q8" s="42">
        <f>(C$67*L67)-C8</f>
        <v>204.99999999999997</v>
      </c>
      <c r="R8" s="42">
        <f t="shared" si="5"/>
        <v>236.04999999999998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31</v>
      </c>
      <c r="P9" s="42">
        <f t="shared" si="4"/>
        <v>0</v>
      </c>
      <c r="Q9" s="42">
        <f>(C$68*L68)-C9</f>
        <v>204.99999999999997</v>
      </c>
      <c r="R9" s="42">
        <f t="shared" si="5"/>
        <v>235.99999999999997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31</v>
      </c>
      <c r="P10" s="42">
        <f t="shared" si="4"/>
        <v>0</v>
      </c>
      <c r="Q10" s="42">
        <f>(C$68*L68)-C10</f>
        <v>204.99999999999997</v>
      </c>
      <c r="R10" s="42">
        <f t="shared" si="5"/>
        <v>235.99999999999997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31</v>
      </c>
      <c r="P11" s="42">
        <f t="shared" si="4"/>
        <v>0</v>
      </c>
      <c r="Q11" s="42">
        <f>(C$68*L68)-C11</f>
        <v>204.99999999999997</v>
      </c>
      <c r="R11" s="42">
        <f t="shared" si="5"/>
        <v>235.99999999999997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31</v>
      </c>
      <c r="P12" s="42">
        <f t="shared" si="4"/>
        <v>0</v>
      </c>
      <c r="Q12" s="42">
        <f>(C69*L69)-C12</f>
        <v>204.99999999999997</v>
      </c>
      <c r="R12" s="42">
        <f t="shared" si="5"/>
        <v>235.99999999999997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31</v>
      </c>
      <c r="P13" s="42">
        <f t="shared" si="4"/>
        <v>0</v>
      </c>
      <c r="Q13" s="42">
        <f>(C70*L70)-C13</f>
        <v>204.99999999999997</v>
      </c>
      <c r="R13" s="42">
        <f t="shared" si="5"/>
        <v>235.99999999999997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31</v>
      </c>
      <c r="P14" s="42">
        <f t="shared" si="4"/>
        <v>0</v>
      </c>
      <c r="Q14" s="42">
        <f>(C70*L70)-C14</f>
        <v>204.99999999999997</v>
      </c>
      <c r="R14" s="42">
        <f t="shared" si="5"/>
        <v>235.99999999999997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31</v>
      </c>
      <c r="P15" s="42">
        <f t="shared" si="4"/>
        <v>0</v>
      </c>
      <c r="Q15" s="42">
        <f>(C69*L69)-C15</f>
        <v>204.99999999999997</v>
      </c>
      <c r="R15" s="42">
        <f t="shared" si="5"/>
        <v>235.99999999999997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38.529000000000003</v>
      </c>
      <c r="D42" s="56">
        <f>E6/1000</f>
        <v>11.057</v>
      </c>
      <c r="E42" s="56">
        <f>MAX(C42:D42)</f>
        <v>38.529000000000003</v>
      </c>
      <c r="G42" s="1" t="str">
        <f>B42</f>
        <v>per 1000 youth</v>
      </c>
      <c r="L42" s="57">
        <v>1000</v>
      </c>
      <c r="M42" s="57"/>
      <c r="R42" s="49"/>
    </row>
    <row r="43" spans="2:18" ht="15" hidden="1" customHeight="1" x14ac:dyDescent="0.25">
      <c r="B43" s="49" t="s">
        <v>87</v>
      </c>
      <c r="C43" s="56">
        <f>C7/100</f>
        <v>2.0499999999999998</v>
      </c>
      <c r="D43" s="56">
        <f>E7/100</f>
        <v>0.31</v>
      </c>
      <c r="E43" s="56">
        <f>MAX(C43:D43,0)</f>
        <v>2.0499999999999998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38.529000000000003</v>
      </c>
      <c r="D48" s="56">
        <f>D42</f>
        <v>11.057</v>
      </c>
      <c r="E48" s="56">
        <f>MAX(C48:D48)</f>
        <v>38.529000000000003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2.0499999999999998</v>
      </c>
      <c r="D49" s="49">
        <f t="shared" si="9"/>
        <v>0.31</v>
      </c>
      <c r="E49" s="49">
        <f>MAX(C49:D49)</f>
        <v>2.0499999999999998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2.0499999999999998</v>
      </c>
      <c r="D50" s="49">
        <f t="shared" si="9"/>
        <v>0.31</v>
      </c>
      <c r="E50" s="49">
        <f>MAX(C50:D50)</f>
        <v>2.0499999999999998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38.529000000000003</v>
      </c>
      <c r="D54" s="56">
        <f>D48</f>
        <v>11.057</v>
      </c>
      <c r="E54" s="56">
        <f>MAX(C54:D54)</f>
        <v>38.529000000000003</v>
      </c>
      <c r="G54" s="1" t="str">
        <f>G48</f>
        <v>per 1000 youth</v>
      </c>
      <c r="L54" s="58">
        <f>L48</f>
        <v>1000</v>
      </c>
      <c r="M54" s="58"/>
    </row>
    <row r="55" spans="2:18" ht="15" hidden="1" customHeight="1" x14ac:dyDescent="0.25">
      <c r="B55" s="49" t="str">
        <f t="shared" ref="B55:D56" si="10">IF(($E49&gt;0),B49,B48)</f>
        <v>per 100 arrests</v>
      </c>
      <c r="C55" s="49">
        <f t="shared" si="10"/>
        <v>2.0499999999999998</v>
      </c>
      <c r="D55" s="49">
        <f t="shared" si="10"/>
        <v>0.31</v>
      </c>
      <c r="E55" s="49">
        <f>MAX(C55:D55)</f>
        <v>2.0499999999999998</v>
      </c>
      <c r="G55" s="1" t="str">
        <f>G49</f>
        <v>per 100 arrests</v>
      </c>
      <c r="L55" s="58">
        <f>IF(($E49&gt;0),L49,L48)</f>
        <v>100</v>
      </c>
      <c r="M55" s="58"/>
    </row>
    <row r="56" spans="2:18" ht="15" hidden="1" customHeight="1" x14ac:dyDescent="0.25">
      <c r="B56" s="49" t="str">
        <f t="shared" si="10"/>
        <v>per 100 arrests</v>
      </c>
      <c r="C56" s="49">
        <f t="shared" si="10"/>
        <v>2.0499999999999998</v>
      </c>
      <c r="D56" s="49">
        <f t="shared" si="10"/>
        <v>0.31</v>
      </c>
      <c r="E56" s="49">
        <f>MAX(C56:D56)</f>
        <v>2.0499999999999998</v>
      </c>
      <c r="G56" s="1" t="str">
        <f>G50</f>
        <v>per 100 referrals</v>
      </c>
      <c r="L56" s="58">
        <f>IF(($E50&gt;0),L50,L49)</f>
        <v>100</v>
      </c>
      <c r="M56" s="58"/>
    </row>
    <row r="57" spans="2:18" ht="15" hidden="1" customHeight="1" x14ac:dyDescent="0.25">
      <c r="B57" s="49" t="str">
        <f>IF(($E51&gt;0),B51,B49)</f>
        <v>per 100 arrests</v>
      </c>
      <c r="C57" s="49">
        <f>IF(($E51&gt;0),C51,C50)</f>
        <v>2.0499999999999998</v>
      </c>
      <c r="D57" s="49">
        <f>IF(($E51&gt;0),D51,D50)</f>
        <v>0.31</v>
      </c>
      <c r="E57" s="49">
        <f>MAX(C57:D57)</f>
        <v>2.0499999999999998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38.529000000000003</v>
      </c>
      <c r="D60" s="56">
        <f>D54</f>
        <v>11.057</v>
      </c>
      <c r="E60" s="56">
        <f>MAX(C60:D60)</f>
        <v>38.529000000000003</v>
      </c>
      <c r="G60" s="1" t="str">
        <f>G54</f>
        <v>per 1000 youth</v>
      </c>
      <c r="L60" s="58">
        <f>L54</f>
        <v>1000</v>
      </c>
      <c r="M60" s="58"/>
    </row>
    <row r="61" spans="2:18" ht="15" hidden="1" customHeight="1" x14ac:dyDescent="0.25">
      <c r="B61" s="49" t="str">
        <f t="shared" ref="B61:D62" si="11">IF(($E55&gt;0),B55,B54)</f>
        <v>per 100 arrests</v>
      </c>
      <c r="C61" s="49">
        <f t="shared" si="11"/>
        <v>2.0499999999999998</v>
      </c>
      <c r="D61" s="49">
        <f t="shared" si="11"/>
        <v>0.31</v>
      </c>
      <c r="E61" s="49">
        <f>MAX(C61:D61)</f>
        <v>2.0499999999999998</v>
      </c>
      <c r="G61" s="1" t="str">
        <f>G55</f>
        <v>per 100 arrests</v>
      </c>
      <c r="L61" s="58">
        <f>IF(($E55&gt;0),L55,L54)</f>
        <v>100</v>
      </c>
      <c r="M61" s="58"/>
    </row>
    <row r="62" spans="2:18" ht="15" hidden="1" customHeight="1" x14ac:dyDescent="0.25">
      <c r="B62" s="49" t="str">
        <f t="shared" si="11"/>
        <v>per 100 arrests</v>
      </c>
      <c r="C62" s="49">
        <f t="shared" si="11"/>
        <v>2.0499999999999998</v>
      </c>
      <c r="D62" s="49">
        <f t="shared" si="11"/>
        <v>0.31</v>
      </c>
      <c r="E62" s="49">
        <f>MAX(C62:D62)</f>
        <v>2.0499999999999998</v>
      </c>
      <c r="G62" s="1" t="str">
        <f>G56</f>
        <v>per 100 referrals</v>
      </c>
      <c r="L62" s="58">
        <f>IF(($E56&gt;0),L56,L55)</f>
        <v>100</v>
      </c>
      <c r="M62" s="58"/>
    </row>
    <row r="63" spans="2:18" ht="15" hidden="1" customHeight="1" x14ac:dyDescent="0.25">
      <c r="B63" s="49" t="str">
        <f>IF(($E57&gt;0),B57,B55)</f>
        <v>per 100 arrests</v>
      </c>
      <c r="C63" s="49">
        <f>IF(($E57&gt;0),C57,C56)</f>
        <v>2.0499999999999998</v>
      </c>
      <c r="D63" s="49">
        <f>IF(($E57&gt;0),D57,D56)</f>
        <v>0.31</v>
      </c>
      <c r="E63" s="49">
        <f>MAX(C63:D63)</f>
        <v>2.0499999999999998</v>
      </c>
      <c r="G63" s="1" t="str">
        <f>G57</f>
        <v>per 100 youth petitioned</v>
      </c>
      <c r="L63" s="58">
        <f>IF(($E57&gt;0),L57,L56)</f>
        <v>100</v>
      </c>
      <c r="M63" s="58"/>
    </row>
    <row r="64" spans="2:18" ht="15" hidden="1" customHeight="1" x14ac:dyDescent="0.25">
      <c r="B64" s="49" t="str">
        <f>IF(($E58&gt;0),B58,B57)</f>
        <v>per 100 arrests</v>
      </c>
      <c r="C64" s="49">
        <f>IF(($E58&gt;0),C58,C57)</f>
        <v>2.0499999999999998</v>
      </c>
      <c r="D64" s="49">
        <f>IF(($E58&gt;0),D58,D57)</f>
        <v>0.31</v>
      </c>
      <c r="E64" s="56">
        <f>MAX(C64:D64)</f>
        <v>2.0499999999999998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38.529000000000003</v>
      </c>
      <c r="D66" s="56">
        <f>D60</f>
        <v>11.057</v>
      </c>
      <c r="E66" s="56">
        <f>MAX(C66:D66)</f>
        <v>38.529000000000003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2.0499999999999998</v>
      </c>
      <c r="D67" s="49">
        <f t="shared" si="12"/>
        <v>0.31</v>
      </c>
      <c r="E67" s="49">
        <f>MAX(C67:D67)</f>
        <v>2.0499999999999998</v>
      </c>
      <c r="G67" s="1" t="str">
        <f>G61</f>
        <v>per 100 arrests</v>
      </c>
      <c r="L67" s="58">
        <f>IF(($E61&gt;0),L61,L60)</f>
        <v>100</v>
      </c>
      <c r="M67" s="58">
        <f>IF((B67=G67),1,2)</f>
        <v>1</v>
      </c>
    </row>
    <row r="68" spans="2:13" ht="15" hidden="1" customHeight="1" x14ac:dyDescent="0.25">
      <c r="B68" s="49" t="str">
        <f t="shared" si="12"/>
        <v>per 100 arrests</v>
      </c>
      <c r="C68" s="49">
        <f t="shared" si="12"/>
        <v>2.0499999999999998</v>
      </c>
      <c r="D68" s="49">
        <f t="shared" si="12"/>
        <v>0.31</v>
      </c>
      <c r="E68" s="49">
        <f>MAX(C68:D68)</f>
        <v>2.0499999999999998</v>
      </c>
      <c r="G68" s="1" t="str">
        <f>G62</f>
        <v>per 100 referrals</v>
      </c>
      <c r="L68" s="58">
        <f>IF(($E62&gt;0),L62,L61)</f>
        <v>100</v>
      </c>
      <c r="M68" s="58">
        <f>IF((B68=G68),1,2)</f>
        <v>2</v>
      </c>
    </row>
    <row r="69" spans="2:13" ht="15" hidden="1" customHeight="1" x14ac:dyDescent="0.25">
      <c r="B69" s="49" t="str">
        <f>IF(($E63&gt;0),B63,B61)</f>
        <v>per 100 arrests</v>
      </c>
      <c r="C69" s="49">
        <f>IF(($E63&gt;0),C63,C62)</f>
        <v>2.0499999999999998</v>
      </c>
      <c r="D69" s="49">
        <f>IF(($E63&gt;0),D63,D62)</f>
        <v>0.31</v>
      </c>
      <c r="E69" s="49">
        <f>MAX(C69:D69)</f>
        <v>2.0499999999999998</v>
      </c>
      <c r="G69" s="1" t="str">
        <f>G63</f>
        <v>per 100 youth petitioned</v>
      </c>
      <c r="L69" s="58">
        <f>IF(($E63&gt;0),L63,L62)</f>
        <v>100</v>
      </c>
      <c r="M69" s="58">
        <f>IF((B69=G69),1,2)</f>
        <v>2</v>
      </c>
    </row>
    <row r="70" spans="2:13" ht="15" hidden="1" customHeight="1" x14ac:dyDescent="0.25">
      <c r="B70" s="49" t="str">
        <f>IF(($E64&gt;0),B64,B63)</f>
        <v>per 100 arrests</v>
      </c>
      <c r="C70" s="49">
        <f>IF(($E64&gt;0),C64,C63)</f>
        <v>2.0499999999999998</v>
      </c>
      <c r="D70" s="49">
        <f>IF(($E64&gt;0),D64,D63)</f>
        <v>0.31</v>
      </c>
      <c r="E70" s="56">
        <f>MAX(C70:D70)</f>
        <v>2.0499999999999998</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Kent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38529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205</v>
      </c>
      <c r="D7" s="34">
        <f>IF((AND(C66&gt;0,C7&gt;0)),(C7/C66),0)</f>
        <v>5.3206675491188449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205</v>
      </c>
      <c r="Q7" s="42">
        <f>C6-C7</f>
        <v>38324</v>
      </c>
      <c r="R7" s="42">
        <f t="shared" ref="R7:R15" si="5">SUM(N7:Q7)</f>
        <v>38529</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204.99999999999997</v>
      </c>
      <c r="R8" s="42">
        <f t="shared" si="5"/>
        <v>205.04999999999998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204.99999999999997</v>
      </c>
      <c r="R9" s="42">
        <f t="shared" si="5"/>
        <v>204.99999999999997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204.99999999999997</v>
      </c>
      <c r="R10" s="42">
        <f t="shared" si="5"/>
        <v>204.99999999999997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204.99999999999997</v>
      </c>
      <c r="R11" s="42">
        <f t="shared" si="5"/>
        <v>204.99999999999997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204.99999999999997</v>
      </c>
      <c r="R12" s="42">
        <f t="shared" si="5"/>
        <v>204.99999999999997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204.99999999999997</v>
      </c>
      <c r="R13" s="42">
        <f t="shared" si="5"/>
        <v>204.99999999999997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204.99999999999997</v>
      </c>
      <c r="R14" s="42">
        <f t="shared" si="5"/>
        <v>204.99999999999997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204.99999999999997</v>
      </c>
      <c r="R15" s="42">
        <f t="shared" si="5"/>
        <v>204.99999999999997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38.529000000000003</v>
      </c>
      <c r="D42" s="56">
        <f>E6/1000</f>
        <v>0</v>
      </c>
      <c r="E42" s="56">
        <f>MAX(C42:D42)</f>
        <v>38.529000000000003</v>
      </c>
      <c r="G42" s="1" t="str">
        <f>B42</f>
        <v>per 1000 youth</v>
      </c>
      <c r="L42" s="57">
        <v>1000</v>
      </c>
      <c r="M42" s="57"/>
      <c r="R42" s="49"/>
    </row>
    <row r="43" spans="2:18" ht="15" hidden="1" customHeight="1" x14ac:dyDescent="0.25">
      <c r="B43" s="49" t="s">
        <v>87</v>
      </c>
      <c r="C43" s="56">
        <f>C7/100</f>
        <v>2.0499999999999998</v>
      </c>
      <c r="D43" s="56">
        <f>E7/100</f>
        <v>0</v>
      </c>
      <c r="E43" s="56">
        <f>MAX(C43:D43,0)</f>
        <v>2.0499999999999998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38.529000000000003</v>
      </c>
      <c r="D48" s="56">
        <f>D42</f>
        <v>0</v>
      </c>
      <c r="E48" s="56">
        <f>MAX(C48:D48)</f>
        <v>38.529000000000003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2.0499999999999998</v>
      </c>
      <c r="D49" s="49">
        <f t="shared" si="9"/>
        <v>0</v>
      </c>
      <c r="E49" s="49">
        <f>MAX(C49:D49)</f>
        <v>2.0499999999999998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2.0499999999999998</v>
      </c>
      <c r="D50" s="49">
        <f t="shared" si="9"/>
        <v>0</v>
      </c>
      <c r="E50" s="49">
        <f>MAX(C50:D50)</f>
        <v>2.0499999999999998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38.529000000000003</v>
      </c>
      <c r="D54" s="56">
        <f>D48</f>
        <v>0</v>
      </c>
      <c r="E54" s="56">
        <f>MAX(C54:D54)</f>
        <v>38.529000000000003</v>
      </c>
      <c r="G54" s="1" t="str">
        <f>G48</f>
        <v>per 1000 youth</v>
      </c>
      <c r="L54" s="58">
        <f>L48</f>
        <v>1000</v>
      </c>
      <c r="M54" s="58"/>
    </row>
    <row r="55" spans="2:18" ht="15" hidden="1" customHeight="1" x14ac:dyDescent="0.25">
      <c r="B55" s="49" t="str">
        <f t="shared" ref="B55:D56" si="10">IF(($E49&gt;0),B49,B48)</f>
        <v>per 100 arrests</v>
      </c>
      <c r="C55" s="49">
        <f t="shared" si="10"/>
        <v>2.0499999999999998</v>
      </c>
      <c r="D55" s="49">
        <f t="shared" si="10"/>
        <v>0</v>
      </c>
      <c r="E55" s="49">
        <f>MAX(C55:D55)</f>
        <v>2.0499999999999998</v>
      </c>
      <c r="G55" s="1" t="str">
        <f>G49</f>
        <v>per 100 arrests</v>
      </c>
      <c r="L55" s="58">
        <f>IF(($E49&gt;0),L49,L48)</f>
        <v>100</v>
      </c>
      <c r="M55" s="58"/>
    </row>
    <row r="56" spans="2:18" ht="15" hidden="1" customHeight="1" x14ac:dyDescent="0.25">
      <c r="B56" s="49" t="str">
        <f t="shared" si="10"/>
        <v>per 100 arrests</v>
      </c>
      <c r="C56" s="49">
        <f t="shared" si="10"/>
        <v>2.0499999999999998</v>
      </c>
      <c r="D56" s="49">
        <f t="shared" si="10"/>
        <v>0</v>
      </c>
      <c r="E56" s="49">
        <f>MAX(C56:D56)</f>
        <v>2.0499999999999998</v>
      </c>
      <c r="G56" s="1" t="str">
        <f>G50</f>
        <v>per 100 referrals</v>
      </c>
      <c r="L56" s="58">
        <f>IF(($E50&gt;0),L50,L49)</f>
        <v>100</v>
      </c>
      <c r="M56" s="58"/>
    </row>
    <row r="57" spans="2:18" ht="15" hidden="1" customHeight="1" x14ac:dyDescent="0.25">
      <c r="B57" s="49" t="str">
        <f>IF(($E51&gt;0),B51,B49)</f>
        <v>per 100 arrests</v>
      </c>
      <c r="C57" s="49">
        <f>IF(($E51&gt;0),C51,C50)</f>
        <v>2.0499999999999998</v>
      </c>
      <c r="D57" s="49">
        <f>IF(($E51&gt;0),D51,D50)</f>
        <v>0</v>
      </c>
      <c r="E57" s="49">
        <f>MAX(C57:D57)</f>
        <v>2.0499999999999998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38.529000000000003</v>
      </c>
      <c r="D60" s="56">
        <f>D54</f>
        <v>0</v>
      </c>
      <c r="E60" s="56">
        <f>MAX(C60:D60)</f>
        <v>38.529000000000003</v>
      </c>
      <c r="G60" s="1" t="str">
        <f>G54</f>
        <v>per 1000 youth</v>
      </c>
      <c r="L60" s="58">
        <f>L54</f>
        <v>1000</v>
      </c>
      <c r="M60" s="58"/>
    </row>
    <row r="61" spans="2:18" ht="15" hidden="1" customHeight="1" x14ac:dyDescent="0.25">
      <c r="B61" s="49" t="str">
        <f t="shared" ref="B61:D62" si="11">IF(($E55&gt;0),B55,B54)</f>
        <v>per 100 arrests</v>
      </c>
      <c r="C61" s="49">
        <f t="shared" si="11"/>
        <v>2.0499999999999998</v>
      </c>
      <c r="D61" s="49">
        <f t="shared" si="11"/>
        <v>0</v>
      </c>
      <c r="E61" s="49">
        <f>MAX(C61:D61)</f>
        <v>2.0499999999999998</v>
      </c>
      <c r="G61" s="1" t="str">
        <f>G55</f>
        <v>per 100 arrests</v>
      </c>
      <c r="L61" s="58">
        <f>IF(($E55&gt;0),L55,L54)</f>
        <v>100</v>
      </c>
      <c r="M61" s="58"/>
    </row>
    <row r="62" spans="2:18" ht="15" hidden="1" customHeight="1" x14ac:dyDescent="0.25">
      <c r="B62" s="49" t="str">
        <f t="shared" si="11"/>
        <v>per 100 arrests</v>
      </c>
      <c r="C62" s="49">
        <f t="shared" si="11"/>
        <v>2.0499999999999998</v>
      </c>
      <c r="D62" s="49">
        <f t="shared" si="11"/>
        <v>0</v>
      </c>
      <c r="E62" s="49">
        <f>MAX(C62:D62)</f>
        <v>2.0499999999999998</v>
      </c>
      <c r="G62" s="1" t="str">
        <f>G56</f>
        <v>per 100 referrals</v>
      </c>
      <c r="L62" s="58">
        <f>IF(($E56&gt;0),L56,L55)</f>
        <v>100</v>
      </c>
      <c r="M62" s="58"/>
    </row>
    <row r="63" spans="2:18" ht="15" hidden="1" customHeight="1" x14ac:dyDescent="0.25">
      <c r="B63" s="49" t="str">
        <f>IF(($E57&gt;0),B57,B55)</f>
        <v>per 100 arrests</v>
      </c>
      <c r="C63" s="49">
        <f>IF(($E57&gt;0),C57,C56)</f>
        <v>2.0499999999999998</v>
      </c>
      <c r="D63" s="49">
        <f>IF(($E57&gt;0),D57,D56)</f>
        <v>0</v>
      </c>
      <c r="E63" s="49">
        <f>MAX(C63:D63)</f>
        <v>2.0499999999999998</v>
      </c>
      <c r="G63" s="1" t="str">
        <f>G57</f>
        <v>per 100 youth petitioned</v>
      </c>
      <c r="L63" s="58">
        <f>IF(($E57&gt;0),L57,L56)</f>
        <v>100</v>
      </c>
      <c r="M63" s="58"/>
    </row>
    <row r="64" spans="2:18" ht="15" hidden="1" customHeight="1" x14ac:dyDescent="0.25">
      <c r="B64" s="49" t="str">
        <f>IF(($E58&gt;0),B58,B57)</f>
        <v>per 100 arrests</v>
      </c>
      <c r="C64" s="49">
        <f>IF(($E58&gt;0),C58,C57)</f>
        <v>2.0499999999999998</v>
      </c>
      <c r="D64" s="49">
        <f>IF(($E58&gt;0),D58,D57)</f>
        <v>0</v>
      </c>
      <c r="E64" s="56">
        <f>MAX(C64:D64)</f>
        <v>2.0499999999999998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38.529000000000003</v>
      </c>
      <c r="D66" s="56">
        <f>D60</f>
        <v>0</v>
      </c>
      <c r="E66" s="56">
        <f>MAX(C66:D66)</f>
        <v>38.529000000000003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2.0499999999999998</v>
      </c>
      <c r="D67" s="49">
        <f t="shared" si="12"/>
        <v>0</v>
      </c>
      <c r="E67" s="49">
        <f>MAX(C67:D67)</f>
        <v>2.0499999999999998</v>
      </c>
      <c r="G67" s="1" t="str">
        <f>G61</f>
        <v>per 100 arrests</v>
      </c>
      <c r="L67" s="58">
        <f>IF(($E61&gt;0),L61,L60)</f>
        <v>100</v>
      </c>
      <c r="M67" s="58">
        <f>IF((B67=G67),1,2)</f>
        <v>1</v>
      </c>
    </row>
    <row r="68" spans="2:13" ht="15" hidden="1" customHeight="1" x14ac:dyDescent="0.25">
      <c r="B68" s="49" t="str">
        <f t="shared" si="12"/>
        <v>per 100 arrests</v>
      </c>
      <c r="C68" s="49">
        <f t="shared" si="12"/>
        <v>2.0499999999999998</v>
      </c>
      <c r="D68" s="49">
        <f t="shared" si="12"/>
        <v>0</v>
      </c>
      <c r="E68" s="49">
        <f>MAX(C68:D68)</f>
        <v>2.0499999999999998</v>
      </c>
      <c r="G68" s="1" t="str">
        <f>G62</f>
        <v>per 100 referrals</v>
      </c>
      <c r="L68" s="58">
        <f>IF(($E62&gt;0),L62,L61)</f>
        <v>100</v>
      </c>
      <c r="M68" s="58">
        <f>IF((B68=G68),1,2)</f>
        <v>2</v>
      </c>
    </row>
    <row r="69" spans="2:13" ht="15" hidden="1" customHeight="1" x14ac:dyDescent="0.25">
      <c r="B69" s="49" t="str">
        <f>IF(($E63&gt;0),B63,B61)</f>
        <v>per 100 arrests</v>
      </c>
      <c r="C69" s="49">
        <f>IF(($E63&gt;0),C63,C62)</f>
        <v>2.0499999999999998</v>
      </c>
      <c r="D69" s="49">
        <f>IF(($E63&gt;0),D63,D62)</f>
        <v>0</v>
      </c>
      <c r="E69" s="49">
        <f>MAX(C69:D69)</f>
        <v>2.0499999999999998</v>
      </c>
      <c r="G69" s="1" t="str">
        <f>G63</f>
        <v>per 100 youth petitioned</v>
      </c>
      <c r="L69" s="58">
        <f>IF(($E63&gt;0),L63,L62)</f>
        <v>100</v>
      </c>
      <c r="M69" s="58">
        <f>IF((B69=G69),1,2)</f>
        <v>2</v>
      </c>
    </row>
    <row r="70" spans="2:13" ht="15" hidden="1" customHeight="1" x14ac:dyDescent="0.25">
      <c r="B70" s="49" t="str">
        <f>IF(($E64&gt;0),B64,B63)</f>
        <v>per 100 arrests</v>
      </c>
      <c r="C70" s="49">
        <f>IF(($E64&gt;0),C64,C63)</f>
        <v>2.0499999999999998</v>
      </c>
      <c r="D70" s="49">
        <f>IF(($E64&gt;0),D64,D63)</f>
        <v>0</v>
      </c>
      <c r="E70" s="56">
        <f>MAX(C70:D70)</f>
        <v>2.0499999999999998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Kent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38529</v>
      </c>
      <c r="D6" s="34"/>
      <c r="E6" s="33">
        <f>'Data Entry'!H6</f>
        <v>256</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205</v>
      </c>
      <c r="D7" s="34">
        <f>IF((AND(C66&gt;0,C7&gt;0)),(C7/C66),0)</f>
        <v>5.3206675491188449</v>
      </c>
      <c r="E7" s="33">
        <f>'Data Entry'!H7</f>
        <v>3</v>
      </c>
      <c r="F7" s="34">
        <f>IF((AND($E$7&gt;0,$D$66&gt;0)),($E$7/$D$66),0)</f>
        <v>11.71875</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3</v>
      </c>
      <c r="O7" s="42">
        <f>E6-E7</f>
        <v>253</v>
      </c>
      <c r="P7" s="42">
        <f t="shared" ref="P7:P15" si="4">C7</f>
        <v>205</v>
      </c>
      <c r="Q7" s="42">
        <f>C6-C7</f>
        <v>38324</v>
      </c>
      <c r="R7" s="42">
        <f t="shared" ref="R7:R15" si="5">SUM(N7:Q7)</f>
        <v>38785</v>
      </c>
      <c r="S7" s="30">
        <f t="shared" ref="S7:S15" si="6">R7*((((N7*Q7)-(O7*P7))^2))</f>
        <v>154461008419465</v>
      </c>
      <c r="T7" s="30">
        <f t="shared" ref="T7:T15" si="7">(N7+O7)*(P7+Q7)*(N7+P7)*(O7+Q7)</f>
        <v>79144271990784</v>
      </c>
      <c r="U7" s="31">
        <f t="shared" ref="U7:U15" si="8">IF((S7&gt;0),S7/T7,"- -")</f>
        <v>1.951638501867214</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3.05</v>
      </c>
      <c r="P8" s="42">
        <f t="shared" si="4"/>
        <v>0</v>
      </c>
      <c r="Q8" s="42">
        <f>(C$67*L67)-C8</f>
        <v>204.99999999999997</v>
      </c>
      <c r="R8" s="42">
        <f t="shared" si="5"/>
        <v>208.04999999999998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204.99999999999997</v>
      </c>
      <c r="R9" s="42">
        <f t="shared" si="5"/>
        <v>207.99999999999997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204.99999999999997</v>
      </c>
      <c r="R10" s="42">
        <f t="shared" si="5"/>
        <v>207.99999999999997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v>
      </c>
      <c r="P11" s="42">
        <f t="shared" si="4"/>
        <v>0</v>
      </c>
      <c r="Q11" s="42">
        <f>(C$68*L68)-C11</f>
        <v>204.99999999999997</v>
      </c>
      <c r="R11" s="42">
        <f t="shared" si="5"/>
        <v>207.99999999999997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3</v>
      </c>
      <c r="P12" s="42">
        <f t="shared" si="4"/>
        <v>0</v>
      </c>
      <c r="Q12" s="42">
        <f>(C69*L69)-C12</f>
        <v>204.99999999999997</v>
      </c>
      <c r="R12" s="42">
        <f t="shared" si="5"/>
        <v>207.99999999999997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v>
      </c>
      <c r="P13" s="42">
        <f t="shared" si="4"/>
        <v>0</v>
      </c>
      <c r="Q13" s="42">
        <f>(C70*L70)-C13</f>
        <v>204.99999999999997</v>
      </c>
      <c r="R13" s="42">
        <f t="shared" si="5"/>
        <v>207.99999999999997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v>
      </c>
      <c r="P14" s="42">
        <f t="shared" si="4"/>
        <v>0</v>
      </c>
      <c r="Q14" s="42">
        <f>(C70*L70)-C14</f>
        <v>204.99999999999997</v>
      </c>
      <c r="R14" s="42">
        <f t="shared" si="5"/>
        <v>207.99999999999997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204.99999999999997</v>
      </c>
      <c r="R15" s="42">
        <f t="shared" si="5"/>
        <v>207.99999999999997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38.529000000000003</v>
      </c>
      <c r="D42" s="56">
        <f>E6/1000</f>
        <v>0.25600000000000001</v>
      </c>
      <c r="E42" s="56">
        <f>MAX(C42:D42)</f>
        <v>38.529000000000003</v>
      </c>
      <c r="G42" s="1" t="str">
        <f>B42</f>
        <v>per 1000 youth</v>
      </c>
      <c r="L42" s="57">
        <v>1000</v>
      </c>
      <c r="M42" s="57"/>
      <c r="R42" s="49"/>
    </row>
    <row r="43" spans="2:18" ht="15" hidden="1" customHeight="1" x14ac:dyDescent="0.25">
      <c r="B43" s="49" t="s">
        <v>87</v>
      </c>
      <c r="C43" s="56">
        <f>C7/100</f>
        <v>2.0499999999999998</v>
      </c>
      <c r="D43" s="56">
        <f>E7/100</f>
        <v>0.03</v>
      </c>
      <c r="E43" s="56">
        <f>MAX(C43:D43,0)</f>
        <v>2.0499999999999998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38.529000000000003</v>
      </c>
      <c r="D48" s="56">
        <f>D42</f>
        <v>0.25600000000000001</v>
      </c>
      <c r="E48" s="56">
        <f>MAX(C48:D48)</f>
        <v>38.529000000000003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2.0499999999999998</v>
      </c>
      <c r="D49" s="49">
        <f t="shared" si="9"/>
        <v>0.03</v>
      </c>
      <c r="E49" s="49">
        <f>MAX(C49:D49)</f>
        <v>2.0499999999999998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2.0499999999999998</v>
      </c>
      <c r="D50" s="49">
        <f t="shared" si="9"/>
        <v>0.03</v>
      </c>
      <c r="E50" s="49">
        <f>MAX(C50:D50)</f>
        <v>2.0499999999999998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38.529000000000003</v>
      </c>
      <c r="D54" s="56">
        <f>D48</f>
        <v>0.25600000000000001</v>
      </c>
      <c r="E54" s="56">
        <f>MAX(C54:D54)</f>
        <v>38.529000000000003</v>
      </c>
      <c r="G54" s="1" t="str">
        <f>G48</f>
        <v>per 1000 youth</v>
      </c>
      <c r="L54" s="58">
        <f>L48</f>
        <v>1000</v>
      </c>
      <c r="M54" s="58"/>
    </row>
    <row r="55" spans="2:18" ht="15" hidden="1" customHeight="1" x14ac:dyDescent="0.25">
      <c r="B55" s="49" t="str">
        <f t="shared" ref="B55:D56" si="10">IF(($E49&gt;0),B49,B48)</f>
        <v>per 100 arrests</v>
      </c>
      <c r="C55" s="49">
        <f t="shared" si="10"/>
        <v>2.0499999999999998</v>
      </c>
      <c r="D55" s="49">
        <f t="shared" si="10"/>
        <v>0.03</v>
      </c>
      <c r="E55" s="49">
        <f>MAX(C55:D55)</f>
        <v>2.0499999999999998</v>
      </c>
      <c r="G55" s="1" t="str">
        <f>G49</f>
        <v>per 100 arrests</v>
      </c>
      <c r="L55" s="58">
        <f>IF(($E49&gt;0),L49,L48)</f>
        <v>100</v>
      </c>
      <c r="M55" s="58"/>
    </row>
    <row r="56" spans="2:18" ht="15" hidden="1" customHeight="1" x14ac:dyDescent="0.25">
      <c r="B56" s="49" t="str">
        <f t="shared" si="10"/>
        <v>per 100 arrests</v>
      </c>
      <c r="C56" s="49">
        <f t="shared" si="10"/>
        <v>2.0499999999999998</v>
      </c>
      <c r="D56" s="49">
        <f t="shared" si="10"/>
        <v>0.03</v>
      </c>
      <c r="E56" s="49">
        <f>MAX(C56:D56)</f>
        <v>2.0499999999999998</v>
      </c>
      <c r="G56" s="1" t="str">
        <f>G50</f>
        <v>per 100 referrals</v>
      </c>
      <c r="L56" s="58">
        <f>IF(($E50&gt;0),L50,L49)</f>
        <v>100</v>
      </c>
      <c r="M56" s="58"/>
    </row>
    <row r="57" spans="2:18" ht="15" hidden="1" customHeight="1" x14ac:dyDescent="0.25">
      <c r="B57" s="49" t="str">
        <f>IF(($E51&gt;0),B51,B49)</f>
        <v>per 100 arrests</v>
      </c>
      <c r="C57" s="49">
        <f>IF(($E51&gt;0),C51,C50)</f>
        <v>2.0499999999999998</v>
      </c>
      <c r="D57" s="49">
        <f>IF(($E51&gt;0),D51,D50)</f>
        <v>0.03</v>
      </c>
      <c r="E57" s="49">
        <f>MAX(C57:D57)</f>
        <v>2.0499999999999998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38.529000000000003</v>
      </c>
      <c r="D60" s="56">
        <f>D54</f>
        <v>0.25600000000000001</v>
      </c>
      <c r="E60" s="56">
        <f>MAX(C60:D60)</f>
        <v>38.529000000000003</v>
      </c>
      <c r="G60" s="1" t="str">
        <f>G54</f>
        <v>per 1000 youth</v>
      </c>
      <c r="L60" s="58">
        <f>L54</f>
        <v>1000</v>
      </c>
      <c r="M60" s="58"/>
    </row>
    <row r="61" spans="2:18" ht="15" hidden="1" customHeight="1" x14ac:dyDescent="0.25">
      <c r="B61" s="49" t="str">
        <f t="shared" ref="B61:D62" si="11">IF(($E55&gt;0),B55,B54)</f>
        <v>per 100 arrests</v>
      </c>
      <c r="C61" s="49">
        <f t="shared" si="11"/>
        <v>2.0499999999999998</v>
      </c>
      <c r="D61" s="49">
        <f t="shared" si="11"/>
        <v>0.03</v>
      </c>
      <c r="E61" s="49">
        <f>MAX(C61:D61)</f>
        <v>2.0499999999999998</v>
      </c>
      <c r="G61" s="1" t="str">
        <f>G55</f>
        <v>per 100 arrests</v>
      </c>
      <c r="L61" s="58">
        <f>IF(($E55&gt;0),L55,L54)</f>
        <v>100</v>
      </c>
      <c r="M61" s="58"/>
    </row>
    <row r="62" spans="2:18" ht="15" hidden="1" customHeight="1" x14ac:dyDescent="0.25">
      <c r="B62" s="49" t="str">
        <f t="shared" si="11"/>
        <v>per 100 arrests</v>
      </c>
      <c r="C62" s="49">
        <f t="shared" si="11"/>
        <v>2.0499999999999998</v>
      </c>
      <c r="D62" s="49">
        <f t="shared" si="11"/>
        <v>0.03</v>
      </c>
      <c r="E62" s="49">
        <f>MAX(C62:D62)</f>
        <v>2.0499999999999998</v>
      </c>
      <c r="G62" s="1" t="str">
        <f>G56</f>
        <v>per 100 referrals</v>
      </c>
      <c r="L62" s="58">
        <f>IF(($E56&gt;0),L56,L55)</f>
        <v>100</v>
      </c>
      <c r="M62" s="58"/>
    </row>
    <row r="63" spans="2:18" ht="15" hidden="1" customHeight="1" x14ac:dyDescent="0.25">
      <c r="B63" s="49" t="str">
        <f>IF(($E57&gt;0),B57,B55)</f>
        <v>per 100 arrests</v>
      </c>
      <c r="C63" s="49">
        <f>IF(($E57&gt;0),C57,C56)</f>
        <v>2.0499999999999998</v>
      </c>
      <c r="D63" s="49">
        <f>IF(($E57&gt;0),D57,D56)</f>
        <v>0.03</v>
      </c>
      <c r="E63" s="49">
        <f>MAX(C63:D63)</f>
        <v>2.0499999999999998</v>
      </c>
      <c r="G63" s="1" t="str">
        <f>G57</f>
        <v>per 100 youth petitioned</v>
      </c>
      <c r="L63" s="58">
        <f>IF(($E57&gt;0),L57,L56)</f>
        <v>100</v>
      </c>
      <c r="M63" s="58"/>
    </row>
    <row r="64" spans="2:18" ht="15" hidden="1" customHeight="1" x14ac:dyDescent="0.25">
      <c r="B64" s="49" t="str">
        <f>IF(($E58&gt;0),B58,B57)</f>
        <v>per 100 arrests</v>
      </c>
      <c r="C64" s="49">
        <f>IF(($E58&gt;0),C58,C57)</f>
        <v>2.0499999999999998</v>
      </c>
      <c r="D64" s="49">
        <f>IF(($E58&gt;0),D58,D57)</f>
        <v>0.03</v>
      </c>
      <c r="E64" s="56">
        <f>MAX(C64:D64)</f>
        <v>2.0499999999999998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38.529000000000003</v>
      </c>
      <c r="D66" s="56">
        <f>D60</f>
        <v>0.25600000000000001</v>
      </c>
      <c r="E66" s="56">
        <f>MAX(C66:D66)</f>
        <v>38.529000000000003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2.0499999999999998</v>
      </c>
      <c r="D67" s="49">
        <f t="shared" si="12"/>
        <v>0.03</v>
      </c>
      <c r="E67" s="49">
        <f>MAX(C67:D67)</f>
        <v>2.0499999999999998</v>
      </c>
      <c r="G67" s="1" t="str">
        <f>G61</f>
        <v>per 100 arrests</v>
      </c>
      <c r="L67" s="58">
        <f>IF(($E61&gt;0),L61,L60)</f>
        <v>100</v>
      </c>
      <c r="M67" s="58">
        <f>IF((B67=G67),1,2)</f>
        <v>1</v>
      </c>
    </row>
    <row r="68" spans="2:13" ht="15" hidden="1" customHeight="1" x14ac:dyDescent="0.25">
      <c r="B68" s="49" t="str">
        <f t="shared" si="12"/>
        <v>per 100 arrests</v>
      </c>
      <c r="C68" s="49">
        <f t="shared" si="12"/>
        <v>2.0499999999999998</v>
      </c>
      <c r="D68" s="49">
        <f t="shared" si="12"/>
        <v>0.03</v>
      </c>
      <c r="E68" s="49">
        <f>MAX(C68:D68)</f>
        <v>2.0499999999999998</v>
      </c>
      <c r="G68" s="1" t="str">
        <f>G62</f>
        <v>per 100 referrals</v>
      </c>
      <c r="L68" s="58">
        <f>IF(($E62&gt;0),L62,L61)</f>
        <v>100</v>
      </c>
      <c r="M68" s="58">
        <f>IF((B68=G68),1,2)</f>
        <v>2</v>
      </c>
    </row>
    <row r="69" spans="2:13" ht="15" hidden="1" customHeight="1" x14ac:dyDescent="0.25">
      <c r="B69" s="49" t="str">
        <f>IF(($E63&gt;0),B63,B61)</f>
        <v>per 100 arrests</v>
      </c>
      <c r="C69" s="49">
        <f>IF(($E63&gt;0),C63,C62)</f>
        <v>2.0499999999999998</v>
      </c>
      <c r="D69" s="49">
        <f>IF(($E63&gt;0),D63,D62)</f>
        <v>0.03</v>
      </c>
      <c r="E69" s="49">
        <f>MAX(C69:D69)</f>
        <v>2.0499999999999998</v>
      </c>
      <c r="G69" s="1" t="str">
        <f>G63</f>
        <v>per 100 youth petitioned</v>
      </c>
      <c r="L69" s="58">
        <f>IF(($E63&gt;0),L63,L62)</f>
        <v>100</v>
      </c>
      <c r="M69" s="58">
        <f>IF((B69=G69),1,2)</f>
        <v>2</v>
      </c>
    </row>
    <row r="70" spans="2:13" ht="15" hidden="1" customHeight="1" x14ac:dyDescent="0.25">
      <c r="B70" s="49" t="str">
        <f>IF(($E64&gt;0),B64,B63)</f>
        <v>per 100 arrests</v>
      </c>
      <c r="C70" s="49">
        <f>IF(($E64&gt;0),C64,C63)</f>
        <v>2.0499999999999998</v>
      </c>
      <c r="D70" s="49">
        <f>IF(($E64&gt;0),D64,D63)</f>
        <v>0.03</v>
      </c>
      <c r="E70" s="56">
        <f>MAX(C70:D70)</f>
        <v>2.0499999999999998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U47JMPN4QEAR-1806752177-30184</_dlc_DocId>
    <_dlc_DocIdUrl xmlns="ac3811b5-0f3e-49e2-ba69-f2ffa0c782af">
      <Url>https://michiganphi.sharepoint.com/sites/CMDMC/_layouts/15/DocIdRedir.aspx?ID=U47JMPN4QEAR-1806752177-30184</Url>
      <Description>U47JMPN4QEAR-1806752177-30184</Description>
    </_dlc_DocIdUrl>
  </documentManagement>
</p:properties>
</file>

<file path=customXml/itemProps1.xml><?xml version="1.0" encoding="utf-8"?>
<ds:datastoreItem xmlns:ds="http://schemas.openxmlformats.org/officeDocument/2006/customXml" ds:itemID="{62E009D5-B143-4B42-93F5-FDB18392F7E5}"/>
</file>

<file path=customXml/itemProps2.xml><?xml version="1.0" encoding="utf-8"?>
<ds:datastoreItem xmlns:ds="http://schemas.openxmlformats.org/officeDocument/2006/customXml" ds:itemID="{0FF41E94-2842-4400-A5F8-74E0BA418B8F}"/>
</file>

<file path=customXml/itemProps3.xml><?xml version="1.0" encoding="utf-8"?>
<ds:datastoreItem xmlns:ds="http://schemas.openxmlformats.org/officeDocument/2006/customXml" ds:itemID="{739E1E23-B2A1-4FF9-9879-FAE2D08E8803}"/>
</file>

<file path=customXml/itemProps4.xml><?xml version="1.0" encoding="utf-8"?>
<ds:datastoreItem xmlns:ds="http://schemas.openxmlformats.org/officeDocument/2006/customXml" ds:itemID="{DD144DCC-06A1-4A83-991F-46CFC7DBE3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3d6940fa-23ed-4794-a40f-91c67ec306fa</vt:lpwstr>
  </property>
</Properties>
</file>