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A34CC36C-AB86-4F13-98C0-04E3BEF6D5F7}" xr6:coauthVersionLast="47" xr6:coauthVersionMax="47" xr10:uidLastSave="{D1C93FAA-EE29-4C77-A529-555DC447248D}"/>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4"/>
  <c r="M66" i="4"/>
  <c r="F27" i="2"/>
  <c r="M66" i="2"/>
  <c r="F27" i="5"/>
  <c r="M66" i="5"/>
  <c r="M66" i="8"/>
  <c r="F27" i="8"/>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C50" i="6" s="1"/>
  <c r="E46" i="3"/>
  <c r="D52" i="3" s="1"/>
  <c r="E43" i="7"/>
  <c r="B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B52" i="3"/>
  <c r="L52" i="7"/>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D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2" i="3" l="1"/>
  <c r="B50" i="6"/>
  <c r="D50" i="6"/>
  <c r="L50" i="6"/>
  <c r="C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5"/>
  <c r="B56" i="8"/>
  <c r="C64" i="5"/>
  <c r="L64" i="3"/>
  <c r="L56" i="8"/>
  <c r="D64" i="5"/>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C64" i="8"/>
  <c r="E64" i="8" s="1"/>
  <c r="L64" i="8"/>
  <c r="B64" i="8"/>
  <c r="E64" i="5"/>
  <c r="Q8" i="13"/>
  <c r="I7" i="9"/>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B70" i="5" l="1"/>
  <c r="F33" i="5" s="1"/>
  <c r="D70" i="5"/>
  <c r="F14" i="5" s="1"/>
  <c r="C70" i="5"/>
  <c r="L70" i="5"/>
  <c r="O13" i="5" s="1"/>
  <c r="B70" i="3"/>
  <c r="M70" i="3" s="1"/>
  <c r="D63" i="8"/>
  <c r="D70" i="8" s="1"/>
  <c r="F13" i="8" s="1"/>
  <c r="C69" i="7"/>
  <c r="D12" i="7" s="1"/>
  <c r="L69" i="7"/>
  <c r="Q15" i="7" s="1"/>
  <c r="C63" i="8"/>
  <c r="C70" i="8" s="1"/>
  <c r="D70" i="6"/>
  <c r="F13" i="6" s="1"/>
  <c r="L63" i="8"/>
  <c r="L70" i="8" s="1"/>
  <c r="E63" i="3"/>
  <c r="C69" i="3" s="1"/>
  <c r="D12"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4" i="3" l="1"/>
  <c r="F33" i="3"/>
  <c r="E70" i="5"/>
  <c r="F13" i="5"/>
  <c r="D14" i="5"/>
  <c r="O14" i="5"/>
  <c r="T14" i="5" s="1"/>
  <c r="Q14" i="5"/>
  <c r="D13" i="5"/>
  <c r="Q13" i="5"/>
  <c r="E63" i="8"/>
  <c r="D69" i="8" s="1"/>
  <c r="D15" i="3"/>
  <c r="B69" i="6"/>
  <c r="M69" i="6" s="1"/>
  <c r="Q12" i="7"/>
  <c r="L69" i="3"/>
  <c r="Q12" i="3" s="1"/>
  <c r="D69" i="3"/>
  <c r="E69" i="3" s="1"/>
  <c r="C69" i="6"/>
  <c r="D12" i="6" s="1"/>
  <c r="Q13" i="8"/>
  <c r="D13" i="3"/>
  <c r="O13" i="6"/>
  <c r="F14" i="6"/>
  <c r="E70" i="6"/>
  <c r="E69" i="7"/>
  <c r="D13" i="6"/>
  <c r="O13" i="3"/>
  <c r="F14" i="3"/>
  <c r="O14" i="6"/>
  <c r="B69" i="3"/>
  <c r="M69" i="3" s="1"/>
  <c r="Q14" i="3"/>
  <c r="F12" i="7"/>
  <c r="O12" i="7"/>
  <c r="D14" i="6"/>
  <c r="O15" i="7"/>
  <c r="R15" i="7" s="1"/>
  <c r="S15" i="7" s="1"/>
  <c r="U15" i="7" s="1"/>
  <c r="J15" i="7" s="1"/>
  <c r="Q13" i="3"/>
  <c r="Q13" i="6"/>
  <c r="Q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D13" i="8"/>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4" i="5" l="1"/>
  <c r="Q15" i="3"/>
  <c r="L69" i="8"/>
  <c r="O15" i="8" s="1"/>
  <c r="K14" i="6"/>
  <c r="F32" i="6"/>
  <c r="F35" i="6"/>
  <c r="O15" i="6"/>
  <c r="R12" i="7"/>
  <c r="S12" i="7" s="1"/>
  <c r="F15" i="3"/>
  <c r="O12" i="3"/>
  <c r="R12" i="3" s="1"/>
  <c r="S12" i="3" s="1"/>
  <c r="U12" i="3" s="1"/>
  <c r="J12" i="3" s="1"/>
  <c r="F12" i="3"/>
  <c r="O15" i="3"/>
  <c r="K15" i="3" s="1"/>
  <c r="T12" i="7"/>
  <c r="K12" i="7"/>
  <c r="K15" i="7"/>
  <c r="L15" i="7" s="1"/>
  <c r="S16" i="16" s="1"/>
  <c r="D15" i="6"/>
  <c r="Q12" i="6"/>
  <c r="Q15" i="6"/>
  <c r="R13" i="8"/>
  <c r="S13" i="8" s="1"/>
  <c r="U13" i="8" s="1"/>
  <c r="J13" i="8" s="1"/>
  <c r="M13" i="8" s="1"/>
  <c r="G13" i="8" s="1"/>
  <c r="K14" i="16" s="1"/>
  <c r="T14" i="6"/>
  <c r="R13" i="6"/>
  <c r="S13" i="6" s="1"/>
  <c r="U13" i="6" s="1"/>
  <c r="J13" i="6" s="1"/>
  <c r="M13" i="6" s="1"/>
  <c r="G13" i="6" s="1"/>
  <c r="G13" i="9" s="1"/>
  <c r="R14" i="6"/>
  <c r="S14" i="6" s="1"/>
  <c r="U14" i="6" s="1"/>
  <c r="J14" i="6" s="1"/>
  <c r="M14" i="6" s="1"/>
  <c r="G14" i="6" s="1"/>
  <c r="M15" i="13" s="1"/>
  <c r="R14" i="8"/>
  <c r="S14" i="8" s="1"/>
  <c r="R14" i="3"/>
  <c r="S14" i="3" s="1"/>
  <c r="U14" i="3" s="1"/>
  <c r="J14" i="3" s="1"/>
  <c r="M14" i="3" s="1"/>
  <c r="G14" i="3" s="1"/>
  <c r="I15" i="16" s="1"/>
  <c r="K13" i="3"/>
  <c r="K13" i="6"/>
  <c r="F32" i="3"/>
  <c r="F35" i="3"/>
  <c r="T13" i="6"/>
  <c r="T13" i="8"/>
  <c r="O12" i="6"/>
  <c r="E69" i="6"/>
  <c r="T13" i="3"/>
  <c r="K14" i="3"/>
  <c r="T14" i="3"/>
  <c r="R13" i="3"/>
  <c r="S13" i="3" s="1"/>
  <c r="U13" i="3" s="1"/>
  <c r="J13" i="3" s="1"/>
  <c r="M13" i="3" s="1"/>
  <c r="G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5" i="6" l="1"/>
  <c r="S15" i="6" s="1"/>
  <c r="U15" i="6" s="1"/>
  <c r="J15" i="6" s="1"/>
  <c r="U12" i="7"/>
  <c r="J12" i="7" s="1"/>
  <c r="M12" i="7" s="1"/>
  <c r="R15" i="3"/>
  <c r="S15" i="3" s="1"/>
  <c r="U15" i="3" s="1"/>
  <c r="J15" i="3" s="1"/>
  <c r="M15" i="3" s="1"/>
  <c r="G15" i="3" s="1"/>
  <c r="I16" i="16" s="1"/>
  <c r="T15" i="6"/>
  <c r="T12" i="3"/>
  <c r="K12" i="3"/>
  <c r="L12" i="3" s="1"/>
  <c r="P13" i="16" s="1"/>
  <c r="T15" i="3"/>
  <c r="K15" i="6"/>
  <c r="L15" i="6" s="1"/>
  <c r="R16" i="16" s="1"/>
  <c r="Q14" i="13"/>
  <c r="I13" i="9"/>
  <c r="L13" i="8"/>
  <c r="T14" i="16" s="1"/>
  <c r="K12" i="6"/>
  <c r="L13" i="6"/>
  <c r="R14" i="16" s="1"/>
  <c r="I15" i="13"/>
  <c r="M14" i="13"/>
  <c r="U14" i="8"/>
  <c r="J14" i="8" s="1"/>
  <c r="N30" i="8" s="1"/>
  <c r="R12" i="6"/>
  <c r="S12" i="6" s="1"/>
  <c r="U12" i="6" s="1"/>
  <c r="J12" i="6" s="1"/>
  <c r="L13" i="3"/>
  <c r="P14" i="16" s="1"/>
  <c r="E14" i="9"/>
  <c r="N30" i="3"/>
  <c r="L14" i="3"/>
  <c r="P15" i="16" s="1"/>
  <c r="T12" i="6"/>
  <c r="M13" i="9"/>
  <c r="U14" i="13"/>
  <c r="U12" i="13"/>
  <c r="M11" i="9"/>
  <c r="R12" i="8"/>
  <c r="S12" i="8" s="1"/>
  <c r="T13" i="2"/>
  <c r="U8" i="6"/>
  <c r="J8" i="6" s="1"/>
  <c r="M8" i="6" s="1"/>
  <c r="G8" i="6" s="1"/>
  <c r="M9" i="13" s="1"/>
  <c r="R13" i="2"/>
  <c r="S13" i="2" s="1"/>
  <c r="U13" i="2" s="1"/>
  <c r="J13" i="2" s="1"/>
  <c r="M13" i="2" s="1"/>
  <c r="G13" i="2" s="1"/>
  <c r="E14" i="16" s="1"/>
  <c r="T15" i="8"/>
  <c r="V11" i="13"/>
  <c r="G14" i="9"/>
  <c r="T12" i="8"/>
  <c r="K12" i="8"/>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M15" i="6"/>
  <c r="G15" i="6" s="1"/>
  <c r="L13" i="7"/>
  <c r="S14" i="16" s="1"/>
  <c r="M9" i="3"/>
  <c r="G9" i="3" s="1"/>
  <c r="I10" i="13" s="1"/>
  <c r="I14" i="13"/>
  <c r="I14" i="16"/>
  <c r="G12" i="13"/>
  <c r="G12" i="16"/>
  <c r="N9" i="9"/>
  <c r="P10" i="16"/>
  <c r="M14" i="7"/>
  <c r="N30" i="7"/>
  <c r="L14" i="7"/>
  <c r="S15" i="16" s="1"/>
  <c r="L8" i="7"/>
  <c r="S9" i="16" s="1"/>
  <c r="O13" i="9"/>
  <c r="M9" i="9"/>
  <c r="M10" i="9"/>
  <c r="O14" i="9"/>
  <c r="V10" i="13"/>
  <c r="Z14"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I16" i="13" l="1"/>
  <c r="E15" i="9"/>
  <c r="L15" i="3"/>
  <c r="P16" i="16" s="1"/>
  <c r="R13" i="9"/>
  <c r="L12" i="7"/>
  <c r="U12" i="8"/>
  <c r="J12" i="8" s="1"/>
  <c r="M12" i="8" s="1"/>
  <c r="G12" i="8" s="1"/>
  <c r="K13" i="16" s="1"/>
  <c r="L12" i="6"/>
  <c r="R13" i="16" s="1"/>
  <c r="M12" i="6"/>
  <c r="G12" i="6" s="1"/>
  <c r="M13" i="13" s="1"/>
  <c r="P13" i="9"/>
  <c r="X14" i="13"/>
  <c r="M14" i="8"/>
  <c r="G14" i="8" s="1"/>
  <c r="K15" i="16" s="1"/>
  <c r="L14" i="8"/>
  <c r="T15" i="16" s="1"/>
  <c r="N13" i="9"/>
  <c r="V14" i="13"/>
  <c r="V15" i="13"/>
  <c r="N14" i="9"/>
  <c r="L8" i="6"/>
  <c r="R9" i="16" s="1"/>
  <c r="L10" i="7"/>
  <c r="S11" i="16" s="1"/>
  <c r="X16" i="13"/>
  <c r="P15" i="9"/>
  <c r="L15" i="5"/>
  <c r="Q16" i="16" s="1"/>
  <c r="T9" i="13"/>
  <c r="L8" i="9"/>
  <c r="X15" i="13"/>
  <c r="P14" i="9"/>
  <c r="G8" i="9"/>
  <c r="Q14" i="9"/>
  <c r="Y15" i="13"/>
  <c r="Y14" i="13"/>
  <c r="E9" i="13"/>
  <c r="Q13" i="9"/>
  <c r="L10" i="2"/>
  <c r="N11" i="16" s="1"/>
  <c r="M10" i="7"/>
  <c r="L11" i="6"/>
  <c r="R12" i="16" s="1"/>
  <c r="V16" i="13"/>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L12" i="8" l="1"/>
  <c r="T13" i="16" s="1"/>
  <c r="S13" i="16"/>
  <c r="Y13" i="13"/>
  <c r="Q12" i="9"/>
  <c r="N15" i="9"/>
  <c r="X13" i="13"/>
  <c r="P12" i="9"/>
  <c r="G12" i="9"/>
  <c r="Q15" i="13"/>
  <c r="R14" i="9"/>
  <c r="I14" i="9"/>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<sst xmlns="http://schemas.openxmlformats.org/spreadsheetml/2006/main" count="654" uniqueCount="141">
  <si>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</si>
  <si>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</si>
  <si>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</si>
  <si>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</si>
  <si>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</si>
  <si>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</si>
  <si>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</si>
  <si>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</si>
  <si>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</si>
  <si>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</si>
  <si>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</si>
  <si>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</si>
  <si>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</si>
  <si>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</si>
  <si>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</si>
  <si>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</si>
  <si>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</si>
  <si>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</si>
  <si>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</si>
  <si>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</si>
  <si>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</si>
  <si>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</si>
  <si>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</si>
  <si>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</si>
  <si>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</si>
  <si>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</si>
  <si>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</si>
  <si>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</si>
  <si>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</si>
  <si>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</si>
  <si>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</si>
  <si>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</si>
  <si>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</si>
  <si>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</si>
  <si>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</si>
  <si>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</si>
  <si>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</si>
  <si>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</si>
  <si>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</si>
  <si>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</si>
  <si>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</si>
  <si>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</si>
  <si>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</si>
  <si>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</si>
  <si>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</si>
  <si>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</si>
  <si>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</si>
  <si>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</si>
  <si>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</si>
  <si>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</si>
  <si>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</si>
  <si>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</si>
  <si>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</si>
  <si>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</si>
  <si>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</si>
  <si>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</si>
  <si>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</si>
  <si>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</si>
  <si>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</si>
  <si>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</si>
  <si>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</si>
  <si>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</si>
  <si>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</si>
  <si>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</si>
  <si>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</si>
  <si>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</si>
  <si>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</si>
  <si>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</si>
  <si>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</si>
  <si>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</si>
  <si>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</si>
  <si>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</si>
  <si>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</si>
  <si>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</si>
  <si>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</si>
  <si>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</si>
  <si>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</si>
  <si>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</si>
  <si>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</si>
  <si>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</si>
  <si>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</si>
  <si>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</si>
  <si>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</si>
  <si>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</si>
  <si>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</si>
  <si>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</si>
  <si>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</si>
  <si>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</si>
  <si>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</si>
  <si>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</si>
  <si>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</si>
  <si>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</si>
  <si>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</si>
  <si>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</si>
  <si>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</si>
  <si>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</si>
  <si>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</si>
  <si>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</si>
  <si>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</si>
  <si>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</si>
  <si>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</si>
  <si>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</si>
  <si>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</si>
  <si>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</si>
  <si>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</si>
  <si>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</si>
  <si>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</si>
  <si>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</si>
  <si>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</si>
  <si>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</si>
  <si>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</si>
  <si>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</si>
  <si>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</si>
  <si>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</si>
  <si>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</si>
  <si>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</si>
  <si>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</si>
  <si>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</si>
  <si>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</si>
  <si>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</si>
  <si>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</si>
  <si>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</si>
  <si>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</si>
  <si>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</si>
  <si>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</si>
  <si>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</si>
  <si>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</si>
  <si>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</si>
  <si>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</si>
  <si>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</si>
  <si>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</si>
  <si>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</si>
  <si>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</si>
  <si>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</si>
  <si>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</si>
  <si>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</si>
  <si>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Kalkaska</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</si>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</sst>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Kalkaska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N=20</c:v>
                </c:pt>
                <c:pt idx="3">
                  <c:v>Petitions, total N=27</c:v>
                </c:pt>
                <c:pt idx="4">
                  <c:v>Detentions, total N=0</c:v>
                </c:pt>
                <c:pt idx="5">
                  <c:v>Referrals, total N=31</c:v>
                </c:pt>
                <c:pt idx="6">
                  <c:v>Arrests, total N=4</c:v>
                </c:pt>
                <c:pt idx="7">
                  <c:v>Population, total N=1785</c:v>
                </c:pt>
              </c:strCache>
            </c:strRef>
          </c:cat>
          <c:val>
            <c:numRef>
              <c:f>'Stacked 100%'!$B$7:$B$14</c:f>
              <c:numCache>
                <c:formatCode>0%</c:formatCode>
                <c:ptCount val="8"/>
                <c:pt idx="0">
                  <c:v>0</c:v>
                </c:pt>
                <c:pt idx="1">
                  <c:v>0</c:v>
                </c:pt>
                <c:pt idx="2">
                  <c:v>0</c:v>
                </c:pt>
                <c:pt idx="3">
                  <c:v>0</c:v>
                </c:pt>
                <c:pt idx="4">
                  <c:v>0</c:v>
                </c:pt>
                <c:pt idx="5">
                  <c:v>0</c:v>
                </c:pt>
                <c:pt idx="6">
                  <c:v>0</c:v>
                </c:pt>
                <c:pt idx="7">
                  <c:v>2.1288515406162466E-2</c:v>
                </c:pt>
              </c:numCache>
            </c:numRef>
          </c:val>
          <c:extLst>
            <c:ext xmlns:c16="http://schemas.microsoft.com/office/drawing/2014/chart" uri="{C3380CC4-5D6E-409C-BE32-E72D297353CC}">
              <c16:uniqueId val="{00000000-F55D-4F20-B7CD-AB6CCBBC52B8}"/>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N=20</c:v>
                </c:pt>
                <c:pt idx="3">
                  <c:v>Petitions, total N=27</c:v>
                </c:pt>
                <c:pt idx="4">
                  <c:v>Detentions, total N=0</c:v>
                </c:pt>
                <c:pt idx="5">
                  <c:v>Referrals, total N=31</c:v>
                </c:pt>
                <c:pt idx="6">
                  <c:v>Arrests, total N=4</c:v>
                </c:pt>
                <c:pt idx="7">
                  <c:v>Population, total N=1785</c:v>
                </c:pt>
              </c:strCache>
            </c:strRef>
          </c:cat>
          <c:val>
            <c:numRef>
              <c:f>'Stacked 100%'!$C$7:$C$14</c:f>
              <c:numCache>
                <c:formatCode>0%</c:formatCode>
                <c:ptCount val="8"/>
                <c:pt idx="0">
                  <c:v>0</c:v>
                </c:pt>
                <c:pt idx="1">
                  <c:v>0</c:v>
                </c:pt>
                <c:pt idx="2">
                  <c:v>0</c:v>
                </c:pt>
                <c:pt idx="3">
                  <c:v>0</c:v>
                </c:pt>
                <c:pt idx="4">
                  <c:v>0</c:v>
                </c:pt>
                <c:pt idx="5">
                  <c:v>0</c:v>
                </c:pt>
                <c:pt idx="6">
                  <c:v>0</c:v>
                </c:pt>
                <c:pt idx="7">
                  <c:v>4.929971988795518E-2</c:v>
                </c:pt>
              </c:numCache>
            </c:numRef>
          </c:val>
          <c:extLst>
            <c:ext xmlns:c16="http://schemas.microsoft.com/office/drawing/2014/chart" uri="{C3380CC4-5D6E-409C-BE32-E72D297353CC}">
              <c16:uniqueId val="{00000001-F55D-4F20-B7CD-AB6CCBBC52B8}"/>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N=20</c:v>
                </c:pt>
                <c:pt idx="3">
                  <c:v>Petitions, total N=27</c:v>
                </c:pt>
                <c:pt idx="4">
                  <c:v>Detentions, total N=0</c:v>
                </c:pt>
                <c:pt idx="5">
                  <c:v>Referrals, total N=31</c:v>
                </c:pt>
                <c:pt idx="6">
                  <c:v>Arrests, total N=4</c:v>
                </c:pt>
                <c:pt idx="7">
                  <c:v>Population, total N=1785</c:v>
                </c:pt>
              </c:strCache>
            </c:strRef>
          </c:cat>
          <c:val>
            <c:numRef>
              <c:f>'Stacked 100%'!$H$7:$H$14</c:f>
              <c:numCache>
                <c:formatCode>0%</c:formatCode>
                <c:ptCount val="8"/>
                <c:pt idx="0">
                  <c:v>0</c:v>
                </c:pt>
                <c:pt idx="1">
                  <c:v>0</c:v>
                </c:pt>
                <c:pt idx="2">
                  <c:v>0</c:v>
                </c:pt>
                <c:pt idx="3">
                  <c:v>0</c:v>
                </c:pt>
                <c:pt idx="4">
                  <c:v>0</c:v>
                </c:pt>
                <c:pt idx="5">
                  <c:v>0</c:v>
                </c:pt>
                <c:pt idx="6">
                  <c:v>0</c:v>
                </c:pt>
                <c:pt idx="7">
                  <c:v>1.3181743285549513E-5</c:v>
                </c:pt>
              </c:numCache>
            </c:numRef>
          </c:val>
          <c:extLst>
            <c:ext xmlns:c16="http://schemas.microsoft.com/office/drawing/2014/chart" uri="{C3380CC4-5D6E-409C-BE32-E72D297353CC}">
              <c16:uniqueId val="{00000002-F55D-4F20-B7CD-AB6CCBBC52B8}"/>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N=20</c:v>
                </c:pt>
                <c:pt idx="3">
                  <c:v>Petitions, total N=27</c:v>
                </c:pt>
                <c:pt idx="4">
                  <c:v>Detentions, total N=0</c:v>
                </c:pt>
                <c:pt idx="5">
                  <c:v>Referrals, total N=31</c:v>
                </c:pt>
                <c:pt idx="6">
                  <c:v>Arrests, total N=4</c:v>
                </c:pt>
                <c:pt idx="7">
                  <c:v>Population, total N=1785</c:v>
                </c:pt>
              </c:strCache>
            </c:strRef>
          </c:cat>
          <c:val>
            <c:numRef>
              <c:f>'Stacked 100%'!$I$7:$I$14</c:f>
              <c:numCache>
                <c:formatCode>0%</c:formatCode>
                <c:ptCount val="8"/>
                <c:pt idx="0">
                  <c:v>0</c:v>
                </c:pt>
                <c:pt idx="1">
                  <c:v>0</c:v>
                </c:pt>
                <c:pt idx="2">
                  <c:v>0.85</c:v>
                </c:pt>
                <c:pt idx="3">
                  <c:v>0.81481481481481477</c:v>
                </c:pt>
                <c:pt idx="4">
                  <c:v>0</c:v>
                </c:pt>
                <c:pt idx="5">
                  <c:v>0.77419354838709675</c:v>
                </c:pt>
                <c:pt idx="6">
                  <c:v>1</c:v>
                </c:pt>
                <c:pt idx="7">
                  <c:v>0.90588235294117647</c:v>
                </c:pt>
              </c:numCache>
            </c:numRef>
          </c:val>
          <c:extLst>
            <c:ext xmlns:c16="http://schemas.microsoft.com/office/drawing/2014/chart" uri="{C3380CC4-5D6E-409C-BE32-E72D297353CC}">
              <c16:uniqueId val="{00000003-F55D-4F20-B7CD-AB6CCBBC52B8}"/>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N=20</c:v>
                </c:pt>
                <c:pt idx="3">
                  <c:v>Petitions, total N=27</c:v>
                </c:pt>
                <c:pt idx="4">
                  <c:v>Detentions, total N=0</c:v>
                </c:pt>
                <c:pt idx="5">
                  <c:v>Referrals, total N=31</c:v>
                </c:pt>
                <c:pt idx="6">
                  <c:v>Arrests, total N=4</c:v>
                </c:pt>
                <c:pt idx="7">
                  <c:v>Population, total N=1785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55D-4F20-B7CD-AB6CCBBC52B8}"/>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5" sqref="D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1785</v>
      </c>
      <c r="C6" s="11">
        <v>1617</v>
      </c>
      <c r="D6" s="11">
        <v>38</v>
      </c>
      <c r="E6" s="11">
        <v>88</v>
      </c>
      <c r="F6" s="11">
        <v>19</v>
      </c>
      <c r="G6" s="11"/>
      <c r="H6" s="11">
        <v>23</v>
      </c>
      <c r="I6" s="11"/>
      <c r="J6" s="91">
        <f>SUM(D6:I6)</f>
        <v>168</v>
      </c>
      <c r="K6" s="92"/>
    </row>
    <row r="7" spans="1:11" ht="15.75" customHeight="1" thickBot="1">
      <c r="A7" s="10" t="s">
        <v>8</v>
      </c>
      <c r="B7" s="11">
        <f t="shared" ref="B7:B15" si="0">SUM(C7:I7)+K7</f>
        <v>4</v>
      </c>
      <c r="C7" s="11">
        <v>4</v>
      </c>
      <c r="D7" s="11">
        <v>0</v>
      </c>
      <c r="E7" s="11">
        <v>0</v>
      </c>
      <c r="F7" s="11">
        <v>0</v>
      </c>
      <c r="G7" s="11">
        <v>0</v>
      </c>
      <c r="H7" s="11">
        <v>0</v>
      </c>
      <c r="I7" s="11"/>
      <c r="J7" s="91">
        <f t="shared" ref="J7:J15" si="1">SUM(D7:I7)</f>
        <v>0</v>
      </c>
      <c r="K7" s="92">
        <v>0</v>
      </c>
    </row>
    <row r="8" spans="1:11" ht="15.75" customHeight="1" thickBot="1">
      <c r="A8" s="10" t="s">
        <v>9</v>
      </c>
      <c r="B8" s="11">
        <f t="shared" si="0"/>
        <v>31</v>
      </c>
      <c r="C8" s="11">
        <v>24</v>
      </c>
      <c r="D8" s="11"/>
      <c r="E8" s="11"/>
      <c r="F8" s="11"/>
      <c r="G8" s="11"/>
      <c r="H8" s="11"/>
      <c r="I8" s="11"/>
      <c r="J8" s="91">
        <f t="shared" si="1"/>
        <v>0</v>
      </c>
      <c r="K8" s="92">
        <v>7</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27</v>
      </c>
      <c r="C11" s="11">
        <v>22</v>
      </c>
      <c r="D11" s="11"/>
      <c r="E11" s="11"/>
      <c r="F11" s="11"/>
      <c r="G11" s="11"/>
      <c r="H11" s="11"/>
      <c r="I11" s="11"/>
      <c r="J11" s="91">
        <f t="shared" si="1"/>
        <v>0</v>
      </c>
      <c r="K11" s="92">
        <v>5</v>
      </c>
    </row>
    <row r="12" spans="1:11" ht="15.75" customHeight="1" thickBot="1">
      <c r="A12" s="10" t="s">
        <v>13</v>
      </c>
      <c r="B12" s="11">
        <f t="shared" si="0"/>
        <v>20</v>
      </c>
      <c r="C12" s="11">
        <v>17</v>
      </c>
      <c r="D12" s="11"/>
      <c r="E12" s="11"/>
      <c r="F12" s="11"/>
      <c r="G12" s="11"/>
      <c r="H12" s="11"/>
      <c r="I12" s="11"/>
      <c r="J12" s="91">
        <f t="shared" si="1"/>
        <v>0</v>
      </c>
      <c r="K12" s="92">
        <v>3</v>
      </c>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Kalkaska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1617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2.4737167594310452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v>
      </c>
      <c r="Q7" s="42">
        <f>C6-C7</f>
        <v>1613</v>
      </c>
      <c r="R7" s="42">
        <f t="shared" ref="R7:R15" si="5">SUM(N7:Q7)</f>
        <v>1617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24</v>
      </c>
      <c r="D8" s="34">
        <f>IF((AND(C67&gt;0,C8&gt;0)),(C8/C67),0)</f>
        <v>600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24</v>
      </c>
      <c r="Q8" s="42">
        <f>(C$67*L67)-C8</f>
        <v>-20</v>
      </c>
      <c r="R8" s="42">
        <f t="shared" si="5"/>
        <v>4.0500000000000007</v>
      </c>
      <c r="S8" s="30">
        <f t="shared" si="6"/>
        <v>5.8320000000000025</v>
      </c>
      <c r="T8" s="30">
        <f t="shared" si="7"/>
        <v>-95.76</v>
      </c>
      <c r="U8" s="31">
        <f t="shared" si="8"/>
        <v>-6.090225563909777E-2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24</v>
      </c>
      <c r="R9" s="42">
        <f t="shared" si="5"/>
        <v>24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24</v>
      </c>
      <c r="R10" s="42">
        <f t="shared" si="5"/>
        <v>24</v>
      </c>
      <c r="S10" s="30">
        <f t="shared" si="6"/>
        <v>0</v>
      </c>
      <c r="T10" s="30">
        <f t="shared" si="7"/>
        <v>0</v>
      </c>
      <c r="U10" s="31" t="str">
        <f t="shared" si="8"/>
        <v>- -</v>
      </c>
    </row>
    <row r="11" spans="2:21" ht="18" customHeight="1">
      <c r="B11" s="32" t="str">
        <f>'Data Entry'!A11</f>
        <v>6. Cases Petitioned (Charge Filed)</v>
      </c>
      <c r="C11" s="33">
        <f>'Data Entry'!C11</f>
        <v>22</v>
      </c>
      <c r="D11" s="34">
        <f>IF(((AND(C68&gt;0,C11&gt;0))),(C11/(C68)),0)</f>
        <v>91.666666666666671</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2</v>
      </c>
      <c r="R11" s="42">
        <f t="shared" si="5"/>
        <v>24</v>
      </c>
      <c r="S11" s="30">
        <f t="shared" si="6"/>
        <v>0</v>
      </c>
      <c r="T11" s="30">
        <f t="shared" si="7"/>
        <v>0</v>
      </c>
      <c r="U11" s="31" t="str">
        <f t="shared" si="8"/>
        <v>- -</v>
      </c>
    </row>
    <row r="12" spans="2:21" ht="18" customHeight="1">
      <c r="B12" s="32" t="str">
        <f>'Data Entry'!A12</f>
        <v>7. Cases Resulting in Delinquent Findings</v>
      </c>
      <c r="C12" s="33">
        <f>'Data Entry'!C12</f>
        <v>17</v>
      </c>
      <c r="D12" s="34">
        <f>IF(((AND(C69&gt;0,C12&gt;0))),(C12/(C69)),0)</f>
        <v>77.272727272727266</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5</v>
      </c>
      <c r="R12" s="42">
        <f t="shared" si="5"/>
        <v>22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17</v>
      </c>
      <c r="R14" s="42">
        <f t="shared" si="5"/>
        <v>17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1.617</v>
      </c>
      <c r="D42" s="56">
        <f>E6/1000</f>
        <v>0</v>
      </c>
      <c r="E42" s="56">
        <f>MAX(C42:D42)</f>
        <v>1.617</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0.24</v>
      </c>
      <c r="D44" s="56">
        <f>E8/100</f>
        <v>0</v>
      </c>
      <c r="E44" s="56">
        <f>MAX(C44:D44,0)</f>
        <v>0.24</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0.17</v>
      </c>
      <c r="D46" s="49">
        <f>E12/100</f>
        <v>0</v>
      </c>
      <c r="E46" s="56">
        <f>MAX(C46:D46)</f>
        <v>0.17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1.617</v>
      </c>
      <c r="D48" s="56">
        <f>D42</f>
        <v>0</v>
      </c>
      <c r="E48" s="56">
        <f>MAX(C48:D48)</f>
        <v>1.617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referrals</v>
      </c>
      <c r="C50" s="49">
        <f t="shared" si="9"/>
        <v>0.24</v>
      </c>
      <c r="D50" s="49">
        <f t="shared" si="9"/>
        <v>0</v>
      </c>
      <c r="E50" s="49">
        <f>MAX(C50:D50)</f>
        <v>0.24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1.617</v>
      </c>
      <c r="D54" s="56">
        <f>D48</f>
        <v>0</v>
      </c>
      <c r="E54" s="56">
        <f>MAX(C54:D54)</f>
        <v>1.617</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referrals</v>
      </c>
      <c r="C56" s="49">
        <f t="shared" si="10"/>
        <v>0.24</v>
      </c>
      <c r="D56" s="49">
        <f t="shared" si="10"/>
        <v>0</v>
      </c>
      <c r="E56" s="49">
        <f>MAX(C56:D56)</f>
        <v>0.24</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1.617</v>
      </c>
      <c r="D60" s="56">
        <f>D54</f>
        <v>0</v>
      </c>
      <c r="E60" s="56">
        <f>MAX(C60:D60)</f>
        <v>1.617</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referrals</v>
      </c>
      <c r="C62" s="49">
        <f t="shared" si="11"/>
        <v>0.24</v>
      </c>
      <c r="D62" s="49">
        <f t="shared" si="11"/>
        <v>0</v>
      </c>
      <c r="E62" s="49">
        <f>MAX(C62:D62)</f>
        <v>0.24</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1.617</v>
      </c>
      <c r="D66" s="56">
        <f>D60</f>
        <v>0</v>
      </c>
      <c r="E66" s="56">
        <f>MAX(C66:D66)</f>
        <v>1.617</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referrals</v>
      </c>
      <c r="C68" s="49">
        <f t="shared" si="12"/>
        <v>0.24</v>
      </c>
      <c r="D68" s="49">
        <f t="shared" si="12"/>
        <v>0</v>
      </c>
      <c r="E68" s="49">
        <f>MAX(C68:D68)</f>
        <v>0.24</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Kalkaska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1617</v>
      </c>
      <c r="D6" s="34"/>
      <c r="E6" s="33">
        <f>'Data Entry'!J6</f>
        <v>168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2.4737167594310452</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168</v>
      </c>
      <c r="P7" s="42">
        <f t="shared" ref="P7:P15" si="4">C7</f>
        <v>4</v>
      </c>
      <c r="Q7" s="42">
        <f>C6-C7</f>
        <v>1613</v>
      </c>
      <c r="R7" s="42">
        <f t="shared" ref="R7:R15" si="5">SUM(N7:Q7)</f>
        <v>1785</v>
      </c>
      <c r="S7" s="30">
        <f t="shared" ref="S7:S15" si="6">R7*((((N7*Q7)-(O7*P7))^2))</f>
        <v>806077440</v>
      </c>
      <c r="T7" s="30">
        <f t="shared" ref="T7:T15" si="7">(N7+O7)*(P7+Q7)*(N7+P7)*(O7+Q7)</f>
        <v>1935277344</v>
      </c>
      <c r="U7" s="31">
        <f t="shared" ref="U7:U15" si="8">IF((S7&gt;0),S7/T7,"- -")</f>
        <v>0.4165177887805625</v>
      </c>
    </row>
    <row r="8" spans="2:21" ht="18" customHeight="1">
      <c r="B8" s="32" t="str">
        <f>'Data Entry'!A8</f>
        <v>3. Refer to Juvenile Court</v>
      </c>
      <c r="C8" s="33">
        <f>'Data Entry'!C8</f>
        <v>24</v>
      </c>
      <c r="D8" s="34">
        <f>IF((AND(C67&gt;0,C8&gt;0)),(C8/C67),0)</f>
        <v>600</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24</v>
      </c>
      <c r="Q8" s="42">
        <f>(C$67*L67)-C8</f>
        <v>-20</v>
      </c>
      <c r="R8" s="42">
        <f t="shared" si="5"/>
        <v>4.0500000000000007</v>
      </c>
      <c r="S8" s="30">
        <f t="shared" si="6"/>
        <v>5.8320000000000025</v>
      </c>
      <c r="T8" s="30">
        <f t="shared" si="7"/>
        <v>-95.76</v>
      </c>
      <c r="U8" s="31">
        <f t="shared" si="8"/>
        <v>-6.090225563909777E-2</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24</v>
      </c>
      <c r="R9" s="42">
        <f t="shared" si="5"/>
        <v>24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24</v>
      </c>
      <c r="R10" s="42">
        <f t="shared" si="5"/>
        <v>24</v>
      </c>
      <c r="S10" s="30">
        <f t="shared" si="6"/>
        <v>0</v>
      </c>
      <c r="T10" s="30">
        <f t="shared" si="7"/>
        <v>0</v>
      </c>
      <c r="U10" s="31" t="str">
        <f t="shared" si="8"/>
        <v>- -</v>
      </c>
    </row>
    <row r="11" spans="2:21" ht="18" customHeight="1">
      <c r="B11" s="32" t="str">
        <f>'Data Entry'!A11</f>
        <v>6. Cases Petitioned (Charge Filed)</v>
      </c>
      <c r="C11" s="33">
        <f>'Data Entry'!C11</f>
        <v>22</v>
      </c>
      <c r="D11" s="34">
        <f>IF(((AND(C68&gt;0,C11&gt;0))),(C11/(C68)),0)</f>
        <v>91.666666666666671</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2</v>
      </c>
      <c r="R11" s="42">
        <f t="shared" si="5"/>
        <v>24</v>
      </c>
      <c r="S11" s="30">
        <f t="shared" si="6"/>
        <v>0</v>
      </c>
      <c r="T11" s="30">
        <f t="shared" si="7"/>
        <v>0</v>
      </c>
      <c r="U11" s="31" t="str">
        <f t="shared" si="8"/>
        <v>- -</v>
      </c>
    </row>
    <row r="12" spans="2:21" ht="18" customHeight="1">
      <c r="B12" s="32" t="str">
        <f>'Data Entry'!A12</f>
        <v>7. Cases Resulting in Delinquent Findings</v>
      </c>
      <c r="C12" s="33">
        <f>'Data Entry'!C12</f>
        <v>17</v>
      </c>
      <c r="D12" s="34">
        <f>IF(((AND(C69&gt;0,C12&gt;0))),(C12/(C69)),0)</f>
        <v>77.272727272727266</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5</v>
      </c>
      <c r="R12" s="42">
        <f t="shared" si="5"/>
        <v>22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17</v>
      </c>
      <c r="R14" s="42">
        <f t="shared" si="5"/>
        <v>17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1.617</v>
      </c>
      <c r="D42" s="56">
        <f>E6/1000</f>
        <v>0.16800000000000001</v>
      </c>
      <c r="E42" s="56">
        <f>MAX(C42:D42)</f>
        <v>1.617</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0.24</v>
      </c>
      <c r="D44" s="56">
        <f>E8/100</f>
        <v>0</v>
      </c>
      <c r="E44" s="56">
        <f>MAX(C44:D44,0)</f>
        <v>0.24</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0.17</v>
      </c>
      <c r="D46" s="49">
        <f>E12/100</f>
        <v>0</v>
      </c>
      <c r="E46" s="56">
        <f>MAX(C46:D46)</f>
        <v>0.17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1.617</v>
      </c>
      <c r="D48" s="56">
        <f>D42</f>
        <v>0.16800000000000001</v>
      </c>
      <c r="E48" s="56">
        <f>MAX(C48:D48)</f>
        <v>1.617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referrals</v>
      </c>
      <c r="C50" s="49">
        <f t="shared" si="9"/>
        <v>0.24</v>
      </c>
      <c r="D50" s="49">
        <f t="shared" si="9"/>
        <v>0</v>
      </c>
      <c r="E50" s="49">
        <f>MAX(C50:D50)</f>
        <v>0.24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1.617</v>
      </c>
      <c r="D54" s="56">
        <f>D48</f>
        <v>0.16800000000000001</v>
      </c>
      <c r="E54" s="56">
        <f>MAX(C54:D54)</f>
        <v>1.617</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referrals</v>
      </c>
      <c r="C56" s="49">
        <f t="shared" si="10"/>
        <v>0.24</v>
      </c>
      <c r="D56" s="49">
        <f t="shared" si="10"/>
        <v>0</v>
      </c>
      <c r="E56" s="49">
        <f>MAX(C56:D56)</f>
        <v>0.24</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1.617</v>
      </c>
      <c r="D60" s="56">
        <f>D54</f>
        <v>0.16800000000000001</v>
      </c>
      <c r="E60" s="56">
        <f>MAX(C60:D60)</f>
        <v>1.617</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referrals</v>
      </c>
      <c r="C62" s="49">
        <f t="shared" si="11"/>
        <v>0.24</v>
      </c>
      <c r="D62" s="49">
        <f t="shared" si="11"/>
        <v>0</v>
      </c>
      <c r="E62" s="49">
        <f>MAX(C62:D62)</f>
        <v>0.24</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1.617</v>
      </c>
      <c r="D66" s="56">
        <f>D60</f>
        <v>0.16800000000000001</v>
      </c>
      <c r="E66" s="56">
        <f>MAX(C66:D66)</f>
        <v>1.617</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referrals</v>
      </c>
      <c r="C68" s="49">
        <f t="shared" si="12"/>
        <v>0.24</v>
      </c>
      <c r="D68" s="49">
        <f t="shared" si="12"/>
        <v>0</v>
      </c>
      <c r="E68" s="49">
        <f>MAX(C68:D68)</f>
        <v>0.24</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Kalkaska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1785</v>
      </c>
      <c r="D3" s="57">
        <f>'Data Entry'!C6</f>
        <v>1617</v>
      </c>
      <c r="E3" s="57">
        <f>'Data Entry'!D6</f>
        <v>38</v>
      </c>
      <c r="F3" s="57">
        <f>'Data Entry'!E6</f>
        <v>88</v>
      </c>
      <c r="G3" s="57">
        <f>'Data Entry'!F6</f>
        <v>19</v>
      </c>
      <c r="H3" s="57">
        <f>'Data Entry'!G6</f>
        <v>0</v>
      </c>
      <c r="I3" s="57">
        <f>'Data Entry'!H6</f>
        <v>23</v>
      </c>
      <c r="J3" s="57">
        <f>'Data Entry'!I6</f>
        <v>0</v>
      </c>
      <c r="K3" s="57">
        <f>'Data Entry'!J6</f>
        <v>168</v>
      </c>
    </row>
    <row r="4" spans="2:11" ht="15" customHeight="1">
      <c r="B4" s="16" t="s">
        <v>8</v>
      </c>
      <c r="C4" s="1">
        <f>IF((C$3&gt;0),(1000*('Data Entry'!B7/'Data Entry'!B$6)), 0)</f>
        <v>2.2408963585434174</v>
      </c>
      <c r="D4" s="1">
        <f>IF((D$3&gt;0),(1000*('Data Entry'!C7/'Data Entry'!C$6)), 0)</f>
        <v>2.4737167594310452</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17.366946778711487</v>
      </c>
      <c r="D5" s="1">
        <f>IF((D$3&gt;0),(1000*('Data Entry'!C8/'Data Entry'!C$6)), 0)</f>
        <v>14.84230055658627</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15.126050420168067</v>
      </c>
      <c r="D8" s="1">
        <f>IF((D$3&gt;0),(1000*('Data Entry'!C11/'Data Entry'!C$6)), 0)</f>
        <v>13.605442176870747</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11.204481792717086</v>
      </c>
      <c r="D9" s="1">
        <f>IF((D$3&gt;0),(1000*('Data Entry'!C12/'Data Entry'!C$6)), 0)</f>
        <v>10.513296227581941</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Kalkaska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Kalkaska</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1617</v>
      </c>
      <c r="D7" s="104">
        <f>'Data Entry'!D6</f>
        <v>38</v>
      </c>
      <c r="E7" s="105"/>
      <c r="F7" s="106">
        <f>'Data Entry'!E6</f>
        <v>88</v>
      </c>
      <c r="G7" s="105"/>
      <c r="H7" s="106">
        <f>'Data Entry'!F6</f>
        <v>19</v>
      </c>
      <c r="I7" s="105"/>
      <c r="J7" s="106">
        <f>'Data Entry'!G6</f>
        <v>0</v>
      </c>
      <c r="K7" s="105"/>
      <c r="L7" s="106">
        <f>'Data Entry'!H6</f>
        <v>23</v>
      </c>
      <c r="M7" s="105"/>
      <c r="N7" s="106">
        <f>'Data Entry'!I6</f>
        <v>0</v>
      </c>
      <c r="O7" s="105"/>
      <c r="P7" s="106">
        <f>'Data Entry'!J6</f>
        <v>168</v>
      </c>
      <c r="Q7" s="107"/>
    </row>
    <row r="8" spans="2:26" s="1" customFormat="1" ht="15" customHeight="1">
      <c r="B8" s="142" t="s">
        <v>8</v>
      </c>
      <c r="C8" s="103">
        <f>'Data Entry'!C7</f>
        <v>4</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c r="B9" s="142" t="s">
        <v>134</v>
      </c>
      <c r="C9" s="103">
        <f>'Data Entry'!C8</f>
        <v>24</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22</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17</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Kalkaska</v>
      </c>
    </row>
    <row r="6" spans="1:12">
      <c r="A6" s="135" t="str">
        <f>CONCATENATE("Percentage of Minorities at Stages of the Juvenile Justice System, ", A5, " 2024")</f>
        <v>Percentage of Minorities at Stages of the Juvenile Justice System, County: Kalkaska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9.625</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9.625</v>
      </c>
    </row>
    <row r="9" spans="1:12">
      <c r="A9" s="128" t="str">
        <f>CONCATENATE("Delinquent Findings, total N=", 'Data Entry'!B12)</f>
        <v>Delinquent Findings, total N=20</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0.85</v>
      </c>
      <c r="K9" s="96" t="str">
        <f t="shared" si="0"/>
        <v>Delinquent Findings, total N=20</v>
      </c>
      <c r="L9">
        <f>I14/(SUM(B14:G14))</f>
        <v>9.625</v>
      </c>
    </row>
    <row r="10" spans="1:12">
      <c r="A10" s="128" t="str">
        <f>CONCATENATE("Petitions, total N=", 'Data Entry'!B11)</f>
        <v>Petitions, total N=27</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0.81481481481481477</v>
      </c>
      <c r="K10" s="96" t="str">
        <f t="shared" si="0"/>
        <v>Petitions, total N=27</v>
      </c>
      <c r="L10">
        <f>I14/(SUM(B14:G14))</f>
        <v>9.625</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9.625</v>
      </c>
    </row>
    <row r="12" spans="1:12">
      <c r="A12" s="128" t="str">
        <f>CONCATENATE("Referrals, total N=", 'Data Entry'!B8)</f>
        <v>Referrals, total N=31</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0.77419354838709675</v>
      </c>
      <c r="K12" s="96" t="str">
        <f t="shared" si="0"/>
        <v>Referrals, total N=31</v>
      </c>
      <c r="L12">
        <f>I14/(SUM(B14:G14))</f>
        <v>9.625</v>
      </c>
    </row>
    <row r="13" spans="1:12">
      <c r="A13" s="128" t="str">
        <f>CONCATENATE("Arrests, total N=", 'Data Entry'!B7)</f>
        <v>Arrests, total N=4</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N=4</v>
      </c>
      <c r="L13">
        <f>I14/(SUM(B14:G14))</f>
        <v>9.625</v>
      </c>
    </row>
    <row r="14" spans="1:12">
      <c r="A14" s="128" t="str">
        <f>CONCATENATE("Population, total N=", 'Data Entry'!B6)</f>
        <v>Population, total N=1785</v>
      </c>
      <c r="B14" s="150">
        <f>'Data Entry'!D6/'Data Entry'!B6</f>
        <v>2.1288515406162466E-2</v>
      </c>
      <c r="C14" s="150">
        <f>'Data Entry'!E6/'Data Entry'!B6</f>
        <v>4.929971988795518E-2</v>
      </c>
      <c r="D14" s="150">
        <f>'Data Entry'!F6/'Data Entry'!B6</f>
        <v>1.0644257703081233E-2</v>
      </c>
      <c r="E14" s="150">
        <f>'Data Entry'!G6/'Data Entry'!B6</f>
        <v>0</v>
      </c>
      <c r="F14" s="150">
        <f>'Data Entry'!H6/'Data Entry'!B6</f>
        <v>1.2885154061624649E-2</v>
      </c>
      <c r="G14" s="150">
        <f>'Data Entry'!I6/'Data Entry'!B6</f>
        <v>0</v>
      </c>
      <c r="H14" s="150">
        <f>SUM(D14:G14)/'Data Entry'!B6</f>
        <v>1.3181743285549513E-5</v>
      </c>
      <c r="I14" s="150">
        <f>'Data Entry'!C6/'Data Entry'!B6</f>
        <v>0.90588235294117647</v>
      </c>
      <c r="K14" s="96" t="str">
        <f t="shared" si="0"/>
        <v>Population, total N=1785</v>
      </c>
      <c r="L14">
        <f>I14/(SUM(B14:G14))</f>
        <v>9.625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Kalkaska</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1617</v>
      </c>
      <c r="D7" s="104">
        <f>'Data Entry'!D6</f>
        <v>38</v>
      </c>
      <c r="E7" s="105"/>
      <c r="F7" s="106">
        <f>'Data Entry'!E6</f>
        <v>88</v>
      </c>
      <c r="G7" s="105"/>
      <c r="H7" s="106">
        <f>'Data Entry'!F6</f>
        <v>19</v>
      </c>
      <c r="I7" s="105"/>
      <c r="J7" s="106">
        <f>'Data Entry'!J6</f>
        <v>168</v>
      </c>
      <c r="K7" s="107"/>
    </row>
    <row r="8" spans="2:30" s="1" customFormat="1" ht="15" customHeight="1">
      <c r="B8" s="121" t="s">
        <v>8</v>
      </c>
      <c r="C8" s="103">
        <f>'Data Entry'!C7</f>
        <v>4</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c r="B9" s="121" t="s">
        <v>134</v>
      </c>
      <c r="C9" s="103">
        <f>'Data Entry'!C8</f>
        <v>24</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22</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17</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Kalkaska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1617</v>
      </c>
      <c r="D6" s="34"/>
      <c r="E6" s="33">
        <f>'Data Entry'!D6</f>
        <v>38</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2.4737167594310452</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38</v>
      </c>
      <c r="P7" s="42">
        <f t="shared" ref="P7:P15" si="2">C7</f>
        <v>4</v>
      </c>
      <c r="Q7" s="42">
        <f>C6-C7</f>
        <v>1613</v>
      </c>
      <c r="R7" s="42">
        <f t="shared" ref="R7:R15" si="3">SUM(N7:Q7)</f>
        <v>1655</v>
      </c>
      <c r="S7" s="30">
        <f t="shared" ref="S7:S15" si="4">R7*((((N7*Q7)-(O7*P7))^2))</f>
        <v>38237120</v>
      </c>
      <c r="T7" s="30">
        <f t="shared" ref="T7:T15" si="5">(N7+O7)*(P7+Q7)*(N7+P7)*(O7+Q7)</f>
        <v>405789384</v>
      </c>
      <c r="U7" s="31">
        <f t="shared" ref="U7:U15" si="6">IF((S7&gt;0),S7/T7,"- -")</f>
        <v>9.4228980618181968E-2</v>
      </c>
    </row>
    <row r="8" spans="2:21" ht="18" customHeight="1">
      <c r="B8" s="32" t="str">
        <f>'Data Entry'!A8</f>
        <v>3. Refer to Juvenile Court</v>
      </c>
      <c r="C8" s="33">
        <f>'Data Entry'!C8</f>
        <v>24</v>
      </c>
      <c r="D8" s="34">
        <f>IF((AND(C67&gt;0,C8&gt;0)),(C8/C67),0)</f>
        <v>600</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24</v>
      </c>
      <c r="Q8" s="42">
        <f>(C$67*L67)-C8</f>
        <v>-20</v>
      </c>
      <c r="R8" s="42">
        <f t="shared" si="3"/>
        <v>4.0500000000000007</v>
      </c>
      <c r="S8" s="30">
        <f t="shared" si="4"/>
        <v>5.8320000000000025</v>
      </c>
      <c r="T8" s="30">
        <f t="shared" si="5"/>
        <v>-95.76</v>
      </c>
      <c r="U8" s="31">
        <f t="shared" si="6"/>
        <v>-6.090225563909777E-2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24</v>
      </c>
      <c r="R9" s="42">
        <f t="shared" si="3"/>
        <v>24</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24</v>
      </c>
      <c r="R10" s="42">
        <f t="shared" si="3"/>
        <v>24</v>
      </c>
      <c r="S10" s="30">
        <f t="shared" si="4"/>
        <v>0</v>
      </c>
      <c r="T10" s="30">
        <f t="shared" si="5"/>
        <v>0</v>
      </c>
      <c r="U10" s="31" t="str">
        <f t="shared" si="6"/>
        <v>- -</v>
      </c>
    </row>
    <row r="11" spans="2:21" ht="18" customHeight="1">
      <c r="B11" s="32" t="str">
        <f>'Data Entry'!A11</f>
        <v>6. Cases Petitioned (Charge Filed)</v>
      </c>
      <c r="C11" s="33">
        <f>'Data Entry'!C11</f>
        <v>22</v>
      </c>
      <c r="D11" s="34">
        <f>IF(((AND(C68&gt;0,C11&gt;0))),(C11/(C68)),0)</f>
        <v>91.666666666666671</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22</v>
      </c>
      <c r="Q11" s="42">
        <f>(C$68*L68)-C11</f>
        <v>2</v>
      </c>
      <c r="R11" s="42">
        <f t="shared" si="3"/>
        <v>24</v>
      </c>
      <c r="S11" s="30">
        <f t="shared" si="4"/>
        <v>0</v>
      </c>
      <c r="T11" s="30">
        <f t="shared" si="5"/>
        <v>0</v>
      </c>
      <c r="U11" s="31" t="str">
        <f t="shared" si="6"/>
        <v>- -</v>
      </c>
    </row>
    <row r="12" spans="2:21" ht="18" customHeight="1">
      <c r="B12" s="32" t="str">
        <f>'Data Entry'!A12</f>
        <v>7. Cases Resulting in Delinquent Findings</v>
      </c>
      <c r="C12" s="33">
        <f>'Data Entry'!C12</f>
        <v>17</v>
      </c>
      <c r="D12" s="34">
        <f>IF(((AND(C69&gt;0,C12&gt;0))),(C12/(C69)),0)</f>
        <v>77.272727272727266</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17</v>
      </c>
      <c r="Q12" s="42">
        <f>(C69*L69)-C12</f>
        <v>5</v>
      </c>
      <c r="R12" s="42">
        <f t="shared" si="3"/>
        <v>22</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17</v>
      </c>
      <c r="R13" s="42">
        <f t="shared" si="3"/>
        <v>17</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17</v>
      </c>
      <c r="R14" s="42">
        <f t="shared" si="3"/>
        <v>17</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22</v>
      </c>
      <c r="R15" s="42">
        <f t="shared" si="3"/>
        <v>22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1.617</v>
      </c>
      <c r="D42" s="56">
        <f>E6/1000</f>
        <v>3.7999999999999999E-2</v>
      </c>
      <c r="E42" s="56">
        <f>MAX(C42:D42)</f>
        <v>1.617</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0.24</v>
      </c>
      <c r="D44" s="56">
        <f>E8/100</f>
        <v>0</v>
      </c>
      <c r="E44" s="56">
        <f>MAX(C44:D44,0)</f>
        <v>0.24</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0.17</v>
      </c>
      <c r="D46" s="49">
        <f>E12/100</f>
        <v>0</v>
      </c>
      <c r="E46" s="56">
        <f>MAX(C46:D46)</f>
        <v>0.17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1.617</v>
      </c>
      <c r="D48" s="56">
        <f>D42</f>
        <v>3.7999999999999999E-2</v>
      </c>
      <c r="E48" s="56">
        <f>MAX(C48:D48)</f>
        <v>1.617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referrals</v>
      </c>
      <c r="C50" s="49">
        <f t="shared" si="9"/>
        <v>0.24</v>
      </c>
      <c r="D50" s="49">
        <f t="shared" si="9"/>
        <v>0</v>
      </c>
      <c r="E50" s="49">
        <f>MAX(C50:D50)</f>
        <v>0.24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1.617</v>
      </c>
      <c r="D54" s="56">
        <f>D48</f>
        <v>3.7999999999999999E-2</v>
      </c>
      <c r="E54" s="56">
        <f>MAX(C54:D54)</f>
        <v>1.617</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referrals</v>
      </c>
      <c r="C56" s="49">
        <f t="shared" si="10"/>
        <v>0.24</v>
      </c>
      <c r="D56" s="49">
        <f t="shared" si="10"/>
        <v>0</v>
      </c>
      <c r="E56" s="49">
        <f>MAX(C56:D56)</f>
        <v>0.24</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1.617</v>
      </c>
      <c r="D60" s="56">
        <f>D54</f>
        <v>3.7999999999999999E-2</v>
      </c>
      <c r="E60" s="56">
        <f>MAX(C60:D60)</f>
        <v>1.617</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referrals</v>
      </c>
      <c r="C62" s="49">
        <f t="shared" si="11"/>
        <v>0.24</v>
      </c>
      <c r="D62" s="49">
        <f t="shared" si="11"/>
        <v>0</v>
      </c>
      <c r="E62" s="49">
        <f>MAX(C62:D62)</f>
        <v>0.24</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1.617</v>
      </c>
      <c r="D66" s="56">
        <f>D60</f>
        <v>3.7999999999999999E-2</v>
      </c>
      <c r="E66" s="56">
        <f>MAX(C66:D66)</f>
        <v>1.617</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referrals</v>
      </c>
      <c r="C68" s="49">
        <f t="shared" si="12"/>
        <v>0.24</v>
      </c>
      <c r="D68" s="49">
        <f t="shared" si="12"/>
        <v>0</v>
      </c>
      <c r="E68" s="49">
        <f>MAX(C68:D68)</f>
        <v>0.24</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Kalkaska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1617</v>
      </c>
      <c r="D6" s="34"/>
      <c r="E6" s="33">
        <f>'Data Entry'!F6</f>
        <v>19</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2.4737167594310452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19</v>
      </c>
      <c r="P7" s="42">
        <f t="shared" ref="P7:P15" si="4">C7</f>
        <v>4</v>
      </c>
      <c r="Q7" s="42">
        <f>C6-C7</f>
        <v>1613</v>
      </c>
      <c r="R7" s="42">
        <f t="shared" ref="R7:R15" si="5">SUM(N7:Q7)</f>
        <v>1636</v>
      </c>
      <c r="S7" s="30">
        <f t="shared" ref="S7:S15" si="6">R7*((((N7*Q7)-(O7*P7))^2))</f>
        <v>9449536</v>
      </c>
      <c r="T7" s="30">
        <f t="shared" ref="T7:T15" si="7">(N7+O7)*(P7+Q7)*(N7+P7)*(O7+Q7)</f>
        <v>200559744</v>
      </c>
      <c r="U7" s="31">
        <f t="shared" ref="U7:U15" si="8">IF((S7&gt;0),S7/T7,"- -")</f>
        <v>4.7115816023379047E-2</v>
      </c>
    </row>
    <row r="8" spans="2:21" ht="18" customHeight="1">
      <c r="B8" s="32" t="str">
        <f>'Data Entry'!A8</f>
        <v>3. Refer to Juvenile Court</v>
      </c>
      <c r="C8" s="33">
        <f>'Data Entry'!C8</f>
        <v>24</v>
      </c>
      <c r="D8" s="34">
        <f>IF((AND(C67&gt;0,C8&gt;0)),(C8/C67),0)</f>
        <v>600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24</v>
      </c>
      <c r="Q8" s="42">
        <f>(C$67*L67)-C8</f>
        <v>-20</v>
      </c>
      <c r="R8" s="42">
        <f t="shared" si="5"/>
        <v>4.0500000000000007</v>
      </c>
      <c r="S8" s="30">
        <f t="shared" si="6"/>
        <v>5.8320000000000025</v>
      </c>
      <c r="T8" s="30">
        <f t="shared" si="7"/>
        <v>-95.76</v>
      </c>
      <c r="U8" s="31">
        <f t="shared" si="8"/>
        <v>-6.090225563909777E-2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24</v>
      </c>
      <c r="R9" s="42">
        <f t="shared" si="5"/>
        <v>24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24</v>
      </c>
      <c r="R10" s="42">
        <f t="shared" si="5"/>
        <v>24</v>
      </c>
      <c r="S10" s="30">
        <f t="shared" si="6"/>
        <v>0</v>
      </c>
      <c r="T10" s="30">
        <f t="shared" si="7"/>
        <v>0</v>
      </c>
      <c r="U10" s="31" t="str">
        <f t="shared" si="8"/>
        <v>- -</v>
      </c>
    </row>
    <row r="11" spans="2:21" ht="18" customHeight="1">
      <c r="B11" s="32" t="str">
        <f>'Data Entry'!A11</f>
        <v>6. Cases Petitioned (Charge Filed)</v>
      </c>
      <c r="C11" s="33">
        <f>'Data Entry'!C11</f>
        <v>22</v>
      </c>
      <c r="D11" s="34">
        <f>IF(((AND(C68&gt;0,C11&gt;0))),(C11/(C68)),0)</f>
        <v>91.666666666666671</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2</v>
      </c>
      <c r="R11" s="42">
        <f t="shared" si="5"/>
        <v>24</v>
      </c>
      <c r="S11" s="30">
        <f t="shared" si="6"/>
        <v>0</v>
      </c>
      <c r="T11" s="30">
        <f t="shared" si="7"/>
        <v>0</v>
      </c>
      <c r="U11" s="31" t="str">
        <f t="shared" si="8"/>
        <v>- -</v>
      </c>
    </row>
    <row r="12" spans="2:21" ht="18" customHeight="1">
      <c r="B12" s="32" t="str">
        <f>'Data Entry'!A12</f>
        <v>7. Cases Resulting in Delinquent Findings</v>
      </c>
      <c r="C12" s="33">
        <f>'Data Entry'!C12</f>
        <v>17</v>
      </c>
      <c r="D12" s="34">
        <f>IF(((AND(C69&gt;0,C12&gt;0))),(C12/(C69)),0)</f>
        <v>77.272727272727266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5</v>
      </c>
      <c r="R12" s="42">
        <f t="shared" si="5"/>
        <v>22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17</v>
      </c>
      <c r="R14" s="42">
        <f t="shared" si="5"/>
        <v>17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1.617</v>
      </c>
      <c r="D42" s="56">
        <f>E6/1000</f>
        <v>1.9E-2</v>
      </c>
      <c r="E42" s="56">
        <f>MAX(C42:D42)</f>
        <v>1.617</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0.24</v>
      </c>
      <c r="D44" s="56">
        <f>E8/100</f>
        <v>0</v>
      </c>
      <c r="E44" s="56">
        <f>MAX(C44:D44,0)</f>
        <v>0.24</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0.17</v>
      </c>
      <c r="D46" s="49">
        <f>E12/100</f>
        <v>0</v>
      </c>
      <c r="E46" s="56">
        <f>MAX(C46:D46)</f>
        <v>0.17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1.617</v>
      </c>
      <c r="D48" s="56">
        <f>D42</f>
        <v>1.9E-2</v>
      </c>
      <c r="E48" s="56">
        <f>MAX(C48:D48)</f>
        <v>1.617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referrals</v>
      </c>
      <c r="C50" s="49">
        <f t="shared" si="9"/>
        <v>0.24</v>
      </c>
      <c r="D50" s="49">
        <f t="shared" si="9"/>
        <v>0</v>
      </c>
      <c r="E50" s="49">
        <f>MAX(C50:D50)</f>
        <v>0.24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1.617</v>
      </c>
      <c r="D54" s="56">
        <f>D48</f>
        <v>1.9E-2</v>
      </c>
      <c r="E54" s="56">
        <f>MAX(C54:D54)</f>
        <v>1.617</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referrals</v>
      </c>
      <c r="C56" s="49">
        <f t="shared" si="10"/>
        <v>0.24</v>
      </c>
      <c r="D56" s="49">
        <f t="shared" si="10"/>
        <v>0</v>
      </c>
      <c r="E56" s="49">
        <f>MAX(C56:D56)</f>
        <v>0.24</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1.617</v>
      </c>
      <c r="D60" s="56">
        <f>D54</f>
        <v>1.9E-2</v>
      </c>
      <c r="E60" s="56">
        <f>MAX(C60:D60)</f>
        <v>1.617</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referrals</v>
      </c>
      <c r="C62" s="49">
        <f t="shared" si="11"/>
        <v>0.24</v>
      </c>
      <c r="D62" s="49">
        <f t="shared" si="11"/>
        <v>0</v>
      </c>
      <c r="E62" s="49">
        <f>MAX(C62:D62)</f>
        <v>0.24</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1.617</v>
      </c>
      <c r="D66" s="56">
        <f>D60</f>
        <v>1.9E-2</v>
      </c>
      <c r="E66" s="56">
        <f>MAX(C66:D66)</f>
        <v>1.617</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referrals</v>
      </c>
      <c r="C68" s="49">
        <f t="shared" si="12"/>
        <v>0.24</v>
      </c>
      <c r="D68" s="49">
        <f t="shared" si="12"/>
        <v>0</v>
      </c>
      <c r="E68" s="49">
        <f>MAX(C68:D68)</f>
        <v>0.24</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Kalkaska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1617</v>
      </c>
      <c r="D6" s="34"/>
      <c r="E6" s="33">
        <f>'Data Entry'!E6</f>
        <v>88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2.4737167594310452</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88</v>
      </c>
      <c r="P7" s="42">
        <f t="shared" ref="P7:P15" si="4">C7</f>
        <v>4</v>
      </c>
      <c r="Q7" s="42">
        <f>C6-C7</f>
        <v>1613</v>
      </c>
      <c r="R7" s="42">
        <f t="shared" ref="R7:R15" si="5">SUM(N7:Q7)</f>
        <v>1705</v>
      </c>
      <c r="S7" s="30">
        <f t="shared" ref="S7:S15" si="6">R7*((((N7*Q7)-(O7*P7))^2))</f>
        <v>211256320</v>
      </c>
      <c r="T7" s="30">
        <f t="shared" ref="T7:T15" si="7">(N7+O7)*(P7+Q7)*(N7+P7)*(O7+Q7)</f>
        <v>968181984</v>
      </c>
      <c r="U7" s="31">
        <f t="shared" ref="U7:U15" si="8">IF((S7&gt;0),S7/T7,"- -")</f>
        <v>0.21819897859202469</v>
      </c>
    </row>
    <row r="8" spans="2:21" ht="18" customHeight="1">
      <c r="B8" s="32" t="str">
        <f>'Data Entry'!A8</f>
        <v>3. Refer to Juvenile Court</v>
      </c>
      <c r="C8" s="33">
        <f>'Data Entry'!C8</f>
        <v>24</v>
      </c>
      <c r="D8" s="34">
        <f>IF((AND(C67&gt;0,C8&gt;0)),(C8/C67),0)</f>
        <v>600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24</v>
      </c>
      <c r="Q8" s="42">
        <f>(C$67*L67)-C8</f>
        <v>-20</v>
      </c>
      <c r="R8" s="42">
        <f t="shared" si="5"/>
        <v>4.0500000000000007</v>
      </c>
      <c r="S8" s="30">
        <f t="shared" si="6"/>
        <v>5.8320000000000025</v>
      </c>
      <c r="T8" s="30">
        <f t="shared" si="7"/>
        <v>-95.76</v>
      </c>
      <c r="U8" s="31">
        <f t="shared" si="8"/>
        <v>-6.090225563909777E-2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24</v>
      </c>
      <c r="R9" s="42">
        <f t="shared" si="5"/>
        <v>24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24</v>
      </c>
      <c r="R10" s="42">
        <f t="shared" si="5"/>
        <v>24</v>
      </c>
      <c r="S10" s="30">
        <f t="shared" si="6"/>
        <v>0</v>
      </c>
      <c r="T10" s="30">
        <f t="shared" si="7"/>
        <v>0</v>
      </c>
      <c r="U10" s="31" t="str">
        <f t="shared" si="8"/>
        <v>- -</v>
      </c>
    </row>
    <row r="11" spans="2:21" ht="18" customHeight="1">
      <c r="B11" s="32" t="str">
        <f>'Data Entry'!A11</f>
        <v>6. Cases Petitioned (Charge Filed)</v>
      </c>
      <c r="C11" s="33">
        <f>'Data Entry'!C11</f>
        <v>22</v>
      </c>
      <c r="D11" s="34">
        <f>IF(((AND(C68&gt;0,C11&gt;0))),(C11/(C68)),0)</f>
        <v>91.666666666666671</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2</v>
      </c>
      <c r="R11" s="42">
        <f t="shared" si="5"/>
        <v>24</v>
      </c>
      <c r="S11" s="30">
        <f t="shared" si="6"/>
        <v>0</v>
      </c>
      <c r="T11" s="30">
        <f t="shared" si="7"/>
        <v>0</v>
      </c>
      <c r="U11" s="31" t="str">
        <f t="shared" si="8"/>
        <v>- -</v>
      </c>
    </row>
    <row r="12" spans="2:21" ht="18" customHeight="1">
      <c r="B12" s="32" t="str">
        <f>'Data Entry'!A12</f>
        <v>7. Cases Resulting in Delinquent Findings</v>
      </c>
      <c r="C12" s="33">
        <f>'Data Entry'!C12</f>
        <v>17</v>
      </c>
      <c r="D12" s="34">
        <f>IF(((AND(C69&gt;0,C12&gt;0))),(C12/(C69)),0)</f>
        <v>77.272727272727266</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5</v>
      </c>
      <c r="R12" s="42">
        <f t="shared" si="5"/>
        <v>22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17</v>
      </c>
      <c r="R14" s="42">
        <f t="shared" si="5"/>
        <v>17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1.617</v>
      </c>
      <c r="D42" s="56">
        <f>E6/1000</f>
        <v>8.7999999999999995E-2</v>
      </c>
      <c r="E42" s="56">
        <f>MAX(C42:D42)</f>
        <v>1.617</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0.24</v>
      </c>
      <c r="D44" s="56">
        <f>E8/100</f>
        <v>0</v>
      </c>
      <c r="E44" s="56">
        <f>MAX(C44:D44,0)</f>
        <v>0.24</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0.17</v>
      </c>
      <c r="D46" s="49">
        <f>E12/100</f>
        <v>0</v>
      </c>
      <c r="E46" s="56">
        <f>MAX(C46:D46)</f>
        <v>0.17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1.617</v>
      </c>
      <c r="D48" s="56">
        <f>D42</f>
        <v>8.7999999999999995E-2</v>
      </c>
      <c r="E48" s="56">
        <f>MAX(C48:D48)</f>
        <v>1.617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referrals</v>
      </c>
      <c r="C50" s="49">
        <f t="shared" si="9"/>
        <v>0.24</v>
      </c>
      <c r="D50" s="49">
        <f t="shared" si="9"/>
        <v>0</v>
      </c>
      <c r="E50" s="49">
        <f>MAX(C50:D50)</f>
        <v>0.24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1.617</v>
      </c>
      <c r="D54" s="56">
        <f>D48</f>
        <v>8.7999999999999995E-2</v>
      </c>
      <c r="E54" s="56">
        <f>MAX(C54:D54)</f>
        <v>1.617</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referrals</v>
      </c>
      <c r="C56" s="49">
        <f t="shared" si="10"/>
        <v>0.24</v>
      </c>
      <c r="D56" s="49">
        <f t="shared" si="10"/>
        <v>0</v>
      </c>
      <c r="E56" s="49">
        <f>MAX(C56:D56)</f>
        <v>0.24</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1.617</v>
      </c>
      <c r="D60" s="56">
        <f>D54</f>
        <v>8.7999999999999995E-2</v>
      </c>
      <c r="E60" s="56">
        <f>MAX(C60:D60)</f>
        <v>1.617</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referrals</v>
      </c>
      <c r="C62" s="49">
        <f t="shared" si="11"/>
        <v>0.24</v>
      </c>
      <c r="D62" s="49">
        <f t="shared" si="11"/>
        <v>0</v>
      </c>
      <c r="E62" s="49">
        <f>MAX(C62:D62)</f>
        <v>0.24</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1.617</v>
      </c>
      <c r="D66" s="56">
        <f>D60</f>
        <v>8.7999999999999995E-2</v>
      </c>
      <c r="E66" s="56">
        <f>MAX(C66:D66)</f>
        <v>1.617</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referrals</v>
      </c>
      <c r="C68" s="49">
        <f t="shared" si="12"/>
        <v>0.24</v>
      </c>
      <c r="D68" s="49">
        <f t="shared" si="12"/>
        <v>0</v>
      </c>
      <c r="E68" s="49">
        <f>MAX(C68:D68)</f>
        <v>0.24</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Kalkaska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1617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2.4737167594310452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v>
      </c>
      <c r="Q7" s="42">
        <f>C6-C7</f>
        <v>1613</v>
      </c>
      <c r="R7" s="42">
        <f t="shared" ref="R7:R15" si="5">SUM(N7:Q7)</f>
        <v>1617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24</v>
      </c>
      <c r="D8" s="34">
        <f>IF((AND(C67&gt;0,C8&gt;0)),(C8/C67),0)</f>
        <v>600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24</v>
      </c>
      <c r="Q8" s="42">
        <f>(C$67*L67)-C8</f>
        <v>-20</v>
      </c>
      <c r="R8" s="42">
        <f t="shared" si="5"/>
        <v>4.0500000000000007</v>
      </c>
      <c r="S8" s="30">
        <f t="shared" si="6"/>
        <v>5.8320000000000025</v>
      </c>
      <c r="T8" s="30">
        <f t="shared" si="7"/>
        <v>-95.76</v>
      </c>
      <c r="U8" s="31">
        <f t="shared" si="8"/>
        <v>-6.090225563909777E-2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24</v>
      </c>
      <c r="R9" s="42">
        <f t="shared" si="5"/>
        <v>24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24</v>
      </c>
      <c r="R10" s="42">
        <f t="shared" si="5"/>
        <v>24</v>
      </c>
      <c r="S10" s="30">
        <f t="shared" si="6"/>
        <v>0</v>
      </c>
      <c r="T10" s="30">
        <f t="shared" si="7"/>
        <v>0</v>
      </c>
      <c r="U10" s="31" t="str">
        <f t="shared" si="8"/>
        <v>- -</v>
      </c>
    </row>
    <row r="11" spans="2:21" ht="18" customHeight="1">
      <c r="B11" s="32" t="str">
        <f>'Data Entry'!A11</f>
        <v>6. Cases Petitioned (Charge Filed)</v>
      </c>
      <c r="C11" s="33">
        <f>'Data Entry'!C11</f>
        <v>22</v>
      </c>
      <c r="D11" s="34">
        <f>IF(((AND(C68&gt;0,C11&gt;0))),(C11/(C68)),0)</f>
        <v>91.666666666666671</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2</v>
      </c>
      <c r="R11" s="42">
        <f t="shared" si="5"/>
        <v>24</v>
      </c>
      <c r="S11" s="30">
        <f t="shared" si="6"/>
        <v>0</v>
      </c>
      <c r="T11" s="30">
        <f t="shared" si="7"/>
        <v>0</v>
      </c>
      <c r="U11" s="31" t="str">
        <f t="shared" si="8"/>
        <v>- -</v>
      </c>
    </row>
    <row r="12" spans="2:21" ht="18" customHeight="1">
      <c r="B12" s="32" t="str">
        <f>'Data Entry'!A12</f>
        <v>7. Cases Resulting in Delinquent Findings</v>
      </c>
      <c r="C12" s="33">
        <f>'Data Entry'!C12</f>
        <v>17</v>
      </c>
      <c r="D12" s="34">
        <f>IF(((AND(C69&gt;0,C12&gt;0))),(C12/(C69)),0)</f>
        <v>77.272727272727266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5</v>
      </c>
      <c r="R12" s="42">
        <f t="shared" si="5"/>
        <v>22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17</v>
      </c>
      <c r="R14" s="42">
        <f t="shared" si="5"/>
        <v>17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1.617</v>
      </c>
      <c r="D42" s="56">
        <f>E6/1000</f>
        <v>0</v>
      </c>
      <c r="E42" s="56">
        <f>MAX(C42:D42)</f>
        <v>1.617</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0.24</v>
      </c>
      <c r="D44" s="56">
        <f>E8/100</f>
        <v>0</v>
      </c>
      <c r="E44" s="56">
        <f>MAX(C44:D44,0)</f>
        <v>0.24</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0.17</v>
      </c>
      <c r="D46" s="49">
        <f>E12/100</f>
        <v>0</v>
      </c>
      <c r="E46" s="56">
        <f>MAX(C46:D46)</f>
        <v>0.17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1.617</v>
      </c>
      <c r="D48" s="56">
        <f>D42</f>
        <v>0</v>
      </c>
      <c r="E48" s="56">
        <f>MAX(C48:D48)</f>
        <v>1.617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referrals</v>
      </c>
      <c r="C50" s="49">
        <f t="shared" si="9"/>
        <v>0.24</v>
      </c>
      <c r="D50" s="49">
        <f t="shared" si="9"/>
        <v>0</v>
      </c>
      <c r="E50" s="49">
        <f>MAX(C50:D50)</f>
        <v>0.24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1.617</v>
      </c>
      <c r="D54" s="56">
        <f>D48</f>
        <v>0</v>
      </c>
      <c r="E54" s="56">
        <f>MAX(C54:D54)</f>
        <v>1.617</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referrals</v>
      </c>
      <c r="C56" s="49">
        <f t="shared" si="10"/>
        <v>0.24</v>
      </c>
      <c r="D56" s="49">
        <f t="shared" si="10"/>
        <v>0</v>
      </c>
      <c r="E56" s="49">
        <f>MAX(C56:D56)</f>
        <v>0.24</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1.617</v>
      </c>
      <c r="D60" s="56">
        <f>D54</f>
        <v>0</v>
      </c>
      <c r="E60" s="56">
        <f>MAX(C60:D60)</f>
        <v>1.617</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referrals</v>
      </c>
      <c r="C62" s="49">
        <f t="shared" si="11"/>
        <v>0.24</v>
      </c>
      <c r="D62" s="49">
        <f t="shared" si="11"/>
        <v>0</v>
      </c>
      <c r="E62" s="49">
        <f>MAX(C62:D62)</f>
        <v>0.24</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1.617</v>
      </c>
      <c r="D66" s="56">
        <f>D60</f>
        <v>0</v>
      </c>
      <c r="E66" s="56">
        <f>MAX(C66:D66)</f>
        <v>1.617</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referrals</v>
      </c>
      <c r="C68" s="49">
        <f t="shared" si="12"/>
        <v>0.24</v>
      </c>
      <c r="D68" s="49">
        <f t="shared" si="12"/>
        <v>0</v>
      </c>
      <c r="E68" s="49">
        <f>MAX(C68:D68)</f>
        <v>0.24</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Kalkaska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1617</v>
      </c>
      <c r="D6" s="34"/>
      <c r="E6" s="33">
        <f>'Data Entry'!H6</f>
        <v>23</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2.4737167594310452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23</v>
      </c>
      <c r="P7" s="42">
        <f t="shared" ref="P7:P15" si="4">C7</f>
        <v>4</v>
      </c>
      <c r="Q7" s="42">
        <f>C6-C7</f>
        <v>1613</v>
      </c>
      <c r="R7" s="42">
        <f t="shared" ref="R7:R15" si="5">SUM(N7:Q7)</f>
        <v>1640</v>
      </c>
      <c r="S7" s="30">
        <f t="shared" ref="S7:S15" si="6">R7*((((N7*Q7)-(O7*P7))^2))</f>
        <v>13880960</v>
      </c>
      <c r="T7" s="30">
        <f t="shared" ref="T7:T15" si="7">(N7+O7)*(P7+Q7)*(N7+P7)*(O7+Q7)</f>
        <v>243377904</v>
      </c>
      <c r="U7" s="31">
        <f t="shared" ref="U7:U15" si="8">IF((S7&gt;0),S7/T7,"- -")</f>
        <v>5.7034594233336809E-2</v>
      </c>
    </row>
    <row r="8" spans="2:21" ht="18" customHeight="1">
      <c r="B8" s="32" t="str">
        <f>'Data Entry'!A8</f>
        <v>3. Refer to Juvenile Court</v>
      </c>
      <c r="C8" s="33">
        <f>'Data Entry'!C8</f>
        <v>24</v>
      </c>
      <c r="D8" s="34">
        <f>IF((AND(C67&gt;0,C8&gt;0)),(C8/C67),0)</f>
        <v>600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24</v>
      </c>
      <c r="Q8" s="42">
        <f>(C$67*L67)-C8</f>
        <v>-20</v>
      </c>
      <c r="R8" s="42">
        <f t="shared" si="5"/>
        <v>4.0500000000000007</v>
      </c>
      <c r="S8" s="30">
        <f t="shared" si="6"/>
        <v>5.8320000000000025</v>
      </c>
      <c r="T8" s="30">
        <f t="shared" si="7"/>
        <v>-95.76</v>
      </c>
      <c r="U8" s="31">
        <f t="shared" si="8"/>
        <v>-6.090225563909777E-2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24</v>
      </c>
      <c r="R9" s="42">
        <f t="shared" si="5"/>
        <v>24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24</v>
      </c>
      <c r="R10" s="42">
        <f t="shared" si="5"/>
        <v>24</v>
      </c>
      <c r="S10" s="30">
        <f t="shared" si="6"/>
        <v>0</v>
      </c>
      <c r="T10" s="30">
        <f t="shared" si="7"/>
        <v>0</v>
      </c>
      <c r="U10" s="31" t="str">
        <f t="shared" si="8"/>
        <v>- -</v>
      </c>
    </row>
    <row r="11" spans="2:21" ht="18" customHeight="1">
      <c r="B11" s="32" t="str">
        <f>'Data Entry'!A11</f>
        <v>6. Cases Petitioned (Charge Filed)</v>
      </c>
      <c r="C11" s="33">
        <f>'Data Entry'!C11</f>
        <v>22</v>
      </c>
      <c r="D11" s="34">
        <f>IF(((AND(C68&gt;0,C11&gt;0))),(C11/(C68)),0)</f>
        <v>91.666666666666671</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2</v>
      </c>
      <c r="R11" s="42">
        <f t="shared" si="5"/>
        <v>24</v>
      </c>
      <c r="S11" s="30">
        <f t="shared" si="6"/>
        <v>0</v>
      </c>
      <c r="T11" s="30">
        <f t="shared" si="7"/>
        <v>0</v>
      </c>
      <c r="U11" s="31" t="str">
        <f t="shared" si="8"/>
        <v>- -</v>
      </c>
    </row>
    <row r="12" spans="2:21" ht="18" customHeight="1">
      <c r="B12" s="32" t="str">
        <f>'Data Entry'!A12</f>
        <v>7. Cases Resulting in Delinquent Findings</v>
      </c>
      <c r="C12" s="33">
        <f>'Data Entry'!C12</f>
        <v>17</v>
      </c>
      <c r="D12" s="34">
        <f>IF(((AND(C69&gt;0,C12&gt;0))),(C12/(C69)),0)</f>
        <v>77.272727272727266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v>
      </c>
      <c r="Q12" s="42">
        <f>(C69*L69)-C12</f>
        <v>5</v>
      </c>
      <c r="R12" s="42">
        <f t="shared" si="5"/>
        <v>22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17</v>
      </c>
      <c r="R14" s="42">
        <f t="shared" si="5"/>
        <v>17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1.617</v>
      </c>
      <c r="D42" s="56">
        <f>E6/1000</f>
        <v>2.3E-2</v>
      </c>
      <c r="E42" s="56">
        <f>MAX(C42:D42)</f>
        <v>1.617</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0.24</v>
      </c>
      <c r="D44" s="56">
        <f>E8/100</f>
        <v>0</v>
      </c>
      <c r="E44" s="56">
        <f>MAX(C44:D44,0)</f>
        <v>0.24</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0.17</v>
      </c>
      <c r="D46" s="49">
        <f>E12/100</f>
        <v>0</v>
      </c>
      <c r="E46" s="56">
        <f>MAX(C46:D46)</f>
        <v>0.17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1.617</v>
      </c>
      <c r="D48" s="56">
        <f>D42</f>
        <v>2.3E-2</v>
      </c>
      <c r="E48" s="56">
        <f>MAX(C48:D48)</f>
        <v>1.617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referrals</v>
      </c>
      <c r="C50" s="49">
        <f t="shared" si="9"/>
        <v>0.24</v>
      </c>
      <c r="D50" s="49">
        <f t="shared" si="9"/>
        <v>0</v>
      </c>
      <c r="E50" s="49">
        <f>MAX(C50:D50)</f>
        <v>0.24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0.17</v>
      </c>
      <c r="D52" s="49">
        <f>IF(($E46&gt;0),D46,D45)</f>
        <v>0</v>
      </c>
      <c r="E52" s="56">
        <f>MAX(C52:D52)</f>
        <v>0.17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1.617</v>
      </c>
      <c r="D54" s="56">
        <f>D48</f>
        <v>2.3E-2</v>
      </c>
      <c r="E54" s="56">
        <f>MAX(C54:D54)</f>
        <v>1.617</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referrals</v>
      </c>
      <c r="C56" s="49">
        <f t="shared" si="10"/>
        <v>0.24</v>
      </c>
      <c r="D56" s="49">
        <f t="shared" si="10"/>
        <v>0</v>
      </c>
      <c r="E56" s="49">
        <f>MAX(C56:D56)</f>
        <v>0.24</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0.17</v>
      </c>
      <c r="D58" s="49">
        <f>IF(($E52&gt;0),D52,D51)</f>
        <v>0</v>
      </c>
      <c r="E58" s="56">
        <f>MAX(C58:D58)</f>
        <v>0.17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1.617</v>
      </c>
      <c r="D60" s="56">
        <f>D54</f>
        <v>2.3E-2</v>
      </c>
      <c r="E60" s="56">
        <f>MAX(C60:D60)</f>
        <v>1.617</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referrals</v>
      </c>
      <c r="C62" s="49">
        <f t="shared" si="11"/>
        <v>0.24</v>
      </c>
      <c r="D62" s="49">
        <f t="shared" si="11"/>
        <v>0</v>
      </c>
      <c r="E62" s="49">
        <f>MAX(C62:D62)</f>
        <v>0.24</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0.17</v>
      </c>
      <c r="D64" s="49">
        <f>IF(($E58&gt;0),D58,D57)</f>
        <v>0</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1.617</v>
      </c>
      <c r="D66" s="56">
        <f>D60</f>
        <v>2.3E-2</v>
      </c>
      <c r="E66" s="56">
        <f>MAX(C66:D66)</f>
        <v>1.617</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referrals</v>
      </c>
      <c r="C68" s="49">
        <f t="shared" si="12"/>
        <v>0.24</v>
      </c>
      <c r="D68" s="49">
        <f t="shared" si="12"/>
        <v>0</v>
      </c>
      <c r="E68" s="49">
        <f>MAX(C68:D68)</f>
        <v>0.24</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0.17</v>
      </c>
      <c r="D70" s="49">
        <f>IF(($E64&gt;0),D64,D63)</f>
        <v>0</v>
      </c>
      <c r="E70" s="56">
        <f>MAX(C70:D70)</f>
        <v>0.17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U47JMPN4QEAR-1806752177-35358</_dlc_DocId>
    <_dlc_DocIdUrl xmlns="ac3811b5-0f3e-49e2-ba69-f2ffa0c782af">
      <Url>https://michiganphi.sharepoint.com/sites/CMDMC/_layouts/15/DocIdRedir.aspx?ID=U47JMPN4QEAR-1806752177-35358</Url>
      <Description>U47JMPN4QEAR-1806752177-35358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61B0901-0B33-4DD5-8944-7C5851A410A3}">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6322F288-5AFF-4AAF-BA43-F4E0078F0FD4}">
  <ds:schemaRefs>
    <ds:schemaRef ds:uri="http://schemas.microsoft.com/sharepoint/v3/contenttype/forms"/>
  </ds:schemaRefs>
</ds:datastoreItem>
</file>

<file path=customXml/itemProps3.xml><?xml version="1.0" encoding="utf-8"?>
<ds:datastoreItem xmlns:ds="http://schemas.openxmlformats.org/officeDocument/2006/customXml" ds:itemID="{93219D3B-7DA4-4F99-BE42-4EBAFD5B64F1}"/>
</file>

<file path=customXml/itemProps4.xml><?xml version="1.0" encoding="utf-8"?>
<ds:datastoreItem xmlns:ds="http://schemas.openxmlformats.org/officeDocument/2006/customXml" ds:itemID="{1CDCFBAB-8A6C-48F2-AB83-7330F606F3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2af486b0-dc7d-4a36-bf87-fdeb5072aecc</vt:lpwstr>
  </property>
</Properties>
</file>