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C9951665-CE4F-4197-A337-ECA5D65AD650}" xr6:coauthVersionLast="47" xr6:coauthVersionMax="47" xr10:uidLastSave="{CDDF86F8-AB36-41FE-BDD4-8467C740C6B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B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49" i="7"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B56" i="8"/>
  <c r="C64" i="5"/>
  <c r="L64" i="3"/>
  <c r="L56" i="8"/>
  <c r="D64" i="5"/>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C69" i="7"/>
  <c r="D12" i="7" s="1"/>
  <c r="L69" i="7"/>
  <c r="C63" i="8"/>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Q15"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D15" i="3"/>
  <c r="B69" i="6"/>
  <c r="M69" i="6" s="1"/>
  <c r="Q12" i="7"/>
  <c r="L69" i="3"/>
  <c r="Q12" i="3" s="1"/>
  <c r="D69" i="3"/>
  <c r="E69" i="3" s="1"/>
  <c r="C69" i="6"/>
  <c r="D12" i="6" s="1"/>
  <c r="Q13" i="8"/>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6" l="1"/>
  <c r="F32" i="6"/>
  <c r="F35" i="6"/>
  <c r="O15" i="6"/>
  <c r="R12" i="7"/>
  <c r="S12" i="7" s="1"/>
  <c r="U12" i="7" s="1"/>
  <c r="J12" i="7" s="1"/>
  <c r="F15" i="3"/>
  <c r="O12" i="3"/>
  <c r="R12" i="3" s="1"/>
  <c r="S12" i="3" s="1"/>
  <c r="U12" i="3" s="1"/>
  <c r="J12" i="3" s="1"/>
  <c r="F12" i="3"/>
  <c r="O15" i="3"/>
  <c r="K15" i="3" s="1"/>
  <c r="T12" i="7"/>
  <c r="K12" i="7"/>
  <c r="K15" i="7"/>
  <c r="L15" i="7" s="1"/>
  <c r="S16" i="16" s="1"/>
  <c r="D15" i="6"/>
  <c r="Q12" i="6"/>
  <c r="Q15" i="6"/>
  <c r="R15" i="6" s="1"/>
  <c r="S15" i="6" s="1"/>
  <c r="U15" i="6" s="1"/>
  <c r="J15" i="6" s="1"/>
  <c r="R13" i="8"/>
  <c r="S13" i="8" s="1"/>
  <c r="U13" i="8" s="1"/>
  <c r="J13" i="8" s="1"/>
  <c r="M13" i="8" s="1"/>
  <c r="G13" i="8" s="1"/>
  <c r="K14" i="16" s="1"/>
  <c r="T14" i="6"/>
  <c r="R13" i="6"/>
  <c r="S13" i="6" s="1"/>
  <c r="U13" i="6" s="1"/>
  <c r="J13" i="6" s="1"/>
  <c r="M13" i="6" s="1"/>
  <c r="G13" i="6" s="1"/>
  <c r="G13" i="9" s="1"/>
  <c r="R14" i="6"/>
  <c r="S14" i="6" s="1"/>
  <c r="U14" i="6" s="1"/>
  <c r="J14" i="6" s="1"/>
  <c r="M14" i="6" s="1"/>
  <c r="G14" i="6" s="1"/>
  <c r="M15" i="13" s="1"/>
  <c r="R14" i="8"/>
  <c r="S14" i="8" s="1"/>
  <c r="R14" i="3"/>
  <c r="S14" i="3" s="1"/>
  <c r="U14" i="3" s="1"/>
  <c r="J14" i="3" s="1"/>
  <c r="M14" i="3" s="1"/>
  <c r="G14" i="3" s="1"/>
  <c r="I15" i="16" s="1"/>
  <c r="K13" i="3"/>
  <c r="K13" i="6"/>
  <c r="F32" i="3"/>
  <c r="F35" i="3"/>
  <c r="T13" i="6"/>
  <c r="T13" i="8"/>
  <c r="O12" i="6"/>
  <c r="E69" i="6"/>
  <c r="T13" i="3"/>
  <c r="K14" i="3"/>
  <c r="T14" i="3"/>
  <c r="R13" i="3"/>
  <c r="S13" i="3" s="1"/>
  <c r="U13" i="3" s="1"/>
  <c r="J13" i="3" s="1"/>
  <c r="M13" i="3" s="1"/>
  <c r="G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6" l="1"/>
  <c r="L12" i="7"/>
  <c r="S13" i="16" s="1"/>
  <c r="T12" i="3"/>
  <c r="K12" i="3"/>
  <c r="T15" i="3"/>
  <c r="K15" i="6"/>
  <c r="L15" i="6" s="1"/>
  <c r="R16" i="16" s="1"/>
  <c r="Q14" i="13"/>
  <c r="I13" i="9"/>
  <c r="L13" i="8"/>
  <c r="T14" i="16" s="1"/>
  <c r="K12" i="6"/>
  <c r="L13" i="6"/>
  <c r="R14" i="16" s="1"/>
  <c r="I15" i="13"/>
  <c r="M14" i="13"/>
  <c r="U14" i="8"/>
  <c r="J14" i="8" s="1"/>
  <c r="N30" i="8" s="1"/>
  <c r="R12" i="6"/>
  <c r="S12" i="6" s="1"/>
  <c r="U12" i="6" s="1"/>
  <c r="J12" i="6" s="1"/>
  <c r="L13" i="3"/>
  <c r="P14" i="16" s="1"/>
  <c r="E14" i="9"/>
  <c r="N30" i="3"/>
  <c r="L14" i="3"/>
  <c r="P15" i="16" s="1"/>
  <c r="T12"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M15" i="6"/>
  <c r="G15" i="6" s="1"/>
  <c r="L13" i="7"/>
  <c r="S14" i="16" s="1"/>
  <c r="M9" i="3"/>
  <c r="G9" i="3" s="1"/>
  <c r="I10" i="13" s="1"/>
  <c r="I14" i="13"/>
  <c r="I14" i="16"/>
  <c r="G12" i="13"/>
  <c r="G12" i="16"/>
  <c r="N9" i="9"/>
  <c r="P10" i="16"/>
  <c r="M14" i="7"/>
  <c r="N30" i="7"/>
  <c r="L14" i="7"/>
  <c r="S15" i="16" s="1"/>
  <c r="L8" i="7"/>
  <c r="S9" i="16" s="1"/>
  <c r="O13" i="9"/>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2" i="6" l="1"/>
  <c r="R13" i="16" s="1"/>
  <c r="M12" i="6"/>
  <c r="G12" i="6" s="1"/>
  <c r="M13" i="13" s="1"/>
  <c r="P13" i="9"/>
  <c r="X14" i="13"/>
  <c r="M14" i="8"/>
  <c r="G14" i="8" s="1"/>
  <c r="K15" i="16" s="1"/>
  <c r="L14" i="8"/>
  <c r="T15" i="16" s="1"/>
  <c r="N13" i="9"/>
  <c r="V14" i="13"/>
  <c r="V15" i="13"/>
  <c r="N14" i="9"/>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2" i="9" l="1"/>
  <c r="Q15" i="13"/>
  <c r="R14" i="9"/>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<sst xmlns="http://schemas.openxmlformats.org/spreadsheetml/2006/main" count="654" uniqueCount="141">
  <si>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</si>
  <si>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</si>
  <si>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</si>
  <si>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</si>
  <si>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</si>
  <si>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</si>
  <si>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</si>
  <si>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</si>
  <si>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</si>
  <si>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</si>
  <si>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</si>
  <si>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</si>
  <si>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</si>
  <si>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</si>
  <si>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</si>
  <si>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</si>
  <si>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</si>
  <si>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</si>
  <si>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</si>
  <si>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</si>
  <si>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</si>
  <si>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</si>
  <si>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</si>
  <si>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</si>
  <si>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</si>
  <si>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</si>
  <si>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</si>
  <si>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</si>
  <si>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</si>
  <si>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</si>
  <si>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</si>
  <si>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</si>
  <si>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</si>
  <si>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</si>
  <si>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</si>
  <si>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</si>
  <si>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</si>
  <si>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</si>
  <si>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</si>
  <si>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</si>
  <si>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</si>
  <si>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</si>
  <si>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</si>
  <si>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</si>
  <si>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</si>
  <si>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</si>
  <si>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</si>
  <si>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</si>
  <si>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</si>
  <si>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</si>
  <si>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</si>
  <si>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</si>
  <si>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</si>
  <si>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</si>
  <si>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</si>
  <si>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</si>
  <si>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</si>
  <si>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</si>
  <si>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</si>
  <si>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</si>
  <si>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</si>
  <si>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</si>
  <si>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</si>
  <si>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</si>
  <si>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</si>
  <si>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</si>
  <si>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</si>
  <si>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</si>
  <si>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</si>
  <si>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</si>
  <si>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</si>
  <si>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</si>
  <si>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</si>
  <si>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</si>
  <si>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</si>
  <si>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</si>
  <si>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</si>
  <si>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</si>
  <si>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</si>
  <si>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</si>
  <si>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</si>
  <si>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</si>
  <si>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</si>
  <si>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</si>
  <si>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</si>
  <si>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</si>
  <si>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</si>
  <si>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</si>
  <si>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</si>
  <si>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</si>
  <si>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</si>
  <si>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</si>
  <si>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</si>
  <si>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</si>
  <si>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</si>
  <si>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</si>
  <si>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</si>
  <si>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</si>
  <si>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</si>
  <si>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</si>
  <si>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</si>
  <si>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</si>
  <si>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</si>
  <si>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</si>
  <si>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</si>
  <si>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</si>
  <si>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</si>
  <si>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</si>
  <si>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</si>
  <si>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</si>
  <si>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</si>
  <si>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</si>
  <si>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</si>
  <si>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</si>
  <si>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</si>
  <si>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</si>
  <si>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</si>
  <si>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</si>
  <si>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</si>
  <si>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</si>
  <si>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</si>
  <si>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</si>
  <si>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</si>
  <si>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</si>
  <si>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</si>
  <si>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</si>
  <si>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</si>
  <si>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</si>
  <si>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</si>
  <si>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</si>
  <si>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</si>
  <si>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</si>
  <si>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</si>
  <si>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</si>
  <si>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</si>
  <si>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</si>
  <si>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Kalkaska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</si>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</sst>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Kalkaska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N=1768</c:v>
                </c:pt>
              </c:strCache>
            </c:strRef>
          </c:cat>
          <c:val>
            <c:numRef>
              <c:f>'Stacked 100%'!$B$7:$B$14</c:f>
              <c:numCache>
                <c:formatCode>0%</c:formatCode>
                <c:ptCount val="8"/>
                <c:pt idx="0">
                  <c:v>0</c:v>
                </c:pt>
                <c:pt idx="1">
                  <c:v>0</c:v>
                </c:pt>
                <c:pt idx="2">
                  <c:v>0</c:v>
                </c:pt>
                <c:pt idx="3">
                  <c:v>0</c:v>
                </c:pt>
                <c:pt idx="4">
                  <c:v>0</c:v>
                </c:pt>
                <c:pt idx="5">
                  <c:v>0</c:v>
                </c:pt>
                <c:pt idx="6">
                  <c:v>0</c:v>
                </c:pt>
                <c:pt idx="7">
                  <c:v>2.4321266968325792E-2</c:v>
                </c:pt>
              </c:numCache>
            </c:numRef>
          </c:val>
          <c:extLst>
            <c:ext xmlns:c16="http://schemas.microsoft.com/office/drawing/2014/chart" uri="{C3380CC4-5D6E-409C-BE32-E72D297353CC}">
              <c16:uniqueId val="{00000000-F55D-4F20-B7CD-AB6CCBBC52B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N=1768</c:v>
                </c:pt>
              </c:strCache>
            </c:strRef>
          </c:cat>
          <c:val>
            <c:numRef>
              <c:f>'Stacked 100%'!$C$7:$C$14</c:f>
              <c:numCache>
                <c:formatCode>0%</c:formatCode>
                <c:ptCount val="8"/>
                <c:pt idx="0">
                  <c:v>0</c:v>
                </c:pt>
                <c:pt idx="1">
                  <c:v>0</c:v>
                </c:pt>
                <c:pt idx="2">
                  <c:v>0</c:v>
                </c:pt>
                <c:pt idx="3">
                  <c:v>0</c:v>
                </c:pt>
                <c:pt idx="4">
                  <c:v>0</c:v>
                </c:pt>
                <c:pt idx="5">
                  <c:v>0</c:v>
                </c:pt>
                <c:pt idx="6">
                  <c:v>0</c:v>
                </c:pt>
                <c:pt idx="7">
                  <c:v>4.2420814479638011E-2</c:v>
                </c:pt>
              </c:numCache>
            </c:numRef>
          </c:val>
          <c:extLst>
            <c:ext xmlns:c16="http://schemas.microsoft.com/office/drawing/2014/chart" uri="{C3380CC4-5D6E-409C-BE32-E72D297353CC}">
              <c16:uniqueId val="{00000001-F55D-4F20-B7CD-AB6CCBBC52B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N=1768</c:v>
                </c:pt>
              </c:strCache>
            </c:strRef>
          </c:cat>
          <c:val>
            <c:numRef>
              <c:f>'Stacked 100%'!$H$7:$H$14</c:f>
              <c:numCache>
                <c:formatCode>0%</c:formatCode>
                <c:ptCount val="8"/>
                <c:pt idx="0">
                  <c:v>0</c:v>
                </c:pt>
                <c:pt idx="1">
                  <c:v>0</c:v>
                </c:pt>
                <c:pt idx="2">
                  <c:v>0</c:v>
                </c:pt>
                <c:pt idx="3">
                  <c:v>0</c:v>
                </c:pt>
                <c:pt idx="4">
                  <c:v>0</c:v>
                </c:pt>
                <c:pt idx="5">
                  <c:v>0</c:v>
                </c:pt>
                <c:pt idx="6">
                  <c:v>2.7777777777777776E-2</c:v>
                </c:pt>
                <c:pt idx="7">
                  <c:v>1.2476710141070001E-5</c:v>
                </c:pt>
              </c:numCache>
            </c:numRef>
          </c:val>
          <c:extLst>
            <c:ext xmlns:c16="http://schemas.microsoft.com/office/drawing/2014/chart" uri="{C3380CC4-5D6E-409C-BE32-E72D297353CC}">
              <c16:uniqueId val="{00000002-F55D-4F20-B7CD-AB6CCBBC52B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N=1768</c:v>
                </c:pt>
              </c:strCache>
            </c:strRef>
          </c:cat>
          <c:val>
            <c:numRef>
              <c:f>'Stacked 100%'!$I$7:$I$14</c:f>
              <c:numCache>
                <c:formatCode>0%</c:formatCode>
                <c:ptCount val="8"/>
                <c:pt idx="0">
                  <c:v>0</c:v>
                </c:pt>
                <c:pt idx="1">
                  <c:v>0</c:v>
                </c:pt>
                <c:pt idx="2">
                  <c:v>0</c:v>
                </c:pt>
                <c:pt idx="3">
                  <c:v>0</c:v>
                </c:pt>
                <c:pt idx="4">
                  <c:v>0</c:v>
                </c:pt>
                <c:pt idx="5">
                  <c:v>0</c:v>
                </c:pt>
                <c:pt idx="6">
                  <c:v>0.83333333333333337</c:v>
                </c:pt>
                <c:pt idx="7">
                  <c:v>0.91119909502262442</c:v>
                </c:pt>
              </c:numCache>
            </c:numRef>
          </c:val>
          <c:extLst>
            <c:ext xmlns:c16="http://schemas.microsoft.com/office/drawing/2014/chart" uri="{C3380CC4-5D6E-409C-BE32-E72D297353CC}">
              <c16:uniqueId val="{00000003-F55D-4F20-B7CD-AB6CCBBC52B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N=1768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55D-4F20-B7CD-AB6CCBBC52B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5" sqref="D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1768</v>
      </c>
      <c r="C6" s="11">
        <v>1611</v>
      </c>
      <c r="D6" s="11">
        <v>43</v>
      </c>
      <c r="E6" s="11">
        <v>75</v>
      </c>
      <c r="F6" s="11">
        <v>17</v>
      </c>
      <c r="G6" s="11"/>
      <c r="H6" s="11">
        <v>22</v>
      </c>
      <c r="I6" s="11"/>
      <c r="J6" s="91">
        <f>SUM(D6:I6)</f>
        <v>157</v>
      </c>
      <c r="K6" s="92"/>
    </row>
    <row r="7" spans="1:11" ht="15.75" customHeight="1" thickBot="1">
      <c r="A7" s="10" t="s">
        <v>8</v>
      </c>
      <c r="B7" s="11">
        <f t="shared" ref="B7:B15" si="0">SUM(C7:I7)+K7</f>
        <v>6</v>
      </c>
      <c r="C7" s="11">
        <v>5</v>
      </c>
      <c r="D7" s="11"/>
      <c r="E7" s="11"/>
      <c r="F7" s="11"/>
      <c r="G7" s="11"/>
      <c r="H7" s="11">
        <v>1</v>
      </c>
      <c r="I7" s="11"/>
      <c r="J7" s="91">
        <f t="shared" ref="J7:J15" si="1">SUM(D7:I7)</f>
        <v>1</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1606</v>
      </c>
      <c r="R7" s="42">
        <f t="shared" ref="R7:R15" si="5">SUM(N7:Q7)</f>
        <v>1611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0</v>
      </c>
      <c r="E42" s="56">
        <f>MAX(C42:D42)</f>
        <v>1.611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0</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0</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0</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0</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Entry'!J6</f>
        <v>157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Entry'!J7</f>
        <v>1</v>
      </c>
      <c r="F7" s="34">
        <f>IF((AND($E$7&gt;0,$D$66&gt;0)),($E$7/$D$66),0)</f>
        <v>6.369426751592357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156</v>
      </c>
      <c r="P7" s="42">
        <f t="shared" ref="P7:P15" si="4">C7</f>
        <v>5</v>
      </c>
      <c r="Q7" s="42">
        <f>C6-C7</f>
        <v>1606</v>
      </c>
      <c r="R7" s="42">
        <f t="shared" ref="R7:R15" si="5">SUM(N7:Q7)</f>
        <v>1768</v>
      </c>
      <c r="S7" s="30">
        <f t="shared" ref="S7:S15" si="6">R7*((((N7*Q7)-(O7*P7))^2))</f>
        <v>1206263968</v>
      </c>
      <c r="T7" s="30">
        <f t="shared" ref="T7:T15" si="7">(N7+O7)*(P7+Q7)*(N7+P7)*(O7+Q7)</f>
        <v>2673944244</v>
      </c>
      <c r="U7" s="31">
        <f t="shared" ref="U7:U15" si="8">IF((S7&gt;0),S7/T7,"- -")</f>
        <v>0.45111784612065381</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0.157</v>
      </c>
      <c r="E42" s="56">
        <f>MAX(C42:D42)</f>
        <v>1.611</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0.157</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0.01</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0.157</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0.01</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0.01</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0.157</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0.01</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0.01</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0.157</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0.01</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0.01</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0.01</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Kalkaska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20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1768</v>
      </c>
      <c r="D3" s="57">
        <f>'Data Entry'!C6</f>
        <v>1611</v>
      </c>
      <c r="E3" s="57">
        <f>'Data Entry'!D6</f>
        <v>43</v>
      </c>
      <c r="F3" s="57">
        <f>'Data Entry'!E6</f>
        <v>75</v>
      </c>
      <c r="G3" s="57">
        <f>'Data Entry'!F6</f>
        <v>17</v>
      </c>
      <c r="H3" s="57">
        <f>'Data Entry'!G6</f>
        <v>0</v>
      </c>
      <c r="I3" s="57">
        <f>'Data Entry'!H6</f>
        <v>22</v>
      </c>
      <c r="J3" s="57">
        <f>'Data Entry'!I6</f>
        <v>0</v>
      </c>
      <c r="K3" s="57">
        <f>'Data Entry'!J6</f>
        <v>157</v>
      </c>
    </row>
    <row r="4" spans="2:11" ht="15" customHeight="1">
      <c r="B4" s="16" t="s">
        <v>8</v>
      </c>
      <c r="C4" s="1">
        <f>IF((C$3&gt;0),(1000*('Data Entry'!B7/'Data Entry'!B$6)), 0)</f>
        <v>3.3936651583710407</v>
      </c>
      <c r="D4" s="1">
        <f>IF((D$3&gt;0),(1000*('Data Entry'!C7/'Data Entry'!C$6)), 0)</f>
        <v>3.1036623215394168</v>
      </c>
      <c r="E4" s="1">
        <f>IF((E$3&gt;0),(1000*('Data Entry'!D7/'Data Entry'!D$6)), 0)</f>
        <v>0</v>
      </c>
      <c r="F4" s="1">
        <f>IF((F$3&gt;0),(1000*('Data Entry'!E7/'Data Entry'!E$6)), 0)</f>
        <v>0</v>
      </c>
      <c r="G4" s="1">
        <f>IF((G$3&gt;0),(1000*('Data Entry'!F7/'Data Entry'!F$6)), 0)</f>
        <v>0</v>
      </c>
      <c r="H4" s="1">
        <f>IF((H$3&gt;0),(1000*('Data Entry'!G7/'Data Entry'!G$6)), 0)</f>
        <v>0</v>
      </c>
      <c r="I4" s="1">
        <f>IF((I$3&gt;0),(1000*('Data Entry'!H7/'Data Entry'!H$6)), 0)</f>
        <v>45.454545454545453</v>
      </c>
      <c r="J4" s="1">
        <f>IF((J$3&gt;0),(1000*('Data Entry'!I7/'Data Entry'!I$6)), 0)</f>
        <v>0</v>
      </c>
      <c r="K4" s="1">
        <f>IF((K$3&gt;0),(1000*('Data Entry'!J7/'Data Entry'!J$6)), 0)</f>
        <v>6.369426751592357</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Kalkaska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14.645454545454543</v>
      </c>
      <c r="I19" s="72" t="str">
        <f t="shared" si="1"/>
        <v>--</v>
      </c>
      <c r="J19" s="73">
        <f t="shared" si="1"/>
        <v>2.0522292993630571</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Kalkaska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1611</v>
      </c>
      <c r="D7" s="104">
        <f>'Data Entry'!D6</f>
        <v>43</v>
      </c>
      <c r="E7" s="105"/>
      <c r="F7" s="106">
        <f>'Data Entry'!E6</f>
        <v>75</v>
      </c>
      <c r="G7" s="105"/>
      <c r="H7" s="106">
        <f>'Data Entry'!F6</f>
        <v>17</v>
      </c>
      <c r="I7" s="105"/>
      <c r="J7" s="106">
        <f>'Data Entry'!G6</f>
        <v>0</v>
      </c>
      <c r="K7" s="105"/>
      <c r="L7" s="106">
        <f>'Data Entry'!H6</f>
        <v>22</v>
      </c>
      <c r="M7" s="105"/>
      <c r="N7" s="106">
        <f>'Data Entry'!I6</f>
        <v>0</v>
      </c>
      <c r="O7" s="105"/>
      <c r="P7" s="106">
        <f>'Data Entry'!J6</f>
        <v>157</v>
      </c>
      <c r="Q7" s="107"/>
    </row>
    <row r="8" spans="2:26" s="1" customFormat="1" ht="15" customHeight="1">
      <c r="B8" s="142" t="s">
        <v>8</v>
      </c>
      <c r="C8" s="103">
        <f>'Data Entry'!C7</f>
        <v>5</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20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Kalkaska</v>
      </c>
    </row>
    <row r="6" spans="1:12">
      <c r="A6" s="135" t="str">
        <f>CONCATENATE("Percentage of Minorities at Stages of the Juvenile Justice System, ", A5, " 2022")</f>
        <v>Percentage of Minorities at Stages of the Juvenile Justice System, County: Kalkaska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10.261146496815286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10.261146496815286</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10.261146496815286</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10.261146496815286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10.261146496815286</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10.261146496815286</v>
      </c>
    </row>
    <row r="13" spans="1:12">
      <c r="A13" s="128" t="str">
        <f>CONCATENATE("Arrests, total N=", 'Data Entry'!B7)</f>
        <v>Arrests, total N=6</v>
      </c>
      <c r="B13" s="150">
        <f>'Data Entry'!D7/'Data Entry'!B7</f>
        <v>0</v>
      </c>
      <c r="C13" s="150">
        <f>'Data Entry'!E7/'Data Entry'!B7</f>
        <v>0</v>
      </c>
      <c r="D13" s="150">
        <f>'Data Entry'!F7/'Data Entry'!B7</f>
        <v>0</v>
      </c>
      <c r="E13" s="150">
        <f>'Data Entry'!G7/'Data Entry'!B7</f>
        <v>0</v>
      </c>
      <c r="F13" s="150">
        <f>'Data Entry'!H7/'Data Entry'!B7</f>
        <v>0.16666666666666666</v>
      </c>
      <c r="G13" s="150">
        <f>'Data Entry'!I7/'Data Entry'!B7</f>
        <v>0</v>
      </c>
      <c r="H13" s="150">
        <f>SUM(D13:G13)/'Data Entry'!B7</f>
        <v>2.7777777777777776E-2</v>
      </c>
      <c r="I13" s="150">
        <f>'Data Entry'!C7/'Data Entry'!B7</f>
        <v>0.83333333333333337</v>
      </c>
      <c r="K13" s="96" t="str">
        <f t="shared" si="0"/>
        <v>Arrests, total N=6</v>
      </c>
      <c r="L13">
        <f>I14/(SUM(B14:G14))</f>
        <v>10.261146496815286</v>
      </c>
    </row>
    <row r="14" spans="1:12">
      <c r="A14" s="128" t="str">
        <f>CONCATENATE("Population, total N=", 'Data Entry'!B6)</f>
        <v>Population, total N=1768</v>
      </c>
      <c r="B14" s="150">
        <f>'Data Entry'!D6/'Data Entry'!B6</f>
        <v>2.4321266968325792E-2</v>
      </c>
      <c r="C14" s="150">
        <f>'Data Entry'!E6/'Data Entry'!B6</f>
        <v>4.2420814479638011E-2</v>
      </c>
      <c r="D14" s="150">
        <f>'Data Entry'!F6/'Data Entry'!B6</f>
        <v>9.6153846153846159E-3</v>
      </c>
      <c r="E14" s="150">
        <f>'Data Entry'!G6/'Data Entry'!B6</f>
        <v>0</v>
      </c>
      <c r="F14" s="150">
        <f>'Data Entry'!H6/'Data Entry'!B6</f>
        <v>1.2443438914027148E-2</v>
      </c>
      <c r="G14" s="150">
        <f>'Data Entry'!I6/'Data Entry'!B6</f>
        <v>0</v>
      </c>
      <c r="H14" s="150">
        <f>SUM(D14:G14)/'Data Entry'!B6</f>
        <v>1.2476710141070001E-5</v>
      </c>
      <c r="I14" s="150">
        <f>'Data Entry'!C6/'Data Entry'!B6</f>
        <v>0.91119909502262442</v>
      </c>
      <c r="K14" s="96" t="str">
        <f t="shared" si="0"/>
        <v>Population, total N=1768</v>
      </c>
      <c r="L14">
        <f>I14/(SUM(B14:G14))</f>
        <v>10.261146496815286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Kalkaska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1611</v>
      </c>
      <c r="D7" s="104">
        <f>'Data Entry'!D6</f>
        <v>43</v>
      </c>
      <c r="E7" s="105"/>
      <c r="F7" s="106">
        <f>'Data Entry'!E6</f>
        <v>75</v>
      </c>
      <c r="G7" s="105"/>
      <c r="H7" s="106">
        <f>'Data Entry'!F6</f>
        <v>17</v>
      </c>
      <c r="I7" s="105"/>
      <c r="J7" s="106">
        <f>'Data Entry'!J6</f>
        <v>157</v>
      </c>
      <c r="K7" s="107"/>
    </row>
    <row r="8" spans="2:30" s="1" customFormat="1" ht="15" customHeight="1">
      <c r="B8" s="121" t="s">
        <v>8</v>
      </c>
      <c r="C8" s="103">
        <f>'Data Entry'!C7</f>
        <v>5</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20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Entry'!D6</f>
        <v>43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43</v>
      </c>
      <c r="P7" s="42">
        <f t="shared" ref="P7:P15" si="2">C7</f>
        <v>5</v>
      </c>
      <c r="Q7" s="42">
        <f>C6-C7</f>
        <v>1606</v>
      </c>
      <c r="R7" s="42">
        <f t="shared" ref="R7:R15" si="3">SUM(N7:Q7)</f>
        <v>1654</v>
      </c>
      <c r="S7" s="30">
        <f t="shared" ref="S7:S15" si="4">R7*((((N7*Q7)-(O7*P7))^2))</f>
        <v>76456150</v>
      </c>
      <c r="T7" s="30">
        <f t="shared" ref="T7:T15" si="5">(N7+O7)*(P7+Q7)*(N7+P7)*(O7+Q7)</f>
        <v>571155885</v>
      </c>
      <c r="U7" s="31">
        <f t="shared" ref="U7:U15" si="6">IF((S7&gt;0),S7/T7,"- -")</f>
        <v>0.133862141681338</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5</v>
      </c>
      <c r="R8" s="42">
        <f t="shared" si="3"/>
        <v>5.05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5</v>
      </c>
      <c r="R9" s="42">
        <f t="shared" si="3"/>
        <v>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5</v>
      </c>
      <c r="R10" s="42">
        <f t="shared" si="3"/>
        <v>5</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5</v>
      </c>
      <c r="R11" s="42">
        <f t="shared" si="3"/>
        <v>5</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5</v>
      </c>
      <c r="R12" s="42">
        <f t="shared" si="3"/>
        <v>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5</v>
      </c>
      <c r="R13" s="42">
        <f t="shared" si="3"/>
        <v>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5</v>
      </c>
      <c r="R14" s="42">
        <f t="shared" si="3"/>
        <v>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5</v>
      </c>
      <c r="R15" s="42">
        <f t="shared" si="3"/>
        <v>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4.2999999999999997E-2</v>
      </c>
      <c r="E42" s="56">
        <f>MAX(C42:D42)</f>
        <v>1.611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4.2999999999999997E-2</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4.2999999999999997E-2</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4.2999999999999997E-2</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4.2999999999999997E-2</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Entry'!F6</f>
        <v>17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17</v>
      </c>
      <c r="P7" s="42">
        <f t="shared" ref="P7:P15" si="4">C7</f>
        <v>5</v>
      </c>
      <c r="Q7" s="42">
        <f>C6-C7</f>
        <v>1606</v>
      </c>
      <c r="R7" s="42">
        <f t="shared" ref="R7:R15" si="5">SUM(N7:Q7)</f>
        <v>1628</v>
      </c>
      <c r="S7" s="30">
        <f t="shared" ref="S7:S15" si="6">R7*((((N7*Q7)-(O7*P7))^2))</f>
        <v>11762300</v>
      </c>
      <c r="T7" s="30">
        <f t="shared" ref="T7:T15" si="7">(N7+O7)*(P7+Q7)*(N7+P7)*(O7+Q7)</f>
        <v>222245505</v>
      </c>
      <c r="U7" s="31">
        <f t="shared" ref="U7:U15" si="8">IF((S7&gt;0),S7/T7,"- -")</f>
        <v>5.2924804935874856E-2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1.7000000000000001E-2</v>
      </c>
      <c r="E42" s="56">
        <f>MAX(C42:D42)</f>
        <v>1.611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1.7000000000000001E-2</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1.7000000000000001E-2</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1.7000000000000001E-2</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1.7000000000000001E-2</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Entry'!E6</f>
        <v>75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75</v>
      </c>
      <c r="P7" s="42">
        <f t="shared" ref="P7:P15" si="4">C7</f>
        <v>5</v>
      </c>
      <c r="Q7" s="42">
        <f>C6-C7</f>
        <v>1606</v>
      </c>
      <c r="R7" s="42">
        <f t="shared" ref="R7:R15" si="5">SUM(N7:Q7)</f>
        <v>1686</v>
      </c>
      <c r="S7" s="30">
        <f t="shared" ref="S7:S15" si="6">R7*((((N7*Q7)-(O7*P7))^2))</f>
        <v>237093750</v>
      </c>
      <c r="T7" s="30">
        <f t="shared" ref="T7:T15" si="7">(N7+O7)*(P7+Q7)*(N7+P7)*(O7+Q7)</f>
        <v>1015534125</v>
      </c>
      <c r="U7" s="31">
        <f t="shared" ref="U7:U15" si="8">IF((S7&gt;0),S7/T7,"- -")</f>
        <v>0.23346704375886926</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7.4999999999999997E-2</v>
      </c>
      <c r="E42" s="56">
        <f>MAX(C42:D42)</f>
        <v>1.611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7.4999999999999997E-2</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7.4999999999999997E-2</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7.4999999999999997E-2</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7.4999999999999997E-2</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1606</v>
      </c>
      <c r="R7" s="42">
        <f t="shared" ref="R7:R15" si="5">SUM(N7:Q7)</f>
        <v>1611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0</v>
      </c>
      <c r="E42" s="56">
        <f>MAX(C42:D42)</f>
        <v>1.611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0</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0</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0</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0</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1611</v>
      </c>
      <c r="D6" s="34"/>
      <c r="E6" s="33">
        <f>'Data Entry'!H6</f>
        <v>22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3.1036623215394163</v>
      </c>
      <c r="E7" s="33">
        <f>'Data Entry'!H7</f>
        <v>1</v>
      </c>
      <c r="F7" s="34">
        <f>IF((AND($E$7&gt;0,$D$66&gt;0)),($E$7/$D$66),0)</f>
        <v>45.45454545454546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21</v>
      </c>
      <c r="P7" s="42">
        <f t="shared" ref="P7:P15" si="4">C7</f>
        <v>5</v>
      </c>
      <c r="Q7" s="42">
        <f>C6-C7</f>
        <v>1606</v>
      </c>
      <c r="R7" s="42">
        <f t="shared" ref="R7:R15" si="5">SUM(N7:Q7)</f>
        <v>1633</v>
      </c>
      <c r="S7" s="30">
        <f t="shared" ref="S7:S15" si="6">R7*((((N7*Q7)-(O7*P7))^2))</f>
        <v>3679150633</v>
      </c>
      <c r="T7" s="30">
        <f t="shared" ref="T7:T15" si="7">(N7+O7)*(P7+Q7)*(N7+P7)*(O7+Q7)</f>
        <v>345984804</v>
      </c>
      <c r="U7" s="31">
        <f t="shared" ref="U7:U15" si="8">IF((S7&gt;0),S7/T7,"- -")</f>
        <v>10.633850361243033</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1.611</v>
      </c>
      <c r="D42" s="56">
        <f>E6/1000</f>
        <v>2.1999999999999999E-2</v>
      </c>
      <c r="E42" s="56">
        <f>MAX(C42:D42)</f>
        <v>1.611</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1.611</v>
      </c>
      <c r="D48" s="56">
        <f>D42</f>
        <v>2.1999999999999999E-2</v>
      </c>
      <c r="E48" s="56">
        <f>MAX(C48:D48)</f>
        <v>1.611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0.01</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1.611</v>
      </c>
      <c r="D54" s="56">
        <f>D48</f>
        <v>2.1999999999999999E-2</v>
      </c>
      <c r="E54" s="56">
        <f>MAX(C54:D54)</f>
        <v>1.611</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0.01</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0.01</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1.611</v>
      </c>
      <c r="D60" s="56">
        <f>D54</f>
        <v>2.1999999999999999E-2</v>
      </c>
      <c r="E60" s="56">
        <f>MAX(C60:D60)</f>
        <v>1.611</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0.01</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0.01</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1.611</v>
      </c>
      <c r="D66" s="56">
        <f>D60</f>
        <v>2.1999999999999999E-2</v>
      </c>
      <c r="E66" s="56">
        <f>MAX(C66:D66)</f>
        <v>1.611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0.01</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0.01</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0.01</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U47JMPN4QEAR-1806752177-30468</_dlc_DocId>
    <_dlc_DocIdUrl xmlns="ac3811b5-0f3e-49e2-ba69-f2ffa0c782af">
      <Url>https://michiganphi.sharepoint.com/sites/CMDMC/_layouts/15/DocIdRedir.aspx?ID=U47JMPN4QEAR-1806752177-30468</Url>
      <Description>U47JMPN4QEAR-1806752177-30468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045A18-C6A1-4221-AD0B-1C92B2C791A6}"/>
</file>

<file path=customXml/itemProps2.xml><?xml version="1.0" encoding="utf-8"?>
<ds:datastoreItem xmlns:ds="http://schemas.openxmlformats.org/officeDocument/2006/customXml" ds:itemID="{6322F288-5AFF-4AAF-BA43-F4E0078F0FD4}">
  <ds:schemaRefs>
    <ds:schemaRef ds:uri="http://schemas.microsoft.com/sharepoint/v3/contenttype/forms"/>
  </ds:schemaRefs>
</ds:datastoreItem>
</file>

<file path=customXml/itemProps3.xml><?xml version="1.0" encoding="utf-8"?>
<ds:datastoreItem xmlns:ds="http://schemas.openxmlformats.org/officeDocument/2006/customXml" ds:itemID="{B61B0901-0B33-4DD5-8944-7C5851A410A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F0FD05CD-A8F7-41B9-AE36-EA18F9A120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26773795-ee6c-40f5-a8a9-0ee8f219ea86</vt:lpwstr>
  </property>
</Properties>
</file>