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7FC0EF49-BF52-4DDD-9B20-F8513097F305}" xr6:coauthVersionLast="47" xr6:coauthVersionMax="47" xr10:uidLastSave="{A5035C34-CDE1-4F2E-AF83-4852CBEDD46B}"/>
  <bookViews>
    <workbookView xWindow="-120" yWindow="-120" windowWidth="29040" windowHeight="15720" activeTab="4"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J9" i="1"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9" i="2" s="1"/>
  <c r="G55" i="2" s="1"/>
  <c r="G61" i="2" s="1"/>
  <c r="G67" i="2" s="1"/>
  <c r="G44" i="2"/>
  <c r="G50" i="2" s="1"/>
  <c r="G56" i="2" s="1"/>
  <c r="G62" i="2" s="1"/>
  <c r="G68" i="2" s="1"/>
  <c r="G45" i="2"/>
  <c r="G51" i="2" s="1"/>
  <c r="G57" i="2" s="1"/>
  <c r="G63" i="2" s="1"/>
  <c r="G69" i="2" s="1"/>
  <c r="G46" i="2"/>
  <c r="G52" i="2" s="1"/>
  <c r="G58" i="2" s="1"/>
  <c r="G64" i="2" s="1"/>
  <c r="G70" i="2" s="1"/>
  <c r="L48" i="2"/>
  <c r="L54" i="2" s="1"/>
  <c r="L60" i="2" s="1"/>
  <c r="L66"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L54" i="7" s="1"/>
  <c r="L60" i="7" s="1"/>
  <c r="L66" i="7" s="1"/>
  <c r="G50" i="7"/>
  <c r="G56" i="7" s="1"/>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L54" i="8" s="1"/>
  <c r="L60" i="8" s="1"/>
  <c r="L66"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7"/>
  <c r="F27" i="7"/>
  <c r="F27" i="4"/>
  <c r="M66" i="4"/>
  <c r="F27" i="5"/>
  <c r="M66" i="5"/>
  <c r="F27" i="2"/>
  <c r="M66" i="2"/>
  <c r="F27" i="3"/>
  <c r="M66" i="3"/>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10" i="16"/>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B52" i="7" s="1"/>
  <c r="E44" i="6"/>
  <c r="C50" i="6" s="1"/>
  <c r="E43" i="7"/>
  <c r="B49" i="7" s="1"/>
  <c r="E46" i="3"/>
  <c r="B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D52" i="3"/>
  <c r="L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L52" i="3"/>
  <c r="B50" i="6"/>
  <c r="D50" i="6"/>
  <c r="E50" i="6" s="1"/>
  <c r="L50" i="6"/>
  <c r="D50" i="5"/>
  <c r="E50" i="5" s="1"/>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52" i="7" l="1"/>
  <c r="D58" i="7" s="1"/>
  <c r="D51" i="2"/>
  <c r="L56" i="5"/>
  <c r="L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64" i="5"/>
  <c r="D64" i="5"/>
  <c r="C64" i="5"/>
  <c r="L56" i="8"/>
  <c r="E58" i="8"/>
  <c r="L64" i="8"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E64" i="5"/>
  <c r="C64" i="8"/>
  <c r="C63" i="3"/>
  <c r="E57" i="8"/>
  <c r="B63" i="8" s="1"/>
  <c r="Q8" i="13"/>
  <c r="I7" i="9"/>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E63" i="3" l="1"/>
  <c r="C69" i="3" s="1"/>
  <c r="D15" i="3" s="1"/>
  <c r="E64" i="8"/>
  <c r="B70" i="8" s="1"/>
  <c r="M70" i="8" s="1"/>
  <c r="D70" i="6"/>
  <c r="F14" i="6" s="1"/>
  <c r="C70" i="6"/>
  <c r="D13" i="6" s="1"/>
  <c r="L70" i="5"/>
  <c r="B70" i="5"/>
  <c r="F33" i="5" s="1"/>
  <c r="D70" i="5"/>
  <c r="F14" i="5" s="1"/>
  <c r="C70" i="3"/>
  <c r="D14" i="3" s="1"/>
  <c r="L70" i="6"/>
  <c r="C70" i="5"/>
  <c r="D13" i="5" s="1"/>
  <c r="L69" i="7"/>
  <c r="C69" i="7"/>
  <c r="D12" i="7" s="1"/>
  <c r="C63" i="8"/>
  <c r="L63" i="8"/>
  <c r="D63" i="8"/>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L69" i="3"/>
  <c r="Q12" i="3" s="1"/>
  <c r="D69" i="3"/>
  <c r="E69" i="3" s="1"/>
  <c r="B69" i="3"/>
  <c r="M69" i="3" s="1"/>
  <c r="F13" i="6"/>
  <c r="L70" i="8"/>
  <c r="D70" i="8"/>
  <c r="F13" i="8" s="1"/>
  <c r="C70" i="8"/>
  <c r="D14" i="8" s="1"/>
  <c r="O13" i="6"/>
  <c r="E70" i="6"/>
  <c r="Q15" i="7"/>
  <c r="O14" i="5"/>
  <c r="B69" i="6"/>
  <c r="M69" i="6" s="1"/>
  <c r="Q13" i="6"/>
  <c r="Q14" i="6"/>
  <c r="D14" i="6"/>
  <c r="O14" i="6"/>
  <c r="F34" i="5"/>
  <c r="M70" i="5"/>
  <c r="O13" i="5"/>
  <c r="F13" i="5"/>
  <c r="E70" i="5"/>
  <c r="Q14" i="3"/>
  <c r="Q14" i="5"/>
  <c r="Q13" i="3"/>
  <c r="D13" i="3"/>
  <c r="D15" i="7"/>
  <c r="Q13" i="5"/>
  <c r="D14" i="5"/>
  <c r="Q12" i="7"/>
  <c r="F14" i="3"/>
  <c r="O13" i="3"/>
  <c r="F12" i="7"/>
  <c r="E69" i="7"/>
  <c r="O12" i="7"/>
  <c r="O15" i="7"/>
  <c r="E63" i="8"/>
  <c r="D69" i="8" s="1"/>
  <c r="F15" i="8" s="1"/>
  <c r="E70" i="3"/>
  <c r="F33" i="3"/>
  <c r="F34" i="3"/>
  <c r="C69" i="6"/>
  <c r="D12" i="6" s="1"/>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F32" i="2"/>
  <c r="R10" i="3"/>
  <c r="S10" i="3" s="1"/>
  <c r="F8" i="2"/>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R9" i="3"/>
  <c r="S9" i="3" s="1"/>
  <c r="T9" i="3"/>
  <c r="F34" i="8"/>
  <c r="F33" i="8"/>
  <c r="C70" i="2"/>
  <c r="D14" i="2" s="1"/>
  <c r="O15" i="3"/>
  <c r="Q15" i="3"/>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O12" i="3"/>
  <c r="R12" i="3" s="1"/>
  <c r="S12" i="3" s="1"/>
  <c r="F35" i="3"/>
  <c r="T14" i="5"/>
  <c r="O13" i="8"/>
  <c r="O14" i="8"/>
  <c r="Q14" i="8"/>
  <c r="D13" i="8"/>
  <c r="K14" i="5"/>
  <c r="E70" i="8"/>
  <c r="F14" i="8"/>
  <c r="Q13" i="8"/>
  <c r="T13" i="6"/>
  <c r="R15" i="7"/>
  <c r="S15" i="7" s="1"/>
  <c r="U15" i="7" s="1"/>
  <c r="J15" i="7" s="1"/>
  <c r="M15" i="7" s="1"/>
  <c r="R13" i="5"/>
  <c r="S13" i="5" s="1"/>
  <c r="U13" i="5" s="1"/>
  <c r="J13" i="5" s="1"/>
  <c r="M13" i="5" s="1"/>
  <c r="U10" i="3"/>
  <c r="J10" i="3" s="1"/>
  <c r="M10" i="3" s="1"/>
  <c r="G10" i="3" s="1"/>
  <c r="U10" i="4"/>
  <c r="J10" i="4" s="1"/>
  <c r="M10" i="4" s="1"/>
  <c r="G10" i="4" s="1"/>
  <c r="G9" i="4"/>
  <c r="G10" i="16" s="1"/>
  <c r="F32" i="6"/>
  <c r="F35" i="6"/>
  <c r="K13" i="5"/>
  <c r="R14" i="5"/>
  <c r="S14" i="5" s="1"/>
  <c r="U14" i="5" s="1"/>
  <c r="J14" i="5" s="1"/>
  <c r="M14" i="5" s="1"/>
  <c r="T13" i="5"/>
  <c r="T14" i="6"/>
  <c r="G11" i="3"/>
  <c r="I12" i="16" s="1"/>
  <c r="T14" i="3"/>
  <c r="R14" i="6"/>
  <c r="S14" i="6" s="1"/>
  <c r="U14" i="6" s="1"/>
  <c r="J14" i="6" s="1"/>
  <c r="M14" i="6" s="1"/>
  <c r="G14" i="6" s="1"/>
  <c r="M15" i="13" s="1"/>
  <c r="K14" i="6"/>
  <c r="K13" i="3"/>
  <c r="K13" i="6"/>
  <c r="R13" i="6"/>
  <c r="S13" i="6" s="1"/>
  <c r="U13" i="6" s="1"/>
  <c r="J13" i="6" s="1"/>
  <c r="M13" i="6" s="1"/>
  <c r="G13" i="6" s="1"/>
  <c r="G13" i="9" s="1"/>
  <c r="R13" i="3"/>
  <c r="S13" i="3" s="1"/>
  <c r="T13" i="3"/>
  <c r="T12" i="7"/>
  <c r="D15" i="6"/>
  <c r="F12" i="8"/>
  <c r="L69" i="8"/>
  <c r="O15" i="8" s="1"/>
  <c r="B69" i="8"/>
  <c r="M69" i="8" s="1"/>
  <c r="C69" i="8"/>
  <c r="E69" i="8" s="1"/>
  <c r="K15" i="7"/>
  <c r="R12" i="7"/>
  <c r="S12" i="7" s="1"/>
  <c r="K12" i="7"/>
  <c r="T15" i="7"/>
  <c r="O12" i="6"/>
  <c r="Q12" i="6"/>
  <c r="Q15" i="6"/>
  <c r="R14" i="3"/>
  <c r="S14" i="3" s="1"/>
  <c r="E69" i="6"/>
  <c r="K14" i="3"/>
  <c r="O15" i="6"/>
  <c r="F15" i="6"/>
  <c r="L13" i="4"/>
  <c r="O14" i="16" s="1"/>
  <c r="L11" i="4"/>
  <c r="O12" i="16" s="1"/>
  <c r="K8" i="7"/>
  <c r="O13" i="2"/>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D13" i="2"/>
  <c r="E70" i="2"/>
  <c r="Q14" i="2"/>
  <c r="K14" i="2" s="1"/>
  <c r="M13" i="4"/>
  <c r="G13" i="4" s="1"/>
  <c r="G14" i="16" s="1"/>
  <c r="L9" i="4"/>
  <c r="O10" i="16"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4" i="8" l="1"/>
  <c r="T14" i="8"/>
  <c r="R13" i="8"/>
  <c r="S13" i="8" s="1"/>
  <c r="R14" i="8"/>
  <c r="S14" i="8" s="1"/>
  <c r="K13" i="8"/>
  <c r="T13" i="8"/>
  <c r="L15" i="7"/>
  <c r="S16" i="16" s="1"/>
  <c r="L10" i="3"/>
  <c r="P11" i="16" s="1"/>
  <c r="L13" i="5"/>
  <c r="Q14" i="16" s="1"/>
  <c r="L10" i="4"/>
  <c r="O11" i="16" s="1"/>
  <c r="G11" i="16"/>
  <c r="G11" i="13"/>
  <c r="D10" i="9"/>
  <c r="U12" i="7"/>
  <c r="J12" i="7" s="1"/>
  <c r="M12" i="7" s="1"/>
  <c r="I11" i="16"/>
  <c r="E10" i="9"/>
  <c r="D9" i="9"/>
  <c r="G10" i="13"/>
  <c r="F32" i="8"/>
  <c r="L14" i="5"/>
  <c r="Q15" i="16" s="1"/>
  <c r="N30" i="5"/>
  <c r="F35" i="8"/>
  <c r="K12" i="6"/>
  <c r="I12" i="13"/>
  <c r="E11" i="9"/>
  <c r="U14" i="3"/>
  <c r="J14" i="3" s="1"/>
  <c r="M14" i="3" s="1"/>
  <c r="G14" i="3" s="1"/>
  <c r="I15" i="16" s="1"/>
  <c r="U13" i="7"/>
  <c r="J13" i="7" s="1"/>
  <c r="M13" i="7" s="1"/>
  <c r="M14" i="13"/>
  <c r="L13" i="6"/>
  <c r="R14" i="16" s="1"/>
  <c r="U13" i="3"/>
  <c r="J13" i="3" s="1"/>
  <c r="T12" i="6"/>
  <c r="D15" i="8"/>
  <c r="D12" i="8"/>
  <c r="Q12" i="8"/>
  <c r="O12" i="8"/>
  <c r="Q15" i="8"/>
  <c r="R15" i="8" s="1"/>
  <c r="S15" i="8" s="1"/>
  <c r="R12" i="6"/>
  <c r="S12" i="6" s="1"/>
  <c r="U12" i="6" s="1"/>
  <c r="J12" i="6" s="1"/>
  <c r="M12" i="6" s="1"/>
  <c r="G12" i="6" s="1"/>
  <c r="I11" i="13"/>
  <c r="T15" i="6"/>
  <c r="K15" i="6"/>
  <c r="R15" i="6"/>
  <c r="S15" i="6" s="1"/>
  <c r="U15" i="6" s="1"/>
  <c r="J15" i="6" s="1"/>
  <c r="M15" i="6" s="1"/>
  <c r="G15" i="6" s="1"/>
  <c r="M13" i="9"/>
  <c r="U14" i="13"/>
  <c r="U12" i="13"/>
  <c r="M11" i="9"/>
  <c r="T13" i="2"/>
  <c r="U8" i="6"/>
  <c r="J8" i="6" s="1"/>
  <c r="M8" i="6" s="1"/>
  <c r="G8" i="6" s="1"/>
  <c r="M9" i="13" s="1"/>
  <c r="R13" i="2"/>
  <c r="S13" i="2" s="1"/>
  <c r="G14" i="9"/>
  <c r="R10" i="7"/>
  <c r="S10" i="7" s="1"/>
  <c r="T11" i="7"/>
  <c r="T10" i="7"/>
  <c r="L8" i="2"/>
  <c r="N9" i="16" s="1"/>
  <c r="K13" i="2"/>
  <c r="R15" i="5"/>
  <c r="S15" i="5" s="1"/>
  <c r="U15" i="5" s="1"/>
  <c r="J15" i="5" s="1"/>
  <c r="M15" i="5" s="1"/>
  <c r="K11" i="7"/>
  <c r="T9" i="7"/>
  <c r="U9" i="7" s="1"/>
  <c r="J9" i="7" s="1"/>
  <c r="M9" i="7" s="1"/>
  <c r="N30" i="6"/>
  <c r="R11" i="7"/>
  <c r="S11" i="7" s="1"/>
  <c r="L14" i="6"/>
  <c r="R15" i="16" s="1"/>
  <c r="K12" i="5"/>
  <c r="L12" i="5" s="1"/>
  <c r="Q13" i="16" s="1"/>
  <c r="T12" i="5"/>
  <c r="K10" i="7"/>
  <c r="R14" i="2"/>
  <c r="S14" i="2" s="1"/>
  <c r="D13" i="9"/>
  <c r="G14" i="13"/>
  <c r="K9" i="7"/>
  <c r="T14" i="2"/>
  <c r="V12" i="13"/>
  <c r="U10" i="13"/>
  <c r="N11" i="9"/>
  <c r="T15" i="5"/>
  <c r="W14" i="13"/>
  <c r="L15" i="3"/>
  <c r="P16" i="16" s="1"/>
  <c r="M9" i="3"/>
  <c r="G9" i="3" s="1"/>
  <c r="I10" i="13" s="1"/>
  <c r="G12" i="13"/>
  <c r="G12" i="16"/>
  <c r="N9" i="9"/>
  <c r="P10" i="16"/>
  <c r="M14" i="7"/>
  <c r="N30" i="7"/>
  <c r="L14" i="7"/>
  <c r="S15" i="16" s="1"/>
  <c r="L8" i="7"/>
  <c r="S9" i="16" s="1"/>
  <c r="M9" i="9"/>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4" i="8" l="1"/>
  <c r="J14" i="8" s="1"/>
  <c r="N30" i="8" s="1"/>
  <c r="U13" i="8"/>
  <c r="J13" i="8" s="1"/>
  <c r="M13" i="8" s="1"/>
  <c r="G13" i="8" s="1"/>
  <c r="I13" i="9" s="1"/>
  <c r="O13" i="9"/>
  <c r="Q15" i="9"/>
  <c r="Y16" i="13"/>
  <c r="V11" i="13"/>
  <c r="N10" i="9"/>
  <c r="O14" i="9"/>
  <c r="M10" i="9"/>
  <c r="U11" i="13"/>
  <c r="W15" i="13"/>
  <c r="L12" i="7"/>
  <c r="Y13" i="13" s="1"/>
  <c r="L13" i="7"/>
  <c r="S14" i="16" s="1"/>
  <c r="K15" i="8"/>
  <c r="N30" i="3"/>
  <c r="L14" i="3"/>
  <c r="U14" i="2"/>
  <c r="J14" i="2" s="1"/>
  <c r="M14" i="2" s="1"/>
  <c r="G14" i="2" s="1"/>
  <c r="E15" i="16" s="1"/>
  <c r="E14" i="9"/>
  <c r="I15" i="13"/>
  <c r="X14" i="13"/>
  <c r="M13" i="3"/>
  <c r="G13" i="3" s="1"/>
  <c r="L13" i="3"/>
  <c r="P13" i="9"/>
  <c r="U13" i="2"/>
  <c r="J13" i="2" s="1"/>
  <c r="M13" i="2" s="1"/>
  <c r="G13" i="2" s="1"/>
  <c r="E14" i="16" s="1"/>
  <c r="T12" i="8"/>
  <c r="U11" i="7"/>
  <c r="J11" i="7" s="1"/>
  <c r="L11" i="7" s="1"/>
  <c r="S12" i="16" s="1"/>
  <c r="L15" i="6"/>
  <c r="R16" i="16" s="1"/>
  <c r="L14" i="8"/>
  <c r="T15" i="16" s="1"/>
  <c r="K12" i="8"/>
  <c r="T15" i="8"/>
  <c r="U15" i="8" s="1"/>
  <c r="J15" i="8" s="1"/>
  <c r="M15" i="8" s="1"/>
  <c r="G15" i="8" s="1"/>
  <c r="K16" i="16" s="1"/>
  <c r="R12" i="8"/>
  <c r="S12" i="8" s="1"/>
  <c r="M14" i="8"/>
  <c r="G14" i="8" s="1"/>
  <c r="K15" i="16" s="1"/>
  <c r="L12" i="6"/>
  <c r="R13" i="16" s="1"/>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5" i="8" l="1"/>
  <c r="T16" i="16" s="1"/>
  <c r="L13" i="8"/>
  <c r="T14" i="16" s="1"/>
  <c r="Q14" i="13"/>
  <c r="K14" i="16"/>
  <c r="Y14" i="13"/>
  <c r="Q13" i="9"/>
  <c r="S13" i="16"/>
  <c r="Q12" i="9"/>
  <c r="P15" i="9"/>
  <c r="Q15" i="13"/>
  <c r="M10" i="7"/>
  <c r="M11" i="7"/>
  <c r="C14" i="9"/>
  <c r="E14" i="13"/>
  <c r="L13" i="2"/>
  <c r="N14" i="16" s="1"/>
  <c r="P15" i="16"/>
  <c r="N14" i="9"/>
  <c r="V15" i="13"/>
  <c r="N30" i="2"/>
  <c r="I14" i="9"/>
  <c r="L14" i="2"/>
  <c r="N15" i="16" s="1"/>
  <c r="E15" i="13"/>
  <c r="C13" i="9"/>
  <c r="P14" i="16"/>
  <c r="N13" i="9"/>
  <c r="V14" i="13"/>
  <c r="E13" i="9"/>
  <c r="I14" i="13"/>
  <c r="I14" i="16"/>
  <c r="U12" i="8"/>
  <c r="J12" i="8" s="1"/>
  <c r="M12" i="8" s="1"/>
  <c r="G12" i="8" s="1"/>
  <c r="K13" i="16" s="1"/>
  <c r="Z15" i="13"/>
  <c r="X16" i="13"/>
  <c r="R14" i="9"/>
  <c r="X13"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4" i="13" l="1"/>
  <c r="R13" i="9"/>
  <c r="L14" i="9"/>
  <c r="T15" i="13"/>
  <c r="T14" i="13"/>
  <c r="L13" i="9"/>
  <c r="L12" i="8"/>
  <c r="T13" i="16" s="1"/>
  <c r="I12" i="9"/>
  <c r="Q13" i="13"/>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<sst xmlns="http://schemas.openxmlformats.org/spreadsheetml/2006/main" count="654" uniqueCount="141">
  <si>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</si>
  <si>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</si>
  <si>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</si>
  <si>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</si>
  <si>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</si>
  <si>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</si>
  <si>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</si>
  <si>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</si>
  <si>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</si>
  <si>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</si>
  <si>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</si>
  <si>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</si>
  <si>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</si>
  <si>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</si>
  <si>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</si>
  <si>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</si>
  <si>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</si>
  <si>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</si>
  <si>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</si>
  <si>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</si>
  <si>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</si>
  <si>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</si>
  <si>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</si>
  <si>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</si>
  <si>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</si>
  <si>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</si>
  <si>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</si>
  <si>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</si>
  <si>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</si>
  <si>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</si>
  <si>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</si>
  <si>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</si>
  <si>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</si>
  <si>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</si>
  <si>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</si>
  <si>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</si>
  <si>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</si>
  <si>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</si>
  <si>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</si>
  <si>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</si>
  <si>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</si>
  <si>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</si>
  <si>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</si>
  <si>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</si>
  <si>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</si>
  <si>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</si>
  <si>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</si>
  <si>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</si>
  <si>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</si>
  <si>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</si>
  <si>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</si>
  <si>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</si>
  <si>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</si>
  <si>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</si>
  <si>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</si>
  <si>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</si>
  <si>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</si>
  <si>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</si>
  <si>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</si>
  <si>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</si>
  <si>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</si>
  <si>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</si>
  <si>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</si>
  <si>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</si>
  <si>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</si>
  <si>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</si>
  <si>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</si>
  <si>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</si>
  <si>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</si>
  <si>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</si>
  <si>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</si>
  <si>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</si>
  <si>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</si>
  <si>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</si>
  <si>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</si>
  <si>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</si>
  <si>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</si>
  <si>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</si>
  <si>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</si>
  <si>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</si>
  <si>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</si>
  <si>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</si>
  <si>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</si>
  <si>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</si>
  <si>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</si>
  <si>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</si>
  <si>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</si>
  <si>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</si>
  <si>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</si>
  <si>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</si>
  <si>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</si>
  <si>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</si>
  <si>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</si>
  <si>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</si>
  <si>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</si>
  <si>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</si>
  <si>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</si>
  <si>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</si>
  <si>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</si>
  <si>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</si>
  <si>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</si>
  <si>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</si>
  <si>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</si>
  <si>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</si>
  <si>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</si>
  <si>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</si>
  <si>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</si>
  <si>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</si>
  <si>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</si>
  <si>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</si>
  <si>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</si>
  <si>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</si>
  <si>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</si>
  <si>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</si>
  <si>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</si>
  <si>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</si>
  <si>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</si>
  <si>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</si>
  <si>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</si>
  <si>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</si>
  <si>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</si>
  <si>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</si>
  <si>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</si>
  <si>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</si>
  <si>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</si>
  <si>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</si>
  <si>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</si>
  <si>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</si>
  <si>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Kalamazoo</t>
  </si>
  <si>
    <t>Item 3.Referral: Kalamazoo County Juvenile Court</t>
  </si>
  <si>
    <t>Item 4.Diversion: Kalamazoo County Juvenile Court</t>
  </si>
  <si>
    <t>Item 5.Detention: Kalamazoo County Juvenile Court</t>
  </si>
  <si>
    <t>Item 6.Petitioned: Kalamazoo County Juvenile Court</t>
  </si>
  <si>
    <t>Item 7.Delinquent: Kalamazoo County Juvenile Court</t>
  </si>
  <si>
    <t>Item 8.Probation: Kalamazoo County Juvenile Court</t>
  </si>
  <si>
    <t>Item 9.Confinement: Kalamazoo County Juvenile Court</t>
  </si>
  <si>
    <t>Item 10.Transferred: Kalamazoo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</si>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</sst>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Kalamazoo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N=62</c:v>
                </c:pt>
                <c:pt idx="2">
                  <c:v>Delinquent Findings, total N=180</c:v>
                </c:pt>
                <c:pt idx="3">
                  <c:v>Petitions, total N=370</c:v>
                </c:pt>
                <c:pt idx="4">
                  <c:v>Detentions, total N=296</c:v>
                </c:pt>
                <c:pt idx="5">
                  <c:v>Referrals, total N=1118</c:v>
                </c:pt>
                <c:pt idx="6">
                  <c:v>Arrests, total N=431</c:v>
                </c:pt>
                <c:pt idx="7">
                  <c:v>Population, total N=25419</c:v>
                </c:pt>
              </c:strCache>
            </c:strRef>
          </c:cat>
          <c:val>
            <c:numRef>
              <c:f>'Stacked 100%'!$B$7:$B$14</c:f>
              <c:numCache>
                <c:formatCode>0%</c:formatCode>
                <c:ptCount val="8"/>
                <c:pt idx="0">
                  <c:v>1</c:v>
                </c:pt>
                <c:pt idx="1">
                  <c:v>1</c:v>
                </c:pt>
                <c:pt idx="2">
                  <c:v>0.53888888888888886</c:v>
                </c:pt>
                <c:pt idx="3">
                  <c:v>0.58378378378378382</c:v>
                </c:pt>
                <c:pt idx="4">
                  <c:v>0.58783783783783783</c:v>
                </c:pt>
                <c:pt idx="5">
                  <c:v>0.60286225402504467</c:v>
                </c:pt>
                <c:pt idx="6">
                  <c:v>0.61716937354988399</c:v>
                </c:pt>
                <c:pt idx="7">
                  <c:v>0.18226523466698138</c:v>
                </c:pt>
              </c:numCache>
            </c:numRef>
          </c:val>
          <c:extLst>
            <c:ext xmlns:c16="http://schemas.microsoft.com/office/drawing/2014/chart" uri="{C3380CC4-5D6E-409C-BE32-E72D297353CC}">
              <c16:uniqueId val="{00000000-1312-4B5A-9C2E-C7ACE027466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N=62</c:v>
                </c:pt>
                <c:pt idx="2">
                  <c:v>Delinquent Findings, total N=180</c:v>
                </c:pt>
                <c:pt idx="3">
                  <c:v>Petitions, total N=370</c:v>
                </c:pt>
                <c:pt idx="4">
                  <c:v>Detentions, total N=296</c:v>
                </c:pt>
                <c:pt idx="5">
                  <c:v>Referrals, total N=1118</c:v>
                </c:pt>
                <c:pt idx="6">
                  <c:v>Arrests, total N=431</c:v>
                </c:pt>
                <c:pt idx="7">
                  <c:v>Population, total N=25419</c:v>
                </c:pt>
              </c:strCache>
            </c:strRef>
          </c:cat>
          <c:val>
            <c:numRef>
              <c:f>'Stacked 100%'!$C$7:$C$14</c:f>
              <c:numCache>
                <c:formatCode>0%</c:formatCode>
                <c:ptCount val="8"/>
                <c:pt idx="0">
                  <c:v>0</c:v>
                </c:pt>
                <c:pt idx="1">
                  <c:v>0</c:v>
                </c:pt>
                <c:pt idx="2">
                  <c:v>1.6666666666666666E-2</c:v>
                </c:pt>
                <c:pt idx="3">
                  <c:v>1.0810810810810811E-2</c:v>
                </c:pt>
                <c:pt idx="4">
                  <c:v>0</c:v>
                </c:pt>
                <c:pt idx="5">
                  <c:v>1.3416815742397137E-2</c:v>
                </c:pt>
                <c:pt idx="6">
                  <c:v>1.6241299303944315E-2</c:v>
                </c:pt>
                <c:pt idx="7">
                  <c:v>9.1978441323419494E-2</c:v>
                </c:pt>
              </c:numCache>
            </c:numRef>
          </c:val>
          <c:extLst>
            <c:ext xmlns:c16="http://schemas.microsoft.com/office/drawing/2014/chart" uri="{C3380CC4-5D6E-409C-BE32-E72D297353CC}">
              <c16:uniqueId val="{00000001-1312-4B5A-9C2E-C7ACE027466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N=3</c:v>
                </c:pt>
                <c:pt idx="1">
                  <c:v>Confinement, total N=62</c:v>
                </c:pt>
                <c:pt idx="2">
                  <c:v>Delinquent Findings, total N=180</c:v>
                </c:pt>
                <c:pt idx="3">
                  <c:v>Petitions, total N=370</c:v>
                </c:pt>
                <c:pt idx="4">
                  <c:v>Detentions, total N=296</c:v>
                </c:pt>
                <c:pt idx="5">
                  <c:v>Referrals, total N=1118</c:v>
                </c:pt>
                <c:pt idx="6">
                  <c:v>Arrests, total N=431</c:v>
                </c:pt>
                <c:pt idx="7">
                  <c:v>Population, total N=25419</c:v>
                </c:pt>
              </c:strCache>
            </c:strRef>
          </c:cat>
          <c:val>
            <c:numRef>
              <c:f>'Stacked 100%'!$H$7:$H$14</c:f>
              <c:numCache>
                <c:formatCode>0%</c:formatCode>
                <c:ptCount val="8"/>
                <c:pt idx="0">
                  <c:v>0</c:v>
                </c:pt>
                <c:pt idx="1">
                  <c:v>0</c:v>
                </c:pt>
                <c:pt idx="2">
                  <c:v>5.8641975308641975E-4</c:v>
                </c:pt>
                <c:pt idx="3">
                  <c:v>3.1409788166544925E-4</c:v>
                </c:pt>
                <c:pt idx="4">
                  <c:v>4.7936449963476989E-4</c:v>
                </c:pt>
                <c:pt idx="5">
                  <c:v>9.9206031726728976E-5</c:v>
                </c:pt>
                <c:pt idx="6">
                  <c:v>5.3832612873531039E-6</c:v>
                </c:pt>
                <c:pt idx="7">
                  <c:v>1.3217245246856903E-6</c:v>
                </c:pt>
              </c:numCache>
            </c:numRef>
          </c:val>
          <c:extLst>
            <c:ext xmlns:c16="http://schemas.microsoft.com/office/drawing/2014/chart" uri="{C3380CC4-5D6E-409C-BE32-E72D297353CC}">
              <c16:uniqueId val="{00000002-1312-4B5A-9C2E-C7ACE027466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N=62</c:v>
                </c:pt>
                <c:pt idx="2">
                  <c:v>Delinquent Findings, total N=180</c:v>
                </c:pt>
                <c:pt idx="3">
                  <c:v>Petitions, total N=370</c:v>
                </c:pt>
                <c:pt idx="4">
                  <c:v>Detentions, total N=296</c:v>
                </c:pt>
                <c:pt idx="5">
                  <c:v>Referrals, total N=1118</c:v>
                </c:pt>
                <c:pt idx="6">
                  <c:v>Arrests, total N=431</c:v>
                </c:pt>
                <c:pt idx="7">
                  <c:v>Population, total N=25419</c:v>
                </c:pt>
              </c:strCache>
            </c:strRef>
          </c:cat>
          <c:val>
            <c:numRef>
              <c:f>'Stacked 100%'!$I$7:$I$14</c:f>
              <c:numCache>
                <c:formatCode>0%</c:formatCode>
                <c:ptCount val="8"/>
                <c:pt idx="0">
                  <c:v>0</c:v>
                </c:pt>
                <c:pt idx="1">
                  <c:v>0</c:v>
                </c:pt>
                <c:pt idx="2">
                  <c:v>0.30555555555555558</c:v>
                </c:pt>
                <c:pt idx="3">
                  <c:v>0.26216216216216215</c:v>
                </c:pt>
                <c:pt idx="4">
                  <c:v>0.24324324324324326</c:v>
                </c:pt>
                <c:pt idx="5">
                  <c:v>0.23524150268336314</c:v>
                </c:pt>
                <c:pt idx="6">
                  <c:v>0.25522041763341069</c:v>
                </c:pt>
                <c:pt idx="7">
                  <c:v>0.6921594083166136</c:v>
                </c:pt>
              </c:numCache>
            </c:numRef>
          </c:val>
          <c:extLst>
            <c:ext xmlns:c16="http://schemas.microsoft.com/office/drawing/2014/chart" uri="{C3380CC4-5D6E-409C-BE32-E72D297353CC}">
              <c16:uniqueId val="{00000003-1312-4B5A-9C2E-C7ACE027466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N=3</c:v>
                </c:pt>
                <c:pt idx="1">
                  <c:v>Confinement, total N=62</c:v>
                </c:pt>
                <c:pt idx="2">
                  <c:v>Delinquent Findings, total N=180</c:v>
                </c:pt>
                <c:pt idx="3">
                  <c:v>Petitions, total N=370</c:v>
                </c:pt>
                <c:pt idx="4">
                  <c:v>Detentions, total N=296</c:v>
                </c:pt>
                <c:pt idx="5">
                  <c:v>Referrals, total N=1118</c:v>
                </c:pt>
                <c:pt idx="6">
                  <c:v>Arrests, total N=431</c:v>
                </c:pt>
                <c:pt idx="7">
                  <c:v>Population, total N=25419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312-4B5A-9C2E-C7ACE027466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25419</v>
      </c>
      <c r="C6" s="11">
        <v>17594</v>
      </c>
      <c r="D6" s="11">
        <v>4633</v>
      </c>
      <c r="E6" s="11">
        <v>2338</v>
      </c>
      <c r="F6" s="11">
        <v>729</v>
      </c>
      <c r="G6" s="11"/>
      <c r="H6" s="11">
        <v>125</v>
      </c>
      <c r="I6" s="11"/>
      <c r="J6" s="91">
        <f>SUM(D6:I6)</f>
        <v>7825</v>
      </c>
      <c r="K6" s="92"/>
    </row>
    <row r="7" spans="1:11" ht="15.75" customHeight="1" thickBot="1">
      <c r="A7" s="10" t="s">
        <v>8</v>
      </c>
      <c r="B7" s="11">
        <f t="shared" ref="B7:B15" si="0">SUM(C7:I7)+K7</f>
        <v>431</v>
      </c>
      <c r="C7" s="11">
        <v>110</v>
      </c>
      <c r="D7" s="11">
        <v>266</v>
      </c>
      <c r="E7" s="11">
        <v>7</v>
      </c>
      <c r="F7" s="11">
        <v>1</v>
      </c>
      <c r="G7" s="11">
        <v>0</v>
      </c>
      <c r="H7" s="11">
        <v>0</v>
      </c>
      <c r="I7" s="11"/>
      <c r="J7" s="91">
        <f t="shared" ref="J7:J15" si="1">SUM(D7:I7)</f>
        <v>274</v>
      </c>
      <c r="K7" s="92">
        <v>47</v>
      </c>
    </row>
    <row r="8" spans="1:11" ht="15.75" customHeight="1" thickBot="1">
      <c r="A8" s="10" t="s">
        <v>9</v>
      </c>
      <c r="B8" s="11">
        <f t="shared" si="0"/>
        <v>1118</v>
      </c>
      <c r="C8" s="11">
        <v>263</v>
      </c>
      <c r="D8" s="11">
        <v>674</v>
      </c>
      <c r="E8" s="11">
        <v>15</v>
      </c>
      <c r="F8" s="11">
        <v>1</v>
      </c>
      <c r="G8" s="11"/>
      <c r="H8" s="11">
        <v>1</v>
      </c>
      <c r="I8" s="11">
        <v>122</v>
      </c>
      <c r="J8" s="91">
        <f t="shared" si="1"/>
        <v>813</v>
      </c>
      <c r="K8" s="92">
        <v>42</v>
      </c>
    </row>
    <row r="9" spans="1:11" ht="15.75" customHeight="1" thickBot="1">
      <c r="A9" s="10" t="s">
        <v>10</v>
      </c>
      <c r="B9" s="11">
        <f t="shared" si="0"/>
        <v>735</v>
      </c>
      <c r="C9" s="11">
        <v>171</v>
      </c>
      <c r="D9" s="11">
        <v>446</v>
      </c>
      <c r="E9" s="11">
        <v>11</v>
      </c>
      <c r="F9" s="11">
        <v>1</v>
      </c>
      <c r="G9" s="11"/>
      <c r="H9" s="11">
        <v>1</v>
      </c>
      <c r="I9" s="11">
        <v>76</v>
      </c>
      <c r="J9" s="91">
        <f t="shared" si="1"/>
        <v>535</v>
      </c>
      <c r="K9" s="92">
        <v>29</v>
      </c>
    </row>
    <row r="10" spans="1:11" ht="15.75" customHeight="1" thickBot="1">
      <c r="A10" s="10" t="s">
        <v>11</v>
      </c>
      <c r="B10" s="11">
        <f t="shared" si="0"/>
        <v>296</v>
      </c>
      <c r="C10" s="11">
        <v>72</v>
      </c>
      <c r="D10" s="11">
        <v>174</v>
      </c>
      <c r="E10" s="11"/>
      <c r="F10" s="11"/>
      <c r="G10" s="11"/>
      <c r="H10" s="11"/>
      <c r="I10" s="11">
        <v>42</v>
      </c>
      <c r="J10" s="91">
        <f t="shared" si="1"/>
        <v>216</v>
      </c>
      <c r="K10" s="92">
        <v>8</v>
      </c>
    </row>
    <row r="11" spans="1:11" ht="15.75" customHeight="1" thickBot="1">
      <c r="A11" s="10" t="s">
        <v>12</v>
      </c>
      <c r="B11" s="11">
        <f t="shared" si="0"/>
        <v>370</v>
      </c>
      <c r="C11" s="11">
        <v>97</v>
      </c>
      <c r="D11" s="11">
        <v>216</v>
      </c>
      <c r="E11" s="11">
        <v>4</v>
      </c>
      <c r="F11" s="11"/>
      <c r="G11" s="11"/>
      <c r="H11" s="11"/>
      <c r="I11" s="11">
        <v>43</v>
      </c>
      <c r="J11" s="91">
        <f t="shared" si="1"/>
        <v>263</v>
      </c>
      <c r="K11" s="92">
        <v>10</v>
      </c>
    </row>
    <row r="12" spans="1:11" ht="15.75" customHeight="1" thickBot="1">
      <c r="A12" s="10" t="s">
        <v>13</v>
      </c>
      <c r="B12" s="11">
        <f t="shared" si="0"/>
        <v>180</v>
      </c>
      <c r="C12" s="11">
        <v>55</v>
      </c>
      <c r="D12" s="11">
        <v>97</v>
      </c>
      <c r="E12" s="11">
        <v>3</v>
      </c>
      <c r="F12" s="11"/>
      <c r="G12" s="11"/>
      <c r="H12" s="11"/>
      <c r="I12" s="11">
        <v>19</v>
      </c>
      <c r="J12" s="91">
        <f t="shared" si="1"/>
        <v>119</v>
      </c>
      <c r="K12" s="92">
        <v>6</v>
      </c>
    </row>
    <row r="13" spans="1:11" ht="15.75" customHeight="1" thickBot="1">
      <c r="A13" s="10" t="s">
        <v>125</v>
      </c>
      <c r="B13" s="11">
        <f t="shared" si="0"/>
        <v>121</v>
      </c>
      <c r="C13" s="11">
        <v>26</v>
      </c>
      <c r="D13" s="11">
        <v>75</v>
      </c>
      <c r="E13" s="11">
        <v>10</v>
      </c>
      <c r="F13" s="11">
        <v>1</v>
      </c>
      <c r="G13" s="11"/>
      <c r="H13" s="11"/>
      <c r="I13" s="11">
        <v>9</v>
      </c>
      <c r="J13" s="91">
        <f t="shared" si="1"/>
        <v>95</v>
      </c>
      <c r="K13" s="92"/>
    </row>
    <row r="14" spans="1:11" ht="26.25" customHeight="1" thickBot="1">
      <c r="A14" s="10" t="s">
        <v>115</v>
      </c>
      <c r="B14" s="11">
        <f t="shared" si="0"/>
        <v>62</v>
      </c>
      <c r="C14" s="11"/>
      <c r="D14" s="11">
        <v>62</v>
      </c>
      <c r="E14" s="11"/>
      <c r="F14" s="11"/>
      <c r="G14" s="11"/>
      <c r="H14" s="11"/>
      <c r="I14" s="11"/>
      <c r="J14" s="91">
        <f t="shared" si="1"/>
        <v>62</v>
      </c>
      <c r="K14" s="92"/>
    </row>
    <row r="15" spans="1:11" ht="15.75" customHeight="1" thickBot="1">
      <c r="A15" s="10" t="s">
        <v>16</v>
      </c>
      <c r="B15" s="11">
        <f t="shared" si="0"/>
        <v>3</v>
      </c>
      <c r="C15" s="11"/>
      <c r="D15" s="11">
        <v>3</v>
      </c>
      <c r="E15" s="11"/>
      <c r="F15" s="11"/>
      <c r="G15" s="11"/>
      <c r="H15" s="11"/>
      <c r="I15" s="11"/>
      <c r="J15" s="91">
        <f t="shared" si="1"/>
        <v>3</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110</v>
      </c>
      <c r="Q7" s="42">
        <f>C6-C7</f>
        <v>17484</v>
      </c>
      <c r="R7" s="42">
        <f t="shared" ref="R7:R15" si="5">SUM(N7:Q7)</f>
        <v>17594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263</v>
      </c>
      <c r="D8" s="34">
        <f>IF((AND(C67&gt;0,C8&gt;0)),(C8/C67),0)</f>
        <v>239.09090909090907</v>
      </c>
      <c r="E8" s="33">
        <f>'Data Entry'!I8</f>
        <v>122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122</v>
      </c>
      <c r="O8" s="42">
        <f>((D67*L67)-E8)+0.05</f>
        <v>-121.95</v>
      </c>
      <c r="P8" s="42">
        <f t="shared" si="4"/>
        <v>263</v>
      </c>
      <c r="Q8" s="42">
        <f>(C$67*L67)-C8</f>
        <v>-153</v>
      </c>
      <c r="R8" s="42">
        <f t="shared" si="5"/>
        <v>110.05000000000001</v>
      </c>
      <c r="S8" s="30">
        <f t="shared" si="6"/>
        <v>19780786142.821133</v>
      </c>
      <c r="T8" s="30">
        <f t="shared" si="7"/>
        <v>-582206.62499996682</v>
      </c>
      <c r="U8" s="31">
        <f t="shared" si="8"/>
        <v>-33975.542863020943</v>
      </c>
    </row>
    <row r="9" spans="2:21" ht="18" customHeight="1">
      <c r="B9" s="32" t="str">
        <f>'Data Entry'!A9</f>
        <v xml:space="preserve">4. Cases Diverted </v>
      </c>
      <c r="C9" s="33">
        <f>'Data Entry'!C9</f>
        <v>171</v>
      </c>
      <c r="D9" s="34">
        <f>IF((AND(C68&gt;0,C9&gt;0)),((C9/C68)),0)</f>
        <v>65.019011406844115</v>
      </c>
      <c r="E9" s="33">
        <f>'Data Entry'!I9</f>
        <v>76</v>
      </c>
      <c r="F9" s="34">
        <f>IF((AND($E$9&gt;0,$D$68&gt;0)),(($E$9/$D$68)),0)</f>
        <v>62.295081967213115</v>
      </c>
      <c r="G9" s="39" t="str">
        <f t="shared" si="0"/>
        <v>*</v>
      </c>
      <c r="H9" s="40"/>
      <c r="I9" s="41"/>
      <c r="J9" s="40">
        <f>IF((ABS($U9)&gt;Defaults!D$7),1,2)</f>
        <v>2</v>
      </c>
      <c r="K9" s="39">
        <f>IF((AND(N9&gt;Defaults!B$12,(N9+O9)&gt;Defaults!B$13, P9 &gt; Defaults!B$12, (P9+Q9) &gt; Defaults!B$13)),1,20)</f>
        <v>1</v>
      </c>
      <c r="L9" s="1">
        <f t="shared" si="1"/>
        <v>101</v>
      </c>
      <c r="M9" s="1" t="b">
        <f t="shared" si="2"/>
        <v>1</v>
      </c>
      <c r="N9" s="42">
        <f t="shared" si="3"/>
        <v>76</v>
      </c>
      <c r="O9" s="42">
        <f>(D$68*L68)-E9</f>
        <v>46</v>
      </c>
      <c r="P9" s="42">
        <f t="shared" si="4"/>
        <v>171</v>
      </c>
      <c r="Q9" s="42">
        <f>(C$68*L68)-C9</f>
        <v>92</v>
      </c>
      <c r="R9" s="42">
        <f t="shared" si="5"/>
        <v>385</v>
      </c>
      <c r="S9" s="30">
        <f t="shared" si="6"/>
        <v>294092260</v>
      </c>
      <c r="T9" s="30">
        <f t="shared" si="7"/>
        <v>1093683396</v>
      </c>
      <c r="U9" s="31">
        <f t="shared" si="8"/>
        <v>0.26890072673280302</v>
      </c>
    </row>
    <row r="10" spans="2:21" ht="18" customHeight="1">
      <c r="B10" s="32" t="str">
        <f>'Data Entry'!A10</f>
        <v>5. Cases Involving Secure Detention</v>
      </c>
      <c r="C10" s="33">
        <f>'Data Entry'!C10</f>
        <v>72</v>
      </c>
      <c r="D10" s="34">
        <f>IF(((AND(C68&gt;0,C10&gt;0))),(C10/(C68)),0)</f>
        <v>27.376425855513308</v>
      </c>
      <c r="E10" s="33">
        <f>'Data Entry'!I10</f>
        <v>42</v>
      </c>
      <c r="F10" s="34">
        <f>IF(((AND($E$10&gt;0,$D$68&gt;0))),($E$10/($D$68)),0)</f>
        <v>34.42622950819672</v>
      </c>
      <c r="G10" s="39" t="str">
        <f t="shared" si="0"/>
        <v>*</v>
      </c>
      <c r="H10" s="40"/>
      <c r="I10" s="41"/>
      <c r="J10" s="40">
        <f>IF((ABS($U10)&gt;Defaults!D$7),1,2)</f>
        <v>2</v>
      </c>
      <c r="K10" s="39">
        <f>IF((AND(N10&gt;Defaults!B$12,(N10+O10)&gt;Defaults!B$13, P10 &gt; Defaults!B$12, (P10+Q10) &gt; Defaults!B$13)),1,20)</f>
        <v>1</v>
      </c>
      <c r="L10" s="1">
        <f t="shared" si="1"/>
        <v>101</v>
      </c>
      <c r="M10" s="1" t="b">
        <f t="shared" si="2"/>
        <v>1</v>
      </c>
      <c r="N10" s="42">
        <f t="shared" si="3"/>
        <v>42</v>
      </c>
      <c r="O10" s="42">
        <f>(D$68*L68)-E10</f>
        <v>80</v>
      </c>
      <c r="P10" s="42">
        <f t="shared" si="4"/>
        <v>72</v>
      </c>
      <c r="Q10" s="42">
        <f>(C$68*L68)-C10</f>
        <v>191</v>
      </c>
      <c r="R10" s="42">
        <f t="shared" si="5"/>
        <v>385</v>
      </c>
      <c r="S10" s="30">
        <f t="shared" si="6"/>
        <v>1969907940</v>
      </c>
      <c r="T10" s="30">
        <f t="shared" si="7"/>
        <v>991264884</v>
      </c>
      <c r="U10" s="31">
        <f t="shared" si="8"/>
        <v>1.9872669473076987</v>
      </c>
    </row>
    <row r="11" spans="2:21" ht="18" customHeight="1">
      <c r="B11" s="32" t="str">
        <f>'Data Entry'!A11</f>
        <v>6. Cases Petitioned (Charge Filed)</v>
      </c>
      <c r="C11" s="33">
        <f>'Data Entry'!C11</f>
        <v>97</v>
      </c>
      <c r="D11" s="34">
        <f>IF(((AND(C68&gt;0,C11&gt;0))),(C11/(C68)),0)</f>
        <v>36.882129277566541</v>
      </c>
      <c r="E11" s="33">
        <f>'Data Entry'!I11</f>
        <v>43</v>
      </c>
      <c r="F11" s="34">
        <f>IF(((AND($E$11&gt;0,$D$68&gt;0))),($E$11/($D$68)),0)</f>
        <v>35.245901639344261</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43</v>
      </c>
      <c r="O11" s="42">
        <f>(D$68*L68)-E11</f>
        <v>79</v>
      </c>
      <c r="P11" s="42">
        <f t="shared" si="4"/>
        <v>97</v>
      </c>
      <c r="Q11" s="42">
        <f>(C$68*L68)-C11</f>
        <v>166</v>
      </c>
      <c r="R11" s="42">
        <f t="shared" si="5"/>
        <v>385</v>
      </c>
      <c r="S11" s="30">
        <f t="shared" si="6"/>
        <v>106115625</v>
      </c>
      <c r="T11" s="30">
        <f t="shared" si="7"/>
        <v>1100549800</v>
      </c>
      <c r="U11" s="31">
        <f t="shared" si="8"/>
        <v>9.6420557252384215E-2</v>
      </c>
    </row>
    <row r="12" spans="2:21" ht="18" customHeight="1">
      <c r="B12" s="32" t="str">
        <f>'Data Entry'!A12</f>
        <v>7. Cases Resulting in Delinquent Findings</v>
      </c>
      <c r="C12" s="33">
        <f>'Data Entry'!C12</f>
        <v>55</v>
      </c>
      <c r="D12" s="34">
        <f>IF(((AND(C69&gt;0,C12&gt;0))),(C12/(C69)),0)</f>
        <v>56.701030927835056</v>
      </c>
      <c r="E12" s="33">
        <f>'Data Entry'!I12</f>
        <v>19</v>
      </c>
      <c r="F12" s="34">
        <f>IF(((AND($D$69&gt;0,$E$12&gt;0))),(E12/(D69)),0)</f>
        <v>44.186046511627907</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19</v>
      </c>
      <c r="O12" s="42">
        <f>(D69*L69)-E12</f>
        <v>24</v>
      </c>
      <c r="P12" s="42">
        <f t="shared" si="4"/>
        <v>55</v>
      </c>
      <c r="Q12" s="42">
        <f>(C69*L69)-C12</f>
        <v>42</v>
      </c>
      <c r="R12" s="42">
        <f t="shared" si="5"/>
        <v>140</v>
      </c>
      <c r="S12" s="30">
        <f t="shared" si="6"/>
        <v>38147760</v>
      </c>
      <c r="T12" s="30">
        <f t="shared" si="7"/>
        <v>20371164</v>
      </c>
      <c r="U12" s="31">
        <f t="shared" si="8"/>
        <v>1.8726352603120764</v>
      </c>
    </row>
    <row r="13" spans="2:21" ht="18" customHeight="1">
      <c r="B13" s="32" t="str">
        <f>'Data Entry'!A13</f>
        <v>8. Cases Resulting in Probation Placement</v>
      </c>
      <c r="C13" s="33">
        <f>'Data Entry'!C13</f>
        <v>26</v>
      </c>
      <c r="D13" s="34">
        <f>IF(((AND(C70&gt;0,C13&gt;0))),(C13/(C70)),0)</f>
        <v>47.272727272727266</v>
      </c>
      <c r="E13" s="33">
        <f>'Data Entry'!I13</f>
        <v>9</v>
      </c>
      <c r="F13" s="34">
        <f>IF(((AND($D$70&gt;0,$E$13&gt;0))),($E$13/($D$70)),0)</f>
        <v>47.368421052631575</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9</v>
      </c>
      <c r="O13" s="42">
        <f>(D70*L70)-E13</f>
        <v>10</v>
      </c>
      <c r="P13" s="42">
        <f t="shared" si="4"/>
        <v>26</v>
      </c>
      <c r="Q13" s="42">
        <f>(C70*L70)-C13</f>
        <v>29.000000000000007</v>
      </c>
      <c r="R13" s="42">
        <f t="shared" si="5"/>
        <v>74</v>
      </c>
      <c r="S13" s="30">
        <f t="shared" si="6"/>
        <v>74.000000000008413</v>
      </c>
      <c r="T13" s="30">
        <f t="shared" si="7"/>
        <v>1426425.0000000005</v>
      </c>
      <c r="U13" s="31">
        <f t="shared" si="8"/>
        <v>5.1877946614794598E-5</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19</v>
      </c>
      <c r="P14" s="42">
        <f t="shared" si="4"/>
        <v>0</v>
      </c>
      <c r="Q14" s="42">
        <f>(C70*L70)-C14</f>
        <v>55.000000000000007</v>
      </c>
      <c r="R14" s="42">
        <f t="shared" si="5"/>
        <v>74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43</v>
      </c>
      <c r="P15" s="42">
        <f t="shared" si="4"/>
        <v>0</v>
      </c>
      <c r="Q15" s="42">
        <f>(C69*L69)-C15</f>
        <v>97</v>
      </c>
      <c r="R15" s="42">
        <f t="shared" si="5"/>
        <v>140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0</v>
      </c>
      <c r="E42" s="56">
        <f>MAX(C42:D42)</f>
        <v>17.594000000000001</v>
      </c>
      <c r="G42" s="1" t="str">
        <f>B42</f>
        <v>per 1000 youth</v>
      </c>
      <c r="L42" s="57">
        <v>1000</v>
      </c>
      <c r="M42" s="57"/>
      <c r="R42" s="49"/>
    </row>
    <row r="43" spans="2:18" ht="15" hidden="1" customHeight="1">
      <c r="B43" s="49" t="s">
        <v>87</v>
      </c>
      <c r="C43" s="56">
        <f>C7/100</f>
        <v>1.1000000000000001</v>
      </c>
      <c r="D43" s="56">
        <f>E7/100</f>
        <v>0</v>
      </c>
      <c r="E43" s="56">
        <f>MAX(C43:D43,0)</f>
        <v>1.1000000000000001</v>
      </c>
      <c r="G43" s="1" t="str">
        <f>B43</f>
        <v>per 100 arrests</v>
      </c>
      <c r="L43" s="57">
        <v>100</v>
      </c>
      <c r="M43" s="57"/>
      <c r="R43" s="49"/>
    </row>
    <row r="44" spans="2:18" ht="15" hidden="1" customHeight="1">
      <c r="B44" s="49" t="s">
        <v>88</v>
      </c>
      <c r="C44" s="56">
        <f>C8/100</f>
        <v>2.63</v>
      </c>
      <c r="D44" s="56">
        <f>E8/100</f>
        <v>1.22</v>
      </c>
      <c r="E44" s="56">
        <f>MAX(C44:D44,0)</f>
        <v>2.63</v>
      </c>
      <c r="G44" s="1" t="str">
        <f>B44</f>
        <v>per 100 referrals</v>
      </c>
      <c r="L44" s="57">
        <v>100</v>
      </c>
      <c r="M44" s="57"/>
      <c r="R44" s="49"/>
    </row>
    <row r="45" spans="2:18" ht="15" hidden="1" customHeight="1">
      <c r="B45" s="49" t="s">
        <v>89</v>
      </c>
      <c r="C45" s="49">
        <f>C11/100</f>
        <v>0.97</v>
      </c>
      <c r="D45" s="49">
        <f>E11/100</f>
        <v>0.43</v>
      </c>
      <c r="E45" s="56">
        <f>MAX(C45:D45,0)</f>
        <v>0.97</v>
      </c>
      <c r="G45" s="1" t="str">
        <f>B45</f>
        <v>per 100 youth petitioned</v>
      </c>
      <c r="L45" s="57">
        <v>100</v>
      </c>
      <c r="M45" s="57"/>
      <c r="R45" s="49"/>
    </row>
    <row r="46" spans="2:18" ht="15" hidden="1" customHeight="1">
      <c r="B46" s="49" t="s">
        <v>90</v>
      </c>
      <c r="C46" s="49">
        <f>C12/100</f>
        <v>0.55000000000000004</v>
      </c>
      <c r="D46" s="49">
        <f>E12/100</f>
        <v>0.19</v>
      </c>
      <c r="E46" s="56">
        <f>MAX(C46:D46)</f>
        <v>0.55000000000000004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0</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1.1000000000000001</v>
      </c>
      <c r="D49" s="49">
        <f t="shared" si="9"/>
        <v>0</v>
      </c>
      <c r="E49" s="49">
        <f>MAX(C49:D49)</f>
        <v>1.1000000000000001</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1.22</v>
      </c>
      <c r="E50" s="49">
        <f>MAX(C50:D50)</f>
        <v>2.63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0.43</v>
      </c>
      <c r="E51" s="49">
        <f>MAX(C51:D51)</f>
        <v>0.97</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0.19</v>
      </c>
      <c r="E52" s="56">
        <f>MAX(C52:D52)</f>
        <v>0.55000000000000004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0</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0</v>
      </c>
      <c r="E55" s="49">
        <f>MAX(C55:D55)</f>
        <v>1.1000000000000001</v>
      </c>
      <c r="G55" s="1" t="str">
        <f>G49</f>
        <v>per 100 arrests</v>
      </c>
      <c r="L55" s="58">
        <f>IF(($E49&gt;0),L49,L48)</f>
        <v>100</v>
      </c>
      <c r="M55" s="58"/>
    </row>
    <row r="56" spans="2:18" ht="15" hidden="1" customHeight="1">
      <c r="B56" s="49" t="str">
        <f t="shared" si="10"/>
        <v>per 100 referrals</v>
      </c>
      <c r="C56" s="49">
        <f t="shared" si="10"/>
        <v>2.63</v>
      </c>
      <c r="D56" s="49">
        <f t="shared" si="10"/>
        <v>1.22</v>
      </c>
      <c r="E56" s="49">
        <f>MAX(C56:D56)</f>
        <v>2.63</v>
      </c>
      <c r="G56" s="1" t="str">
        <f>G50</f>
        <v>per 100 referrals</v>
      </c>
      <c r="L56" s="58">
        <f>IF(($E50&gt;0),L50,L49)</f>
        <v>100</v>
      </c>
      <c r="M56" s="58"/>
    </row>
    <row r="57" spans="2:18" ht="15" hidden="1" customHeight="1">
      <c r="B57" s="49" t="str">
        <f>IF(($E51&gt;0),B51,B49)</f>
        <v>per 100 youth petitioned</v>
      </c>
      <c r="C57" s="49">
        <f>IF(($E51&gt;0),C51,C50)</f>
        <v>0.97</v>
      </c>
      <c r="D57" s="49">
        <f>IF(($E51&gt;0),D51,D50)</f>
        <v>0.43</v>
      </c>
      <c r="E57" s="49">
        <f>MAX(C57:D57)</f>
        <v>0.97</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0.19</v>
      </c>
      <c r="E58" s="56">
        <f>MAX(C58:D58)</f>
        <v>0.55000000000000004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0</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0</v>
      </c>
      <c r="E61" s="49">
        <f>MAX(C61:D61)</f>
        <v>1.1000000000000001</v>
      </c>
      <c r="G61" s="1" t="str">
        <f>G55</f>
        <v>per 100 arrests</v>
      </c>
      <c r="L61" s="58">
        <f>IF(($E55&gt;0),L55,L54)</f>
        <v>100</v>
      </c>
      <c r="M61" s="58"/>
    </row>
    <row r="62" spans="2:18" ht="15" hidden="1" customHeight="1">
      <c r="B62" s="49" t="str">
        <f t="shared" si="11"/>
        <v>per 100 referrals</v>
      </c>
      <c r="C62" s="49">
        <f t="shared" si="11"/>
        <v>2.63</v>
      </c>
      <c r="D62" s="49">
        <f t="shared" si="11"/>
        <v>1.22</v>
      </c>
      <c r="E62" s="49">
        <f>MAX(C62:D62)</f>
        <v>2.63</v>
      </c>
      <c r="G62" s="1" t="str">
        <f>G56</f>
        <v>per 100 referrals</v>
      </c>
      <c r="L62" s="58">
        <f>IF(($E56&gt;0),L56,L55)</f>
        <v>100</v>
      </c>
      <c r="M62" s="58"/>
    </row>
    <row r="63" spans="2:18" ht="15" hidden="1" customHeight="1">
      <c r="B63" s="49" t="str">
        <f>IF(($E57&gt;0),B57,B55)</f>
        <v>per 100 youth petitioned</v>
      </c>
      <c r="C63" s="49">
        <f>IF(($E57&gt;0),C57,C56)</f>
        <v>0.97</v>
      </c>
      <c r="D63" s="49">
        <f>IF(($E57&gt;0),D57,D56)</f>
        <v>0.43</v>
      </c>
      <c r="E63" s="49">
        <f>MAX(C63:D63)</f>
        <v>0.97</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0.19</v>
      </c>
      <c r="E64" s="56">
        <f>MAX(C64:D64)</f>
        <v>0.55000000000000004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0</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0</v>
      </c>
      <c r="E67" s="49">
        <f>MAX(C67:D67)</f>
        <v>1.1000000000000001</v>
      </c>
      <c r="G67" s="1" t="str">
        <f>G61</f>
        <v>per 100 arrests</v>
      </c>
      <c r="L67" s="58">
        <f>IF(($E61&gt;0),L61,L60)</f>
        <v>100</v>
      </c>
      <c r="M67" s="58">
        <f>IF((B67=G67),1,2)</f>
        <v>1</v>
      </c>
    </row>
    <row r="68" spans="2:13" ht="15" hidden="1" customHeight="1">
      <c r="B68" s="49" t="str">
        <f t="shared" si="12"/>
        <v>per 100 referrals</v>
      </c>
      <c r="C68" s="49">
        <f t="shared" si="12"/>
        <v>2.63</v>
      </c>
      <c r="D68" s="49">
        <f t="shared" si="12"/>
        <v>1.22</v>
      </c>
      <c r="E68" s="49">
        <f>MAX(C68:D68)</f>
        <v>2.63</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0.43</v>
      </c>
      <c r="E69" s="49">
        <f>MAX(C69:D69)</f>
        <v>0.97</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0.19</v>
      </c>
      <c r="E70" s="56">
        <f>MAX(C70:D70)</f>
        <v>0.55000000000000004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Entry'!J6</f>
        <v>7825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Entry'!J7</f>
        <v>274</v>
      </c>
      <c r="F7" s="34">
        <f>IF((AND($E$7&gt;0,$D$66&gt;0)),($E$7/$D$66),0)</f>
        <v>35.015974440894567</v>
      </c>
      <c r="G7" s="39">
        <f t="shared" ref="G7:G15" si="0">IF(L$6=100,"*",IF(M7=FALSE,"--",IF(K7=20,"**",($F7/$D7))))</f>
        <v>5.6006459483009001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274</v>
      </c>
      <c r="O7" s="42">
        <f>E6-E7</f>
        <v>7551</v>
      </c>
      <c r="P7" s="42">
        <f t="shared" ref="P7:P15" si="4">C7</f>
        <v>110</v>
      </c>
      <c r="Q7" s="42">
        <f>C6-C7</f>
        <v>17484</v>
      </c>
      <c r="R7" s="42">
        <f t="shared" ref="R7:R15" si="5">SUM(N7:Q7)</f>
        <v>25419</v>
      </c>
      <c r="S7" s="30">
        <f t="shared" ref="S7:S15" si="6">R7*((((N7*Q7)-(O7*P7))^2))</f>
        <v>3.9861179831179507E+17</v>
      </c>
      <c r="T7" s="30">
        <f t="shared" ref="T7:T15" si="7">(N7+O7)*(P7+Q7)*(N7+P7)*(O7+Q7)</f>
        <v>1323511605792000</v>
      </c>
      <c r="U7" s="31">
        <f t="shared" ref="U7:U15" si="8">IF((S7&gt;0),S7/T7,"- -")</f>
        <v>301.17741058512485</v>
      </c>
    </row>
    <row r="8" spans="2:21" ht="18" customHeight="1">
      <c r="B8" s="32" t="str">
        <f>'Data Entry'!A8</f>
        <v>3. Refer to Juvenile Court</v>
      </c>
      <c r="C8" s="33">
        <f>'Data Entry'!C8</f>
        <v>263</v>
      </c>
      <c r="D8" s="34">
        <f>IF((AND(C67&gt;0,C8&gt;0)),(C8/C67),0)</f>
        <v>239.09090909090907</v>
      </c>
      <c r="E8" s="33">
        <f>'Data Entry'!J8</f>
        <v>813</v>
      </c>
      <c r="F8" s="34">
        <f>IF((AND($E$8&gt;0,$D$67&gt;0)),($E8/$D67),0)</f>
        <v>296.71532846715326</v>
      </c>
      <c r="G8" s="39">
        <f t="shared" si="0"/>
        <v>1.2410146818017818</v>
      </c>
      <c r="H8" s="40"/>
      <c r="I8" s="41"/>
      <c r="J8" s="40">
        <f>IF((ABS($U8)&gt;Defaults!D$7),1,2)</f>
        <v>1</v>
      </c>
      <c r="K8" s="39">
        <f>IF((AND(N8&gt;Defaults!B$12,(N8+O8)&gt;Defaults!B$13, P8 &gt; Defaults!B$12, (P8+Q8) &gt; Defaults!B$13)),1,20)</f>
        <v>1</v>
      </c>
      <c r="L8" s="1">
        <f t="shared" si="1"/>
        <v>1</v>
      </c>
      <c r="M8" s="1" t="b">
        <f t="shared" si="2"/>
        <v>1</v>
      </c>
      <c r="N8" s="42">
        <f t="shared" si="3"/>
        <v>813</v>
      </c>
      <c r="O8" s="42">
        <f>((D67*L67)-E8)+0.05</f>
        <v>-538.95000000000005</v>
      </c>
      <c r="P8" s="42">
        <f t="shared" si="4"/>
        <v>263</v>
      </c>
      <c r="Q8" s="42">
        <f>(C$67*L67)-C8</f>
        <v>-153</v>
      </c>
      <c r="R8" s="42">
        <f t="shared" si="5"/>
        <v>384.04999999999995</v>
      </c>
      <c r="S8" s="30">
        <f t="shared" si="6"/>
        <v>115672333853.56619</v>
      </c>
      <c r="T8" s="30">
        <f t="shared" si="7"/>
        <v>-22444476308.099998</v>
      </c>
      <c r="U8" s="31">
        <f t="shared" si="8"/>
        <v>-5.1537105284038702</v>
      </c>
    </row>
    <row r="9" spans="2:21" ht="18" customHeight="1">
      <c r="B9" s="32" t="str">
        <f>'Data Entry'!A9</f>
        <v xml:space="preserve">4. Cases Diverted </v>
      </c>
      <c r="C9" s="33">
        <f>'Data Entry'!C9</f>
        <v>171</v>
      </c>
      <c r="D9" s="34">
        <f>IF((AND(C68&gt;0,C9&gt;0)),((C9/C68)),0)</f>
        <v>65.019011406844115</v>
      </c>
      <c r="E9" s="33">
        <f>'Data Entry'!J9</f>
        <v>535</v>
      </c>
      <c r="F9" s="34">
        <f>IF((AND($E$9&gt;0,$D$68&gt;0)),(($E$9/$D$68)),0)</f>
        <v>65.805658056580555</v>
      </c>
      <c r="G9" s="39">
        <f t="shared" si="0"/>
        <v>1.0120987174784026</v>
      </c>
      <c r="H9" s="40"/>
      <c r="I9" s="41"/>
      <c r="J9" s="40">
        <f>IF((ABS($U9)&gt;Defaults!D$7),1,2)</f>
        <v>2</v>
      </c>
      <c r="K9" s="39">
        <f>IF((AND(N9&gt;Defaults!B$12,(N9+O9)&gt;Defaults!B$13, P9 &gt; Defaults!B$12, (P9+Q9) &gt; Defaults!B$13)),1,20)</f>
        <v>1</v>
      </c>
      <c r="L9" s="1">
        <f t="shared" si="1"/>
        <v>2</v>
      </c>
      <c r="M9" s="1" t="b">
        <f t="shared" si="2"/>
        <v>1</v>
      </c>
      <c r="N9" s="42">
        <f t="shared" si="3"/>
        <v>535</v>
      </c>
      <c r="O9" s="42">
        <f>(D$68*L68)-E9</f>
        <v>278.00000000000011</v>
      </c>
      <c r="P9" s="42">
        <f t="shared" si="4"/>
        <v>171</v>
      </c>
      <c r="Q9" s="42">
        <f>(C$68*L68)-C9</f>
        <v>92</v>
      </c>
      <c r="R9" s="42">
        <f t="shared" si="5"/>
        <v>1076</v>
      </c>
      <c r="S9" s="30">
        <f t="shared" si="6"/>
        <v>3044137423.9999208</v>
      </c>
      <c r="T9" s="30">
        <f t="shared" si="7"/>
        <v>55853799180.000031</v>
      </c>
      <c r="U9" s="31">
        <f t="shared" si="8"/>
        <v>5.4501886508911947E-2</v>
      </c>
    </row>
    <row r="10" spans="2:21" ht="18" customHeight="1">
      <c r="B10" s="32" t="str">
        <f>'Data Entry'!A10</f>
        <v>5. Cases Involving Secure Detention</v>
      </c>
      <c r="C10" s="33">
        <f>'Data Entry'!C10</f>
        <v>72</v>
      </c>
      <c r="D10" s="34">
        <f>IF(((AND(C68&gt;0,C10&gt;0))),(C10/(C68)),0)</f>
        <v>27.376425855513308</v>
      </c>
      <c r="E10" s="33">
        <f>'Data Entry'!J10</f>
        <v>216</v>
      </c>
      <c r="F10" s="34">
        <f>IF(((AND($E$10&gt;0,$D$68&gt;0))),($E$10/($D$68)),0)</f>
        <v>26.568265682656826</v>
      </c>
      <c r="G10" s="39">
        <f t="shared" si="0"/>
        <v>0.97047970479704793</v>
      </c>
      <c r="H10" s="40"/>
      <c r="I10" s="41"/>
      <c r="J10" s="40">
        <f>IF((ABS($U10)&gt;Defaults!D$7),1,2)</f>
        <v>2</v>
      </c>
      <c r="K10" s="39">
        <f>IF((AND(N10&gt;Defaults!B$12,(N10+O10)&gt;Defaults!B$13, P10 &gt; Defaults!B$12, (P10+Q10) &gt; Defaults!B$13)),1,20)</f>
        <v>1</v>
      </c>
      <c r="L10" s="1">
        <f t="shared" si="1"/>
        <v>2</v>
      </c>
      <c r="M10" s="1" t="b">
        <f t="shared" si="2"/>
        <v>1</v>
      </c>
      <c r="N10" s="42">
        <f t="shared" si="3"/>
        <v>216</v>
      </c>
      <c r="O10" s="42">
        <f>(D$68*L68)-E10</f>
        <v>597.00000000000011</v>
      </c>
      <c r="P10" s="42">
        <f t="shared" si="4"/>
        <v>72</v>
      </c>
      <c r="Q10" s="42">
        <f>(C$68*L68)-C10</f>
        <v>191</v>
      </c>
      <c r="R10" s="42">
        <f t="shared" si="5"/>
        <v>1076</v>
      </c>
      <c r="S10" s="30">
        <f t="shared" si="6"/>
        <v>3212918784.0000272</v>
      </c>
      <c r="T10" s="30">
        <f t="shared" si="7"/>
        <v>48524939136.000015</v>
      </c>
      <c r="U10" s="31">
        <f t="shared" si="8"/>
        <v>6.6211701471592471E-2</v>
      </c>
    </row>
    <row r="11" spans="2:21" ht="18" customHeight="1">
      <c r="B11" s="32" t="str">
        <f>'Data Entry'!A11</f>
        <v>6. Cases Petitioned (Charge Filed)</v>
      </c>
      <c r="C11" s="33">
        <f>'Data Entry'!C11</f>
        <v>97</v>
      </c>
      <c r="D11" s="34">
        <f>IF(((AND(C68&gt;0,C11&gt;0))),(C11/(C68)),0)</f>
        <v>36.882129277566541</v>
      </c>
      <c r="E11" s="33">
        <f>'Data Entry'!J11</f>
        <v>263</v>
      </c>
      <c r="F11" s="34">
        <f>IF(((AND($E$11&gt;0,$D$68&gt;0))),($E$11/($D$68)),0)</f>
        <v>32.349323493234927</v>
      </c>
      <c r="G11" s="39">
        <f t="shared" si="0"/>
        <v>0.87710021430111185</v>
      </c>
      <c r="H11" s="40"/>
      <c r="I11" s="41"/>
      <c r="J11" s="40">
        <f>IF((ABS($U11)&gt;Defaults!D$7),1,2)</f>
        <v>2</v>
      </c>
      <c r="K11" s="39">
        <f>IF((AND(N11&gt;Defaults!B$12,(N11+O11)&gt;Defaults!B$13, P11 &gt; Defaults!B$12, (P11+Q11) &gt; Defaults!B$13)),1,20)</f>
        <v>1</v>
      </c>
      <c r="L11" s="1">
        <f t="shared" si="1"/>
        <v>2</v>
      </c>
      <c r="M11" s="1" t="b">
        <f t="shared" si="2"/>
        <v>1</v>
      </c>
      <c r="N11" s="42">
        <f t="shared" si="3"/>
        <v>263</v>
      </c>
      <c r="O11" s="42">
        <f>(D$68*L68)-E11</f>
        <v>550.00000000000011</v>
      </c>
      <c r="P11" s="42">
        <f t="shared" si="4"/>
        <v>97</v>
      </c>
      <c r="Q11" s="42">
        <f>(C$68*L68)-C11</f>
        <v>166</v>
      </c>
      <c r="R11" s="42">
        <f t="shared" si="5"/>
        <v>1076</v>
      </c>
      <c r="S11" s="30">
        <f t="shared" si="6"/>
        <v>101073913664.00031</v>
      </c>
      <c r="T11" s="30">
        <f t="shared" si="7"/>
        <v>55113985440.000023</v>
      </c>
      <c r="U11" s="31">
        <f t="shared" si="8"/>
        <v>1.8339068179715414</v>
      </c>
    </row>
    <row r="12" spans="2:21" ht="18" customHeight="1">
      <c r="B12" s="32" t="str">
        <f>'Data Entry'!A12</f>
        <v>7. Cases Resulting in Delinquent Findings</v>
      </c>
      <c r="C12" s="33">
        <f>'Data Entry'!C12</f>
        <v>55</v>
      </c>
      <c r="D12" s="34">
        <f>IF(((AND(C69&gt;0,C12&gt;0))),(C12/(C69)),0)</f>
        <v>56.701030927835056</v>
      </c>
      <c r="E12" s="33">
        <f>'Data Entry'!J12</f>
        <v>119</v>
      </c>
      <c r="F12" s="34">
        <f>IF(((AND($D$69&gt;0,$E$12&gt;0))),(E12/(D69)),0)</f>
        <v>45.247148288973385</v>
      </c>
      <c r="G12" s="39">
        <f t="shared" si="0"/>
        <v>0.7979951607328033</v>
      </c>
      <c r="H12" s="40"/>
      <c r="I12" s="41"/>
      <c r="J12" s="40">
        <f>IF((ABS($U12)&gt;Defaults!D$7),1,2)</f>
        <v>2</v>
      </c>
      <c r="K12" s="39">
        <f>IF((AND(N12&gt;Defaults!B$12,(N12+O12)&gt;Defaults!B$13, P12 &gt; Defaults!B$12, (P12+Q12) &gt; Defaults!B$13)),1,20)</f>
        <v>1</v>
      </c>
      <c r="L12" s="1">
        <f t="shared" si="1"/>
        <v>2</v>
      </c>
      <c r="M12" s="1" t="b">
        <f t="shared" si="2"/>
        <v>1</v>
      </c>
      <c r="N12" s="42">
        <f t="shared" si="3"/>
        <v>119</v>
      </c>
      <c r="O12" s="42">
        <f>(D69*L69)-E12</f>
        <v>144</v>
      </c>
      <c r="P12" s="42">
        <f t="shared" si="4"/>
        <v>55</v>
      </c>
      <c r="Q12" s="42">
        <f>(C69*L69)-C12</f>
        <v>42</v>
      </c>
      <c r="R12" s="42">
        <f t="shared" si="5"/>
        <v>360</v>
      </c>
      <c r="S12" s="30">
        <f t="shared" si="6"/>
        <v>3073710240</v>
      </c>
      <c r="T12" s="30">
        <f t="shared" si="7"/>
        <v>825638004</v>
      </c>
      <c r="U12" s="31">
        <f t="shared" si="8"/>
        <v>3.7228303749448046</v>
      </c>
    </row>
    <row r="13" spans="2:21" ht="18" customHeight="1">
      <c r="B13" s="32" t="str">
        <f>'Data Entry'!A13</f>
        <v>8. Cases Resulting in Probation Placement</v>
      </c>
      <c r="C13" s="33">
        <f>'Data Entry'!C13</f>
        <v>26</v>
      </c>
      <c r="D13" s="34">
        <f>IF(((AND(C70&gt;0,C13&gt;0))),(C13/(C70)),0)</f>
        <v>47.272727272727266</v>
      </c>
      <c r="E13" s="33">
        <f>'Data Entry'!J13</f>
        <v>95</v>
      </c>
      <c r="F13" s="34">
        <f>IF(((AND($D$70&gt;0,$E$13&gt;0))),($E$13/($D$70)),0)</f>
        <v>79.831932773109244</v>
      </c>
      <c r="G13" s="39">
        <f t="shared" si="0"/>
        <v>1.6887524240465419</v>
      </c>
      <c r="H13" s="40"/>
      <c r="I13" s="41"/>
      <c r="J13" s="40">
        <f>IF((ABS($U13)&gt;Defaults!D$7),1,2)</f>
        <v>1</v>
      </c>
      <c r="K13" s="39">
        <f>IF((AND(N13&gt;Defaults!B$12,(N13+O13)&gt;Defaults!B$13, P13 &gt; Defaults!B$12, (P13+Q13) &gt; Defaults!B$13)),1,20)</f>
        <v>1</v>
      </c>
      <c r="L13" s="1">
        <f t="shared" si="1"/>
        <v>1</v>
      </c>
      <c r="M13" s="1" t="b">
        <f t="shared" si="2"/>
        <v>1</v>
      </c>
      <c r="N13" s="42">
        <f t="shared" si="3"/>
        <v>95</v>
      </c>
      <c r="O13" s="42">
        <f>(D70*L70)-E13</f>
        <v>24</v>
      </c>
      <c r="P13" s="42">
        <f t="shared" si="4"/>
        <v>26</v>
      </c>
      <c r="Q13" s="42">
        <f>(C70*L70)-C13</f>
        <v>29.000000000000007</v>
      </c>
      <c r="R13" s="42">
        <f t="shared" si="5"/>
        <v>174</v>
      </c>
      <c r="S13" s="30">
        <f t="shared" si="6"/>
        <v>790162014.00000036</v>
      </c>
      <c r="T13" s="30">
        <f t="shared" si="7"/>
        <v>41973085.000000015</v>
      </c>
      <c r="U13" s="31">
        <f t="shared" si="8"/>
        <v>18.825445258550808</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62</v>
      </c>
      <c r="F14" s="34">
        <f>IF(((AND($D$70&gt;0,$E$14&gt;0))), (($E$14/($D$70))),0)</f>
        <v>52.100840336134453</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62</v>
      </c>
      <c r="O14" s="42">
        <f>(D70*L70)-E14</f>
        <v>57</v>
      </c>
      <c r="P14" s="42">
        <f t="shared" si="4"/>
        <v>0</v>
      </c>
      <c r="Q14" s="42">
        <f>(C70*L70)-C14</f>
        <v>55.000000000000007</v>
      </c>
      <c r="R14" s="42">
        <f t="shared" si="5"/>
        <v>174</v>
      </c>
      <c r="S14" s="30">
        <f t="shared" si="6"/>
        <v>2023289400.0000007</v>
      </c>
      <c r="T14" s="30">
        <f t="shared" si="7"/>
        <v>45448480.000000007</v>
      </c>
      <c r="U14" s="31">
        <f t="shared" si="8"/>
        <v>44.518307322929182</v>
      </c>
    </row>
    <row r="15" spans="2:21" ht="15.75" customHeight="1">
      <c r="B15" s="32" t="str">
        <f>'Data Entry'!A15</f>
        <v xml:space="preserve">10. Cases Transferred to Adult Court </v>
      </c>
      <c r="C15" s="33">
        <f>'Data Entry'!C15</f>
        <v>0</v>
      </c>
      <c r="D15" s="34">
        <f>IF(((AND(C69&gt;0,C15&gt;0))),((C15/(C69))),0)</f>
        <v>0</v>
      </c>
      <c r="E15" s="33">
        <f>'Data Entry'!J15</f>
        <v>3</v>
      </c>
      <c r="F15" s="34">
        <f>IF(((AND($D$69&gt;0,$E$15&gt;0))),(($E$15/($D$69))),0)</f>
        <v>1.1406844106463878</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3</v>
      </c>
      <c r="O15" s="42">
        <f>(D69*L69)-E15</f>
        <v>260</v>
      </c>
      <c r="P15" s="42">
        <f t="shared" si="4"/>
        <v>0</v>
      </c>
      <c r="Q15" s="42">
        <f>(C69*L69)-C15</f>
        <v>97</v>
      </c>
      <c r="R15" s="42">
        <f t="shared" si="5"/>
        <v>360</v>
      </c>
      <c r="S15" s="30">
        <f t="shared" si="6"/>
        <v>30485160</v>
      </c>
      <c r="T15" s="30">
        <f t="shared" si="7"/>
        <v>27322281</v>
      </c>
      <c r="U15" s="31">
        <f t="shared" si="8"/>
        <v>1.1157618941112566</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7.8250000000000002</v>
      </c>
      <c r="E42" s="56">
        <f>MAX(C42:D42)</f>
        <v>17.594000000000001</v>
      </c>
      <c r="G42" s="1" t="str">
        <f>B42</f>
        <v>per 1000 youth</v>
      </c>
      <c r="L42" s="57">
        <v>1000</v>
      </c>
      <c r="M42" s="57"/>
      <c r="R42" s="49"/>
    </row>
    <row r="43" spans="2:18" ht="15" hidden="1" customHeight="1">
      <c r="B43" s="49" t="s">
        <v>87</v>
      </c>
      <c r="C43" s="56">
        <f>C7/100</f>
        <v>1.1000000000000001</v>
      </c>
      <c r="D43" s="56">
        <f>E7/100</f>
        <v>2.74</v>
      </c>
      <c r="E43" s="56">
        <f>MAX(C43:D43,0)</f>
        <v>2.74</v>
      </c>
      <c r="G43" s="1" t="str">
        <f>B43</f>
        <v>per 100 arrests</v>
      </c>
      <c r="L43" s="57">
        <v>100</v>
      </c>
      <c r="M43" s="57"/>
      <c r="R43" s="49"/>
    </row>
    <row r="44" spans="2:18" ht="15" hidden="1" customHeight="1">
      <c r="B44" s="49" t="s">
        <v>88</v>
      </c>
      <c r="C44" s="56">
        <f>C8/100</f>
        <v>2.63</v>
      </c>
      <c r="D44" s="56">
        <f>E8/100</f>
        <v>8.1300000000000008</v>
      </c>
      <c r="E44" s="56">
        <f>MAX(C44:D44,0)</f>
        <v>8.1300000000000008</v>
      </c>
      <c r="G44" s="1" t="str">
        <f>B44</f>
        <v>per 100 referrals</v>
      </c>
      <c r="L44" s="57">
        <v>100</v>
      </c>
      <c r="M44" s="57"/>
      <c r="R44" s="49"/>
    </row>
    <row r="45" spans="2:18" ht="15" hidden="1" customHeight="1">
      <c r="B45" s="49" t="s">
        <v>89</v>
      </c>
      <c r="C45" s="49">
        <f>C11/100</f>
        <v>0.97</v>
      </c>
      <c r="D45" s="49">
        <f>E11/100</f>
        <v>2.63</v>
      </c>
      <c r="E45" s="56">
        <f>MAX(C45:D45,0)</f>
        <v>2.63</v>
      </c>
      <c r="G45" s="1" t="str">
        <f>B45</f>
        <v>per 100 youth petitioned</v>
      </c>
      <c r="L45" s="57">
        <v>100</v>
      </c>
      <c r="M45" s="57"/>
      <c r="R45" s="49"/>
    </row>
    <row r="46" spans="2:18" ht="15" hidden="1" customHeight="1">
      <c r="B46" s="49" t="s">
        <v>90</v>
      </c>
      <c r="C46" s="49">
        <f>C12/100</f>
        <v>0.55000000000000004</v>
      </c>
      <c r="D46" s="49">
        <f>E12/100</f>
        <v>1.19</v>
      </c>
      <c r="E46" s="56">
        <f>MAX(C46:D46)</f>
        <v>1.19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7.8250000000000002</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1.1000000000000001</v>
      </c>
      <c r="D49" s="49">
        <f t="shared" si="9"/>
        <v>2.74</v>
      </c>
      <c r="E49" s="49">
        <f>MAX(C49:D49)</f>
        <v>2.74</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8.1300000000000008</v>
      </c>
      <c r="E50" s="49">
        <f>MAX(C50:D50)</f>
        <v>8.1300000000000008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2.63</v>
      </c>
      <c r="E51" s="49">
        <f>MAX(C51:D51)</f>
        <v>2.63</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1.19</v>
      </c>
      <c r="E52" s="56">
        <f>MAX(C52:D52)</f>
        <v>1.19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7.8250000000000002</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2.74</v>
      </c>
      <c r="E55" s="49">
        <f>MAX(C55:D55)</f>
        <v>2.74</v>
      </c>
      <c r="G55" s="1" t="str">
        <f>G49</f>
        <v>per 100 arrests</v>
      </c>
      <c r="L55" s="58">
        <f>IF(($E49&gt;0),L49,L48)</f>
        <v>100</v>
      </c>
      <c r="M55" s="58"/>
    </row>
    <row r="56" spans="2:18" ht="15" hidden="1" customHeight="1">
      <c r="B56" s="49" t="str">
        <f t="shared" si="10"/>
        <v>per 100 referrals</v>
      </c>
      <c r="C56" s="49">
        <f t="shared" si="10"/>
        <v>2.63</v>
      </c>
      <c r="D56" s="49">
        <f t="shared" si="10"/>
        <v>8.1300000000000008</v>
      </c>
      <c r="E56" s="49">
        <f>MAX(C56:D56)</f>
        <v>8.1300000000000008</v>
      </c>
      <c r="G56" s="1" t="str">
        <f>G50</f>
        <v>per 100 referrals</v>
      </c>
      <c r="L56" s="58">
        <f>IF(($E50&gt;0),L50,L49)</f>
        <v>100</v>
      </c>
      <c r="M56" s="58"/>
    </row>
    <row r="57" spans="2:18" ht="15" hidden="1" customHeight="1">
      <c r="B57" s="49" t="str">
        <f>IF(($E51&gt;0),B51,B49)</f>
        <v>per 100 youth petitioned</v>
      </c>
      <c r="C57" s="49">
        <f>IF(($E51&gt;0),C51,C50)</f>
        <v>0.97</v>
      </c>
      <c r="D57" s="49">
        <f>IF(($E51&gt;0),D51,D50)</f>
        <v>2.63</v>
      </c>
      <c r="E57" s="49">
        <f>MAX(C57:D57)</f>
        <v>2.63</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1.19</v>
      </c>
      <c r="E58" s="56">
        <f>MAX(C58:D58)</f>
        <v>1.19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7.8250000000000002</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2.74</v>
      </c>
      <c r="E61" s="49">
        <f>MAX(C61:D61)</f>
        <v>2.74</v>
      </c>
      <c r="G61" s="1" t="str">
        <f>G55</f>
        <v>per 100 arrests</v>
      </c>
      <c r="L61" s="58">
        <f>IF(($E55&gt;0),L55,L54)</f>
        <v>100</v>
      </c>
      <c r="M61" s="58"/>
    </row>
    <row r="62" spans="2:18" ht="15" hidden="1" customHeight="1">
      <c r="B62" s="49" t="str">
        <f t="shared" si="11"/>
        <v>per 100 referrals</v>
      </c>
      <c r="C62" s="49">
        <f t="shared" si="11"/>
        <v>2.63</v>
      </c>
      <c r="D62" s="49">
        <f t="shared" si="11"/>
        <v>8.1300000000000008</v>
      </c>
      <c r="E62" s="49">
        <f>MAX(C62:D62)</f>
        <v>8.1300000000000008</v>
      </c>
      <c r="G62" s="1" t="str">
        <f>G56</f>
        <v>per 100 referrals</v>
      </c>
      <c r="L62" s="58">
        <f>IF(($E56&gt;0),L56,L55)</f>
        <v>100</v>
      </c>
      <c r="M62" s="58"/>
    </row>
    <row r="63" spans="2:18" ht="15" hidden="1" customHeight="1">
      <c r="B63" s="49" t="str">
        <f>IF(($E57&gt;0),B57,B55)</f>
        <v>per 100 youth petitioned</v>
      </c>
      <c r="C63" s="49">
        <f>IF(($E57&gt;0),C57,C56)</f>
        <v>0.97</v>
      </c>
      <c r="D63" s="49">
        <f>IF(($E57&gt;0),D57,D56)</f>
        <v>2.63</v>
      </c>
      <c r="E63" s="49">
        <f>MAX(C63:D63)</f>
        <v>2.63</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1.19</v>
      </c>
      <c r="E64" s="56">
        <f>MAX(C64:D64)</f>
        <v>1.19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7.8250000000000002</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2.74</v>
      </c>
      <c r="E67" s="49">
        <f>MAX(C67:D67)</f>
        <v>2.74</v>
      </c>
      <c r="G67" s="1" t="str">
        <f>G61</f>
        <v>per 100 arrests</v>
      </c>
      <c r="L67" s="58">
        <f>IF(($E61&gt;0),L61,L60)</f>
        <v>100</v>
      </c>
      <c r="M67" s="58">
        <f>IF((B67=G67),1,2)</f>
        <v>1</v>
      </c>
    </row>
    <row r="68" spans="2:13" ht="15" hidden="1" customHeight="1">
      <c r="B68" s="49" t="str">
        <f t="shared" si="12"/>
        <v>per 100 referrals</v>
      </c>
      <c r="C68" s="49">
        <f t="shared" si="12"/>
        <v>2.63</v>
      </c>
      <c r="D68" s="49">
        <f t="shared" si="12"/>
        <v>8.1300000000000008</v>
      </c>
      <c r="E68" s="49">
        <f>MAX(C68:D68)</f>
        <v>8.1300000000000008</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2.63</v>
      </c>
      <c r="E69" s="49">
        <f>MAX(C69:D69)</f>
        <v>2.63</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1.19</v>
      </c>
      <c r="E70" s="56">
        <f>MAX(C70:D70)</f>
        <v>1.19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Kalamazoo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9.1831407099268105</v>
      </c>
      <c r="D7" s="72">
        <f>Hispanic!G7</f>
        <v>0.47887860642351665</v>
      </c>
      <c r="E7" s="72" t="str">
        <f>Asian!G7</f>
        <v>**</v>
      </c>
      <c r="F7" s="72" t="str">
        <f>Hawaiian!G7</f>
        <v>*</v>
      </c>
      <c r="G7" s="72" t="str">
        <f>'Am Indian'!G7</f>
        <v>*</v>
      </c>
      <c r="H7" s="72" t="str">
        <f>'Other - Mixed'!G7</f>
        <v>*</v>
      </c>
      <c r="I7" s="73">
        <f>'All Minorities'!G7</f>
        <v>5.6006459483009001</v>
      </c>
      <c r="L7" s="1">
        <f>'Black or African-American'!L7</f>
        <v>1</v>
      </c>
      <c r="M7" s="1">
        <f>Hispanic!L7</f>
        <v>2</v>
      </c>
      <c r="N7" s="1">
        <f>Asian!L7</f>
        <v>40</v>
      </c>
      <c r="O7" s="1" t="e">
        <f>Hawaiian!L7</f>
        <v>#VALUE!</v>
      </c>
      <c r="P7" s="1">
        <f>'Am Indian'!L7</f>
        <v>139</v>
      </c>
      <c r="Q7" s="1" t="e">
        <f>'Other - Mixed'!L7</f>
        <v>#VALUE!</v>
      </c>
      <c r="R7" s="1">
        <f>'All Minorities'!L7</f>
        <v>1</v>
      </c>
    </row>
    <row r="8" spans="2:18" ht="15" customHeight="1">
      <c r="B8" s="71" t="s">
        <v>9</v>
      </c>
      <c r="C8" s="72">
        <f>'Black or African-American'!$G8</f>
        <v>1.0597787243774837</v>
      </c>
      <c r="D8" s="72" t="str">
        <f>Hispanic!G8</f>
        <v>**</v>
      </c>
      <c r="E8" s="72" t="str">
        <f>Asian!G8</f>
        <v>**</v>
      </c>
      <c r="F8" s="72" t="str">
        <f>Hawaiian!G8</f>
        <v>*</v>
      </c>
      <c r="G8" s="72" t="str">
        <f>'Am Indian'!G8</f>
        <v>*</v>
      </c>
      <c r="H8" s="72" t="str">
        <f>'Other - Mixed'!G8</f>
        <v>*</v>
      </c>
      <c r="I8" s="73">
        <f>'All Minorities'!G8</f>
        <v>1.2410146818017818</v>
      </c>
      <c r="L8" s="1">
        <f>'Black or African-American'!L8</f>
        <v>2</v>
      </c>
      <c r="M8" s="1">
        <f>Hispanic!L8</f>
        <v>40</v>
      </c>
      <c r="N8" s="1">
        <f>Asian!L8</f>
        <v>40</v>
      </c>
      <c r="O8" s="1">
        <f>Hawaiian!L8</f>
        <v>139</v>
      </c>
      <c r="P8" s="1">
        <f>'Am Indian'!L8</f>
        <v>119</v>
      </c>
      <c r="Q8" s="1">
        <f>'Other - Mixed'!L8</f>
        <v>119</v>
      </c>
      <c r="R8" s="1">
        <f>'All Minorities'!L8</f>
        <v>1</v>
      </c>
    </row>
    <row r="9" spans="2:18" ht="15" customHeight="1">
      <c r="B9" s="71" t="s">
        <v>10</v>
      </c>
      <c r="C9" s="72">
        <f>'Black or African-American'!$G9</f>
        <v>1.0177347423950578</v>
      </c>
      <c r="D9" s="72" t="str">
        <f>Hispanic!G9</f>
        <v>**</v>
      </c>
      <c r="E9" s="72" t="str">
        <f>Asian!G9</f>
        <v>**</v>
      </c>
      <c r="F9" s="72" t="str">
        <f>Hawaiian!G9</f>
        <v>*</v>
      </c>
      <c r="G9" s="72" t="str">
        <f>'Am Indian'!G9</f>
        <v>*</v>
      </c>
      <c r="H9" s="72" t="str">
        <f>'Other - Mixed'!G9</f>
        <v>*</v>
      </c>
      <c r="I9" s="73">
        <f>'All Minorities'!G9</f>
        <v>1.0120987174784026</v>
      </c>
      <c r="L9" s="1">
        <f>'Black or African-American'!L9</f>
        <v>2</v>
      </c>
      <c r="M9" s="1">
        <f>Hispanic!L9</f>
        <v>40</v>
      </c>
      <c r="N9" s="1">
        <f>Asian!L9</f>
        <v>40</v>
      </c>
      <c r="O9" s="1" t="e">
        <f>Hawaiian!L9</f>
        <v>#VALUE!</v>
      </c>
      <c r="P9" s="1">
        <f>'Am Indian'!L9</f>
        <v>139</v>
      </c>
      <c r="Q9" s="1">
        <f>'Other - Mixed'!L9</f>
        <v>101</v>
      </c>
      <c r="R9" s="1">
        <f>'All Minorities'!L9</f>
        <v>2</v>
      </c>
    </row>
    <row r="10" spans="2:18" ht="15" customHeight="1">
      <c r="B10" s="71" t="s">
        <v>11</v>
      </c>
      <c r="C10" s="72">
        <f>'Black or African-American'!$G10</f>
        <v>0.94300197823936693</v>
      </c>
      <c r="D10" s="72" t="str">
        <f>Hispanic!G10</f>
        <v>**</v>
      </c>
      <c r="E10" s="72" t="str">
        <f>Asian!G10</f>
        <v>**</v>
      </c>
      <c r="F10" s="72" t="str">
        <f>Hawaiian!G10</f>
        <v>*</v>
      </c>
      <c r="G10" s="72" t="str">
        <f>'Am Indian'!G10</f>
        <v>*</v>
      </c>
      <c r="H10" s="72" t="str">
        <f>'Other - Mixed'!G10</f>
        <v>*</v>
      </c>
      <c r="I10" s="73">
        <f>'All Minorities'!G10</f>
        <v>0.97047970479704793</v>
      </c>
      <c r="L10" s="1">
        <f>'Black or African-American'!L10</f>
        <v>2</v>
      </c>
      <c r="M10" s="1">
        <f>Hispanic!L10</f>
        <v>20</v>
      </c>
      <c r="N10" s="1">
        <f>Asian!L10</f>
        <v>40</v>
      </c>
      <c r="O10" s="1" t="e">
        <f>Hawaiian!L10</f>
        <v>#VALUE!</v>
      </c>
      <c r="P10" s="1">
        <f>'Am Indian'!L10</f>
        <v>139</v>
      </c>
      <c r="Q10" s="1">
        <f>'Other - Mixed'!L10</f>
        <v>101</v>
      </c>
      <c r="R10" s="1">
        <f>'All Minorities'!L10</f>
        <v>2</v>
      </c>
    </row>
    <row r="11" spans="2:18" ht="15" customHeight="1">
      <c r="B11" s="71" t="s">
        <v>95</v>
      </c>
      <c r="C11" s="72">
        <f>'Black or African-American'!$G11</f>
        <v>0.86891614916332693</v>
      </c>
      <c r="D11" s="72" t="str">
        <f>Hispanic!G11</f>
        <v>**</v>
      </c>
      <c r="E11" s="72" t="str">
        <f>Asian!G11</f>
        <v>**</v>
      </c>
      <c r="F11" s="72" t="str">
        <f>Hawaiian!G11</f>
        <v>*</v>
      </c>
      <c r="G11" s="72" t="str">
        <f>'Am Indian'!G11</f>
        <v>*</v>
      </c>
      <c r="H11" s="72" t="str">
        <f>'Other - Mixed'!G11</f>
        <v>*</v>
      </c>
      <c r="I11" s="73">
        <f>'All Minorities'!G11</f>
        <v>0.87710021430111185</v>
      </c>
      <c r="L11" s="1">
        <f>'Black or African-American'!L11</f>
        <v>2</v>
      </c>
      <c r="M11" s="1">
        <f>Hispanic!L11</f>
        <v>40</v>
      </c>
      <c r="N11" s="1">
        <f>Asian!L11</f>
        <v>40</v>
      </c>
      <c r="O11" s="1" t="e">
        <f>Hawaiian!L11</f>
        <v>#VALUE!</v>
      </c>
      <c r="P11" s="1">
        <f>'Am Indian'!L11</f>
        <v>139</v>
      </c>
      <c r="Q11" s="1">
        <f>'Other - Mixed'!L11</f>
        <v>101</v>
      </c>
      <c r="R11" s="1">
        <f>'All Minorities'!L11</f>
        <v>2</v>
      </c>
    </row>
    <row r="12" spans="2:18" ht="15" customHeight="1">
      <c r="B12" s="71" t="s">
        <v>13</v>
      </c>
      <c r="C12" s="72">
        <f>'Black or African-American'!$G12</f>
        <v>0.79200336700336693</v>
      </c>
      <c r="D12" s="72" t="str">
        <f>Hispanic!G12</f>
        <v>**</v>
      </c>
      <c r="E12" s="72" t="str">
        <f>Asian!G12</f>
        <v>--</v>
      </c>
      <c r="F12" s="72" t="str">
        <f>Hawaiian!G12</f>
        <v>*</v>
      </c>
      <c r="G12" s="72" t="str">
        <f>'Am Indian'!G12</f>
        <v>*</v>
      </c>
      <c r="H12" s="72" t="str">
        <f>'Other - Mixed'!G12</f>
        <v>*</v>
      </c>
      <c r="I12" s="73">
        <f>'All Minorities'!G12</f>
        <v>0.7979951607328033</v>
      </c>
      <c r="L12" s="1">
        <f>'Black or African-American'!L12</f>
        <v>2</v>
      </c>
      <c r="M12" s="1">
        <f>Hispanic!L12</f>
        <v>40</v>
      </c>
      <c r="N12" s="1" t="e">
        <f>Asian!L12</f>
        <v>#VALUE!</v>
      </c>
      <c r="O12" s="1" t="e">
        <f>Hawaiian!L12</f>
        <v>#VALUE!</v>
      </c>
      <c r="P12" s="1" t="e">
        <f>'Am Indian'!L12</f>
        <v>#VALUE!</v>
      </c>
      <c r="Q12" s="1">
        <f>'Other - Mixed'!L12</f>
        <v>101</v>
      </c>
      <c r="R12" s="1">
        <f>'All Minorities'!L12</f>
        <v>2</v>
      </c>
    </row>
    <row r="13" spans="2:18" ht="15" customHeight="1">
      <c r="B13" s="71" t="s">
        <v>14</v>
      </c>
      <c r="C13" s="72">
        <f>'Black or African-American'!$G13</f>
        <v>1.6356066613798574</v>
      </c>
      <c r="D13" s="72" t="str">
        <f>Hispanic!G13</f>
        <v>**</v>
      </c>
      <c r="E13" s="72" t="str">
        <f>Asian!G13</f>
        <v>--</v>
      </c>
      <c r="F13" s="72" t="str">
        <f>Hawaiian!G13</f>
        <v>*</v>
      </c>
      <c r="G13" s="72" t="str">
        <f>'Am Indian'!G13</f>
        <v>*</v>
      </c>
      <c r="H13" s="72" t="str">
        <f>'Other - Mixed'!G13</f>
        <v>*</v>
      </c>
      <c r="I13" s="73">
        <f>'All Minorities'!G13</f>
        <v>1.6887524240465419</v>
      </c>
      <c r="L13" s="1">
        <f>'Black or African-American'!L13</f>
        <v>1</v>
      </c>
      <c r="M13" s="1">
        <f>Hispanic!L13</f>
        <v>20</v>
      </c>
      <c r="N13" s="1" t="e">
        <f>Asian!L13</f>
        <v>#DIV/0!</v>
      </c>
      <c r="O13" s="1" t="e">
        <f>Hawaiian!L13</f>
        <v>#VALUE!</v>
      </c>
      <c r="P13" s="1" t="e">
        <f>'Am Indian'!L13</f>
        <v>#VALUE!</v>
      </c>
      <c r="Q13" s="1">
        <f>'Other - Mixed'!L13</f>
        <v>139</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25419</v>
      </c>
      <c r="D3" s="57">
        <f>'Data Entry'!C6</f>
        <v>17594</v>
      </c>
      <c r="E3" s="57">
        <f>'Data Entry'!D6</f>
        <v>4633</v>
      </c>
      <c r="F3" s="57">
        <f>'Data Entry'!E6</f>
        <v>2338</v>
      </c>
      <c r="G3" s="57">
        <f>'Data Entry'!F6</f>
        <v>729</v>
      </c>
      <c r="H3" s="57">
        <f>'Data Entry'!G6</f>
        <v>0</v>
      </c>
      <c r="I3" s="57">
        <f>'Data Entry'!H6</f>
        <v>125</v>
      </c>
      <c r="J3" s="57">
        <f>'Data Entry'!I6</f>
        <v>0</v>
      </c>
      <c r="K3" s="57">
        <f>'Data Entry'!J6</f>
        <v>7825</v>
      </c>
    </row>
    <row r="4" spans="2:11" ht="15" customHeight="1">
      <c r="B4" s="16" t="s">
        <v>8</v>
      </c>
      <c r="C4" s="1">
        <f>IF((C$3&gt;0),(1000*('Data Entry'!B7/'Data Entry'!B$6)), 0)</f>
        <v>16.955820449270231</v>
      </c>
      <c r="D4" s="1">
        <f>IF((D$3&gt;0),(1000*('Data Entry'!C7/'Data Entry'!C$6)), 0)</f>
        <v>6.2521314084346935</v>
      </c>
      <c r="E4" s="1">
        <f>IF((E$3&gt;0),(1000*('Data Entry'!D7/'Data Entry'!D$6)), 0)</f>
        <v>57.414202460608671</v>
      </c>
      <c r="F4" s="1">
        <f>IF((F$3&gt;0),(1000*('Data Entry'!E7/'Data Entry'!E$6)), 0)</f>
        <v>2.9940119760479043</v>
      </c>
      <c r="G4" s="1">
        <f>IF((G$3&gt;0),(1000*('Data Entry'!F7/'Data Entry'!F$6)), 0)</f>
        <v>1.371742112482853</v>
      </c>
      <c r="H4" s="1">
        <f>IF((H$3&gt;0),(1000*('Data Entry'!G7/'Data Entry'!G$6)), 0)</f>
        <v>0</v>
      </c>
      <c r="I4" s="1">
        <f>IF((I$3&gt;0),(1000*('Data Entry'!H7/'Data Entry'!H$6)), 0)</f>
        <v>0</v>
      </c>
      <c r="J4" s="1">
        <f>IF((J$3&gt;0),(1000*('Data Entry'!I7/'Data Entry'!I$6)), 0)</f>
        <v>0</v>
      </c>
      <c r="K4" s="1">
        <f>IF((K$3&gt;0),(1000*('Data Entry'!J7/'Data Entry'!J$6)), 0)</f>
        <v>35.015974440894567</v>
      </c>
    </row>
    <row r="5" spans="2:11" ht="15" customHeight="1">
      <c r="B5" s="16" t="s">
        <v>9</v>
      </c>
      <c r="C5" s="1">
        <f>IF((C$3&gt;0),(1000*('Data Entry'!B8/'Data Entry'!B$6)), 0)</f>
        <v>43.982847476297259</v>
      </c>
      <c r="D5" s="1">
        <f>IF((D$3&gt;0),(1000*('Data Entry'!C8/'Data Entry'!C$6)), 0)</f>
        <v>14.948277821984767</v>
      </c>
      <c r="E5" s="1">
        <f>IF((E$3&gt;0),(1000*('Data Entry'!D8/'Data Entry'!D$6)), 0)</f>
        <v>145.47809194906108</v>
      </c>
      <c r="F5" s="1">
        <f>IF((F$3&gt;0),(1000*('Data Entry'!E8/'Data Entry'!E$6)), 0)</f>
        <v>6.41573994867408</v>
      </c>
      <c r="G5" s="1">
        <f>IF((G$3&gt;0),(1000*('Data Entry'!F8/'Data Entry'!F$6)), 0)</f>
        <v>1.371742112482853</v>
      </c>
      <c r="H5" s="1">
        <f>IF((H$3&gt;0),(1000*('Data Entry'!G8/'Data Entry'!G$6)), 0)</f>
        <v>0</v>
      </c>
      <c r="I5" s="1">
        <f>IF((I$3&gt;0),(1000*('Data Entry'!H8/'Data Entry'!H$6)), 0)</f>
        <v>8</v>
      </c>
      <c r="J5" s="1">
        <f>IF((J$3&gt;0),(1000*('Data Entry'!I8/'Data Entry'!I$6)), 0)</f>
        <v>0</v>
      </c>
      <c r="K5" s="1">
        <f>IF((K$3&gt;0),(1000*('Data Entry'!J8/'Data Entry'!J$6)), 0)</f>
        <v>103.89776357827476</v>
      </c>
    </row>
    <row r="6" spans="2:11" ht="15" customHeight="1">
      <c r="B6" s="16" t="s">
        <v>10</v>
      </c>
      <c r="C6" s="1">
        <f>IF((C$3&gt;0),(1000*('Data Entry'!B9/'Data Entry'!B$6)), 0)</f>
        <v>28.915378260356427</v>
      </c>
      <c r="D6" s="1">
        <f>IF((D$3&gt;0),(1000*('Data Entry'!C9/'Data Entry'!C$6)), 0)</f>
        <v>9.7192224622030245</v>
      </c>
      <c r="E6" s="1">
        <f>IF((E$3&gt;0),(1000*('Data Entry'!D9/'Data Entry'!D$6)), 0)</f>
        <v>96.265918411396513</v>
      </c>
      <c r="F6" s="1">
        <f>IF((F$3&gt;0),(1000*('Data Entry'!E9/'Data Entry'!E$6)), 0)</f>
        <v>4.7048759623609921</v>
      </c>
      <c r="G6" s="1">
        <f>IF((G$3&gt;0),(1000*('Data Entry'!F9/'Data Entry'!F$6)), 0)</f>
        <v>1.371742112482853</v>
      </c>
      <c r="H6" s="1">
        <f>IF((H$3&gt;0),(1000*('Data Entry'!G9/'Data Entry'!G$6)), 0)</f>
        <v>0</v>
      </c>
      <c r="I6" s="1">
        <f>IF((I$3&gt;0),(1000*('Data Entry'!H9/'Data Entry'!H$6)), 0)</f>
        <v>8</v>
      </c>
      <c r="J6" s="1">
        <f>IF((J$3&gt;0),(1000*('Data Entry'!I9/'Data Entry'!I$6)), 0)</f>
        <v>0</v>
      </c>
      <c r="K6" s="1">
        <f>IF((K$3&gt;0),(1000*('Data Entry'!J9/'Data Entry'!J$6)), 0)</f>
        <v>68.370607028753994</v>
      </c>
    </row>
    <row r="7" spans="2:11" ht="15" customHeight="1">
      <c r="B7" s="16" t="s">
        <v>11</v>
      </c>
      <c r="C7" s="1">
        <f>IF((C$3&gt;0),(1000*('Data Entry'!B10/'Data Entry'!B$6)), 0)</f>
        <v>11.644832605531295</v>
      </c>
      <c r="D7" s="1">
        <f>IF((D$3&gt;0),(1000*('Data Entry'!C10/'Data Entry'!C$6)), 0)</f>
        <v>4.0923041946117991</v>
      </c>
      <c r="E7" s="1">
        <f>IF((E$3&gt;0),(1000*('Data Entry'!D10/'Data Entry'!D$6)), 0)</f>
        <v>37.556658752428234</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27.603833865814696</v>
      </c>
    </row>
    <row r="8" spans="2:11" ht="15" customHeight="1">
      <c r="B8" s="16" t="s">
        <v>95</v>
      </c>
      <c r="C8" s="1">
        <f>IF((C$3&gt;0),(1000*('Data Entry'!B11/'Data Entry'!B$6)), 0)</f>
        <v>14.556040756914118</v>
      </c>
      <c r="D8" s="1">
        <f>IF((D$3&gt;0),(1000*('Data Entry'!C11/'Data Entry'!C$6)), 0)</f>
        <v>5.5132431510742297</v>
      </c>
      <c r="E8" s="1">
        <f>IF((E$3&gt;0),(1000*('Data Entry'!D11/'Data Entry'!D$6)), 0)</f>
        <v>46.622059140945396</v>
      </c>
      <c r="F8" s="1">
        <f>IF((F$3&gt;0),(1000*('Data Entry'!E11/'Data Entry'!E$6)), 0)</f>
        <v>1.7108639863130881</v>
      </c>
      <c r="G8" s="1">
        <f>IF((G$3&gt;0),(1000*('Data Entry'!F11/'Data Entry'!F$6)), 0)</f>
        <v>0</v>
      </c>
      <c r="H8" s="1">
        <f>IF((H$3&gt;0),(1000*('Data Entry'!G11/'Data Entry'!G$6)), 0)</f>
        <v>0</v>
      </c>
      <c r="I8" s="1">
        <f>IF((I$3&gt;0),(1000*('Data Entry'!H11/'Data Entry'!H$6)), 0)</f>
        <v>0</v>
      </c>
      <c r="J8" s="1">
        <f>IF((J$3&gt;0),(1000*('Data Entry'!I11/'Data Entry'!I$6)), 0)</f>
        <v>0</v>
      </c>
      <c r="K8" s="1">
        <f>IF((K$3&gt;0),(1000*('Data Entry'!J11/'Data Entry'!J$6)), 0)</f>
        <v>33.610223642172528</v>
      </c>
    </row>
    <row r="9" spans="2:11" ht="15" customHeight="1">
      <c r="B9" s="16" t="s">
        <v>13</v>
      </c>
      <c r="C9" s="1">
        <f>IF((C$3&gt;0),(1000*('Data Entry'!B12/'Data Entry'!B$6)), 0)</f>
        <v>7.0813171249852473</v>
      </c>
      <c r="D9" s="1">
        <f>IF((D$3&gt;0),(1000*('Data Entry'!C12/'Data Entry'!C$6)), 0)</f>
        <v>3.1260657042173468</v>
      </c>
      <c r="E9" s="1">
        <f>IF((E$3&gt;0),(1000*('Data Entry'!D12/'Data Entry'!D$6)), 0)</f>
        <v>20.936758040146774</v>
      </c>
      <c r="F9" s="1">
        <f>IF((F$3&gt;0),(1000*('Data Entry'!E12/'Data Entry'!E$6)), 0)</f>
        <v>1.2831479897348161</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15.207667731629394</v>
      </c>
    </row>
    <row r="10" spans="2:11" ht="15" customHeight="1">
      <c r="B10" s="16" t="s">
        <v>14</v>
      </c>
      <c r="C10" s="1">
        <f>IF((C$3&gt;0),(1000*('Data Entry'!B13/'Data Entry'!B$6)), 0)</f>
        <v>4.7602187340178608</v>
      </c>
      <c r="D10" s="1">
        <f>IF((D$3&gt;0),(1000*('Data Entry'!C13/'Data Entry'!C$6)), 0)</f>
        <v>1.4777765147209276</v>
      </c>
      <c r="E10" s="1">
        <f>IF((E$3&gt;0),(1000*('Data Entry'!D13/'Data Entry'!D$6)), 0)</f>
        <v>16.18821497949493</v>
      </c>
      <c r="F10" s="1">
        <f>IF((F$3&gt;0),(1000*('Data Entry'!E13/'Data Entry'!E$6)), 0)</f>
        <v>4.2771599657827206</v>
      </c>
      <c r="G10" s="1">
        <f>IF((G$3&gt;0),(1000*('Data Entry'!F13/'Data Entry'!F$6)), 0)</f>
        <v>1.371742112482853</v>
      </c>
      <c r="H10" s="1">
        <f>IF((H$3&gt;0),(1000*('Data Entry'!G13/'Data Entry'!G$6)), 0)</f>
        <v>0</v>
      </c>
      <c r="I10" s="1">
        <f>IF((I$3&gt;0),(1000*('Data Entry'!H13/'Data Entry'!H$6)), 0)</f>
        <v>0</v>
      </c>
      <c r="J10" s="1">
        <f>IF((J$3&gt;0),(1000*('Data Entry'!I13/'Data Entry'!I$6)), 0)</f>
        <v>0</v>
      </c>
      <c r="K10" s="1">
        <f>IF((K$3&gt;0),(1000*('Data Entry'!J13/'Data Entry'!J$6)), 0)</f>
        <v>12.140575079872205</v>
      </c>
    </row>
    <row r="11" spans="2:11" ht="25.5" customHeight="1">
      <c r="B11" s="16" t="s">
        <v>15</v>
      </c>
      <c r="C11" s="1">
        <f>IF((C$3&gt;0),(1000*('Data Entry'!B14/'Data Entry'!B$6)), 0)</f>
        <v>2.4391203430504742</v>
      </c>
      <c r="D11" s="1">
        <f>IF((D$3&gt;0),(1000*('Data Entry'!C14/'Data Entry'!C$6)), 0)</f>
        <v>0</v>
      </c>
      <c r="E11" s="1">
        <f>IF((E$3&gt;0),(1000*('Data Entry'!D14/'Data Entry'!D$6)), 0)</f>
        <v>13.382257716382474</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7.9233226837060711</v>
      </c>
    </row>
    <row r="12" spans="2:11" ht="15" customHeight="1">
      <c r="B12" s="16" t="s">
        <v>16</v>
      </c>
      <c r="C12" s="1">
        <f>IF((C$3&gt;0),(1000*('Data Entry'!B15/'Data Entry'!B$6)), 0)</f>
        <v>0.11802195208308745</v>
      </c>
      <c r="D12" s="1">
        <f>IF((D$3&gt;0),(1000*('Data Entry'!C15/'Data Entry'!C$6)), 0)</f>
        <v>0</v>
      </c>
      <c r="E12" s="1">
        <f>IF((E$3&gt;0),(1000*('Data Entry'!D15/'Data Entry'!D$6)), 0)</f>
        <v>0.6475285991797971</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0.38338658146964855</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Kalamazoo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9.1831407099268088</v>
      </c>
      <c r="E19" s="72">
        <f t="shared" si="1"/>
        <v>0.47887860642351665</v>
      </c>
      <c r="F19" s="72">
        <f t="shared" si="1"/>
        <v>0.21940391570021198</v>
      </c>
      <c r="G19" s="72" t="str">
        <f t="shared" si="1"/>
        <v>--</v>
      </c>
      <c r="H19" s="72" t="str">
        <f t="shared" si="1"/>
        <v>--</v>
      </c>
      <c r="I19" s="72" t="str">
        <f t="shared" si="1"/>
        <v>--</v>
      </c>
      <c r="J19" s="73">
        <f t="shared" si="1"/>
        <v>5.6006459483009001</v>
      </c>
    </row>
    <row r="20" spans="2:10" ht="15" customHeight="1">
      <c r="B20" s="71" t="s">
        <v>9</v>
      </c>
      <c r="C20" s="72">
        <f t="shared" ref="C20:J27" si="2">IF(AND(($D5&gt;0),(D5&gt;0)), (D5/$D5),"--")</f>
        <v>1</v>
      </c>
      <c r="D20" s="72">
        <f t="shared" si="2"/>
        <v>9.7320971473451738</v>
      </c>
      <c r="E20" s="72">
        <f t="shared" si="2"/>
        <v>0.42919592645236415</v>
      </c>
      <c r="F20" s="72">
        <f t="shared" si="2"/>
        <v>9.1765896300468885E-2</v>
      </c>
      <c r="G20" s="72" t="str">
        <f t="shared" si="2"/>
        <v>--</v>
      </c>
      <c r="H20" s="72">
        <f t="shared" si="2"/>
        <v>0.53517870722433458</v>
      </c>
      <c r="I20" s="72" t="str">
        <f t="shared" si="2"/>
        <v>--</v>
      </c>
      <c r="J20" s="73">
        <f t="shared" si="2"/>
        <v>6.9504838494150807</v>
      </c>
    </row>
    <row r="21" spans="2:10" ht="15" customHeight="1">
      <c r="B21" s="71" t="s">
        <v>10</v>
      </c>
      <c r="C21" s="72">
        <f t="shared" si="2"/>
        <v>1</v>
      </c>
      <c r="D21" s="72">
        <f t="shared" si="2"/>
        <v>9.904693383217019</v>
      </c>
      <c r="E21" s="72">
        <f t="shared" si="2"/>
        <v>0.48407946012736425</v>
      </c>
      <c r="F21" s="72">
        <f t="shared" si="2"/>
        <v>0.14113702179545798</v>
      </c>
      <c r="G21" s="72" t="str">
        <f t="shared" si="2"/>
        <v>--</v>
      </c>
      <c r="H21" s="72">
        <f t="shared" si="2"/>
        <v>0.82311111111111102</v>
      </c>
      <c r="I21" s="72" t="str">
        <f t="shared" si="2"/>
        <v>--</v>
      </c>
      <c r="J21" s="73">
        <f t="shared" si="2"/>
        <v>7.0345757898473549</v>
      </c>
    </row>
    <row r="22" spans="2:10" ht="15" customHeight="1">
      <c r="B22" s="71" t="s">
        <v>11</v>
      </c>
      <c r="C22" s="72">
        <f t="shared" si="2"/>
        <v>1</v>
      </c>
      <c r="D22" s="72">
        <f t="shared" si="2"/>
        <v>9.1773868623641999</v>
      </c>
      <c r="E22" s="72" t="str">
        <f t="shared" si="2"/>
        <v>--</v>
      </c>
      <c r="F22" s="72" t="str">
        <f t="shared" si="2"/>
        <v>--</v>
      </c>
      <c r="G22" s="72" t="str">
        <f t="shared" si="2"/>
        <v>--</v>
      </c>
      <c r="H22" s="72" t="str">
        <f t="shared" si="2"/>
        <v>--</v>
      </c>
      <c r="I22" s="72" t="str">
        <f t="shared" si="2"/>
        <v>--</v>
      </c>
      <c r="J22" s="73">
        <f t="shared" si="2"/>
        <v>6.7453035143769977</v>
      </c>
    </row>
    <row r="23" spans="2:10" ht="15" customHeight="1">
      <c r="B23" s="71" t="s">
        <v>95</v>
      </c>
      <c r="C23" s="72">
        <f t="shared" si="2"/>
        <v>1</v>
      </c>
      <c r="D23" s="72">
        <f t="shared" si="2"/>
        <v>8.4563763765545712</v>
      </c>
      <c r="E23" s="72">
        <f t="shared" si="2"/>
        <v>0.31031897912569562</v>
      </c>
      <c r="F23" s="72" t="str">
        <f t="shared" si="2"/>
        <v>--</v>
      </c>
      <c r="G23" s="72" t="str">
        <f t="shared" si="2"/>
        <v>--</v>
      </c>
      <c r="H23" s="72" t="str">
        <f t="shared" si="2"/>
        <v>--</v>
      </c>
      <c r="I23" s="72" t="str">
        <f t="shared" si="2"/>
        <v>--</v>
      </c>
      <c r="J23" s="73">
        <f t="shared" si="2"/>
        <v>6.0962708738183862</v>
      </c>
    </row>
    <row r="24" spans="2:10" ht="15" customHeight="1">
      <c r="B24" s="71" t="s">
        <v>13</v>
      </c>
      <c r="C24" s="72">
        <f t="shared" si="2"/>
        <v>1</v>
      </c>
      <c r="D24" s="72">
        <f t="shared" si="2"/>
        <v>6.6974785628789517</v>
      </c>
      <c r="E24" s="72">
        <f t="shared" si="2"/>
        <v>0.41046737693444285</v>
      </c>
      <c r="F24" s="72" t="str">
        <f t="shared" si="2"/>
        <v>--</v>
      </c>
      <c r="G24" s="72" t="str">
        <f t="shared" si="2"/>
        <v>--</v>
      </c>
      <c r="H24" s="72" t="str">
        <f t="shared" si="2"/>
        <v>--</v>
      </c>
      <c r="I24" s="72" t="str">
        <f t="shared" si="2"/>
        <v>--</v>
      </c>
      <c r="J24" s="73">
        <f t="shared" si="2"/>
        <v>4.8647946558234105</v>
      </c>
    </row>
    <row r="25" spans="2:10" ht="15" customHeight="1">
      <c r="B25" s="71" t="s">
        <v>14</v>
      </c>
      <c r="C25" s="72">
        <f t="shared" si="2"/>
        <v>1</v>
      </c>
      <c r="D25" s="72">
        <f t="shared" si="2"/>
        <v>10.954440551893608</v>
      </c>
      <c r="E25" s="72">
        <f t="shared" si="2"/>
        <v>2.8943212476146609</v>
      </c>
      <c r="F25" s="72">
        <f t="shared" si="2"/>
        <v>0.92824733565474293</v>
      </c>
      <c r="G25" s="72" t="str">
        <f t="shared" si="2"/>
        <v>--</v>
      </c>
      <c r="H25" s="72" t="str">
        <f t="shared" si="2"/>
        <v>--</v>
      </c>
      <c r="I25" s="72" t="str">
        <f t="shared" si="2"/>
        <v>--</v>
      </c>
      <c r="J25" s="73">
        <f t="shared" si="2"/>
        <v>8.2154337675104454</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opLeftCell="A4"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Kalamazoo</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17594</v>
      </c>
      <c r="D7" s="104">
        <f>'Data Entry'!D6</f>
        <v>4633</v>
      </c>
      <c r="E7" s="105"/>
      <c r="F7" s="106">
        <f>'Data Entry'!E6</f>
        <v>2338</v>
      </c>
      <c r="G7" s="105"/>
      <c r="H7" s="106">
        <f>'Data Entry'!F6</f>
        <v>729</v>
      </c>
      <c r="I7" s="105"/>
      <c r="J7" s="106">
        <f>'Data Entry'!G6</f>
        <v>0</v>
      </c>
      <c r="K7" s="105"/>
      <c r="L7" s="106">
        <f>'Data Entry'!H6</f>
        <v>125</v>
      </c>
      <c r="M7" s="105"/>
      <c r="N7" s="106">
        <f>'Data Entry'!I6</f>
        <v>0</v>
      </c>
      <c r="O7" s="105"/>
      <c r="P7" s="106">
        <f>'Data Entry'!J6</f>
        <v>7825</v>
      </c>
      <c r="Q7" s="107"/>
    </row>
    <row r="8" spans="2:26" s="1" customFormat="1" ht="15" customHeight="1">
      <c r="B8" s="142" t="s">
        <v>8</v>
      </c>
      <c r="C8" s="103">
        <f>'Data Entry'!C7</f>
        <v>110</v>
      </c>
      <c r="D8" s="104">
        <f>'Data Entry'!D7</f>
        <v>266</v>
      </c>
      <c r="E8" s="105">
        <f>'Black or African-American'!$G7</f>
        <v>9.1831407099268105</v>
      </c>
      <c r="F8" s="106">
        <f>'Data Entry'!E7</f>
        <v>7</v>
      </c>
      <c r="G8" s="105">
        <f>Hispanic!G7</f>
        <v>0.47887860642351665</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274</v>
      </c>
      <c r="Q8" s="107">
        <f>'All Minorities'!G7</f>
        <v>5.6006459483009001</v>
      </c>
      <c r="R8"/>
      <c r="T8" s="1">
        <f>'Black or African-American'!L7</f>
        <v>1</v>
      </c>
      <c r="U8" s="1">
        <f>Hispanic!L7</f>
        <v>2</v>
      </c>
      <c r="V8" s="1">
        <f>Asian!L7</f>
        <v>40</v>
      </c>
      <c r="W8" s="1" t="e">
        <f>Hawaiian!L7</f>
        <v>#VALUE!</v>
      </c>
      <c r="X8" s="1">
        <f>'Am Indian'!L7</f>
        <v>139</v>
      </c>
      <c r="Y8" s="1" t="e">
        <f>'Other - Mixed'!L7</f>
        <v>#VALUE!</v>
      </c>
      <c r="Z8" s="1">
        <f>'All Minorities'!L7</f>
        <v>1</v>
      </c>
    </row>
    <row r="9" spans="2:26" s="1" customFormat="1" ht="15" customHeight="1">
      <c r="B9" s="142" t="s">
        <v>126</v>
      </c>
      <c r="C9" s="103">
        <f>'Data Entry'!C8</f>
        <v>263</v>
      </c>
      <c r="D9" s="108">
        <f>'Data Entry'!D8</f>
        <v>674</v>
      </c>
      <c r="E9" s="109">
        <f>'Black or African-American'!$G8</f>
        <v>1.0597787243774837</v>
      </c>
      <c r="F9" s="110">
        <f>'Data Entry'!E8</f>
        <v>15</v>
      </c>
      <c r="G9" s="109" t="str">
        <f>Hispanic!G8</f>
        <v>**</v>
      </c>
      <c r="H9" s="110">
        <f>'Data Entry'!F8</f>
        <v>1</v>
      </c>
      <c r="I9" s="109" t="str">
        <f>Asian!G8</f>
        <v>**</v>
      </c>
      <c r="J9" s="110">
        <f>'Data Entry'!G8</f>
        <v>0</v>
      </c>
      <c r="K9" s="109" t="str">
        <f>Hawaiian!G8</f>
        <v>*</v>
      </c>
      <c r="L9" s="110">
        <f>'Data Entry'!H8</f>
        <v>1</v>
      </c>
      <c r="M9" s="109" t="str">
        <f>'Am Indian'!G8</f>
        <v>*</v>
      </c>
      <c r="N9" s="110">
        <f>'Data Entry'!I8</f>
        <v>122</v>
      </c>
      <c r="O9" s="109" t="str">
        <f>'Other - Mixed'!G8</f>
        <v>*</v>
      </c>
      <c r="P9" s="110">
        <f>'Data Entry'!J8</f>
        <v>813</v>
      </c>
      <c r="Q9" s="111">
        <f>'All Minorities'!G8</f>
        <v>1.2410146818017818</v>
      </c>
      <c r="R9"/>
      <c r="T9" s="1">
        <f>'Black or African-American'!L8</f>
        <v>2</v>
      </c>
      <c r="U9" s="1">
        <f>Hispanic!L8</f>
        <v>40</v>
      </c>
      <c r="V9" s="1">
        <f>Asian!L8</f>
        <v>40</v>
      </c>
      <c r="W9" s="1">
        <f>Hawaiian!L8</f>
        <v>139</v>
      </c>
      <c r="X9" s="1">
        <f>'Am Indian'!L8</f>
        <v>119</v>
      </c>
      <c r="Y9" s="1">
        <f>'Other - Mixed'!L8</f>
        <v>119</v>
      </c>
      <c r="Z9" s="1">
        <f>'All Minorities'!L8</f>
        <v>1</v>
      </c>
    </row>
    <row r="10" spans="2:26" s="1" customFormat="1" ht="15" customHeight="1">
      <c r="B10" s="142" t="s">
        <v>10</v>
      </c>
      <c r="C10" s="103">
        <f>'Data Entry'!C9</f>
        <v>171</v>
      </c>
      <c r="D10" s="112">
        <f>'Data Entry'!D9</f>
        <v>446</v>
      </c>
      <c r="E10" s="113">
        <f>'Black or African-American'!$G9</f>
        <v>1.0177347423950578</v>
      </c>
      <c r="F10" s="114">
        <f>'Data Entry'!E9</f>
        <v>11</v>
      </c>
      <c r="G10" s="113" t="str">
        <f>Hispanic!G9</f>
        <v>**</v>
      </c>
      <c r="H10" s="114">
        <f>'Data Entry'!F9</f>
        <v>1</v>
      </c>
      <c r="I10" s="113" t="str">
        <f>Asian!G9</f>
        <v>**</v>
      </c>
      <c r="J10" s="114">
        <f>'Data Entry'!G9</f>
        <v>0</v>
      </c>
      <c r="K10" s="113" t="str">
        <f>Hawaiian!G9</f>
        <v>*</v>
      </c>
      <c r="L10" s="114">
        <f>'Data Entry'!H9</f>
        <v>1</v>
      </c>
      <c r="M10" s="113" t="str">
        <f>'Am Indian'!G9</f>
        <v>*</v>
      </c>
      <c r="N10" s="114">
        <f>'Data Entry'!I9</f>
        <v>76</v>
      </c>
      <c r="O10" s="113" t="str">
        <f>'Other - Mixed'!G9</f>
        <v>*</v>
      </c>
      <c r="P10" s="114">
        <f>'Data Entry'!J9</f>
        <v>535</v>
      </c>
      <c r="Q10" s="115">
        <f>'All Minorities'!G9</f>
        <v>1.0120987174784026</v>
      </c>
      <c r="R10"/>
      <c r="T10" s="1">
        <f>'Black or African-American'!L9</f>
        <v>2</v>
      </c>
      <c r="U10" s="1">
        <f>Hispanic!L9</f>
        <v>40</v>
      </c>
      <c r="V10" s="1">
        <f>Asian!L9</f>
        <v>40</v>
      </c>
      <c r="W10" s="1" t="e">
        <f>Hawaiian!L9</f>
        <v>#VALUE!</v>
      </c>
      <c r="X10" s="1">
        <f>'Am Indian'!L9</f>
        <v>139</v>
      </c>
      <c r="Y10" s="1">
        <f>'Other - Mixed'!L9</f>
        <v>101</v>
      </c>
      <c r="Z10" s="1">
        <f>'All Minorities'!L9</f>
        <v>2</v>
      </c>
    </row>
    <row r="11" spans="2:26" s="1" customFormat="1" ht="15" customHeight="1">
      <c r="B11" s="142" t="s">
        <v>11</v>
      </c>
      <c r="C11" s="103">
        <f>'Data Entry'!C10</f>
        <v>72</v>
      </c>
      <c r="D11" s="108">
        <f>'Data Entry'!D10</f>
        <v>174</v>
      </c>
      <c r="E11" s="109">
        <f>'Black or African-American'!$G10</f>
        <v>0.94300197823936693</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42</v>
      </c>
      <c r="O11" s="109" t="str">
        <f>'Other - Mixed'!G10</f>
        <v>*</v>
      </c>
      <c r="P11" s="110">
        <f>'Data Entry'!J10</f>
        <v>216</v>
      </c>
      <c r="Q11" s="111">
        <f>'All Minorities'!G10</f>
        <v>0.97047970479704793</v>
      </c>
      <c r="R11"/>
      <c r="T11" s="1">
        <f>'Black or African-American'!L10</f>
        <v>2</v>
      </c>
      <c r="U11" s="1">
        <f>Hispanic!L10</f>
        <v>20</v>
      </c>
      <c r="V11" s="1">
        <f>Asian!L10</f>
        <v>40</v>
      </c>
      <c r="W11" s="1" t="e">
        <f>Hawaiian!L10</f>
        <v>#VALUE!</v>
      </c>
      <c r="X11" s="1">
        <f>'Am Indian'!L10</f>
        <v>139</v>
      </c>
      <c r="Y11" s="1">
        <f>'Other - Mixed'!L10</f>
        <v>101</v>
      </c>
      <c r="Z11" s="1">
        <f>'All Minorities'!L10</f>
        <v>2</v>
      </c>
    </row>
    <row r="12" spans="2:26" s="1" customFormat="1" ht="15" customHeight="1">
      <c r="B12" s="142" t="s">
        <v>95</v>
      </c>
      <c r="C12" s="103">
        <f>'Data Entry'!C11</f>
        <v>97</v>
      </c>
      <c r="D12" s="112">
        <f>'Data Entry'!D11</f>
        <v>216</v>
      </c>
      <c r="E12" s="113">
        <f>'Black or African-American'!$G11</f>
        <v>0.86891614916332693</v>
      </c>
      <c r="F12" s="114">
        <f>'Data Entry'!E11</f>
        <v>4</v>
      </c>
      <c r="G12" s="113" t="str">
        <f>Hispanic!G11</f>
        <v>**</v>
      </c>
      <c r="H12" s="114">
        <f>'Data Entry'!F11</f>
        <v>0</v>
      </c>
      <c r="I12" s="113" t="str">
        <f>Asian!G11</f>
        <v>**</v>
      </c>
      <c r="J12" s="114">
        <f>'Data Entry'!G11</f>
        <v>0</v>
      </c>
      <c r="K12" s="113" t="str">
        <f>Hawaiian!G11</f>
        <v>*</v>
      </c>
      <c r="L12" s="114">
        <f>'Data Entry'!H11</f>
        <v>0</v>
      </c>
      <c r="M12" s="113" t="str">
        <f>'Am Indian'!G11</f>
        <v>*</v>
      </c>
      <c r="N12" s="114">
        <f>'Data Entry'!I11</f>
        <v>43</v>
      </c>
      <c r="O12" s="113" t="str">
        <f>'Other - Mixed'!G11</f>
        <v>*</v>
      </c>
      <c r="P12" s="114">
        <f>'Data Entry'!J11</f>
        <v>263</v>
      </c>
      <c r="Q12" s="115">
        <f>'All Minorities'!G11</f>
        <v>0.87710021430111185</v>
      </c>
      <c r="R12"/>
      <c r="T12" s="1">
        <f>'Black or African-American'!L11</f>
        <v>2</v>
      </c>
      <c r="U12" s="1">
        <f>Hispanic!L11</f>
        <v>40</v>
      </c>
      <c r="V12" s="1">
        <f>Asian!L11</f>
        <v>40</v>
      </c>
      <c r="W12" s="1" t="e">
        <f>Hawaiian!L11</f>
        <v>#VALUE!</v>
      </c>
      <c r="X12" s="1">
        <f>'Am Indian'!L11</f>
        <v>139</v>
      </c>
      <c r="Y12" s="1">
        <f>'Other - Mixed'!L11</f>
        <v>101</v>
      </c>
      <c r="Z12" s="1">
        <f>'All Minorities'!L11</f>
        <v>2</v>
      </c>
    </row>
    <row r="13" spans="2:26" s="1" customFormat="1" ht="15" customHeight="1">
      <c r="B13" s="142" t="s">
        <v>13</v>
      </c>
      <c r="C13" s="103">
        <f>'Data Entry'!C12</f>
        <v>55</v>
      </c>
      <c r="D13" s="108">
        <f>'Data Entry'!D12</f>
        <v>97</v>
      </c>
      <c r="E13" s="109">
        <f>'Black or African-American'!$G12</f>
        <v>0.79200336700336693</v>
      </c>
      <c r="F13" s="110">
        <f>'Data Entry'!E12</f>
        <v>3</v>
      </c>
      <c r="G13" s="109" t="str">
        <f>Hispanic!G12</f>
        <v>**</v>
      </c>
      <c r="H13" s="110">
        <f>'Data Entry'!F12</f>
        <v>0</v>
      </c>
      <c r="I13" s="109" t="str">
        <f>Asian!G12</f>
        <v>--</v>
      </c>
      <c r="J13" s="110">
        <f>'Data Entry'!G12</f>
        <v>0</v>
      </c>
      <c r="K13" s="109" t="str">
        <f>Hawaiian!G12</f>
        <v>*</v>
      </c>
      <c r="L13" s="110">
        <f>'Data Entry'!H12</f>
        <v>0</v>
      </c>
      <c r="M13" s="109" t="str">
        <f>'Am Indian'!G12</f>
        <v>*</v>
      </c>
      <c r="N13" s="110">
        <f>'Data Entry'!I12</f>
        <v>19</v>
      </c>
      <c r="O13" s="109" t="str">
        <f>'Other - Mixed'!G12</f>
        <v>*</v>
      </c>
      <c r="P13" s="110">
        <f>'Data Entry'!J12</f>
        <v>119</v>
      </c>
      <c r="Q13" s="111">
        <f>'All Minorities'!G12</f>
        <v>0.7979951607328033</v>
      </c>
      <c r="R13"/>
      <c r="T13" s="1">
        <f>'Black or African-American'!L12</f>
        <v>2</v>
      </c>
      <c r="U13" s="1">
        <f>Hispanic!L12</f>
        <v>40</v>
      </c>
      <c r="V13" s="1" t="e">
        <f>Asian!L12</f>
        <v>#VALUE!</v>
      </c>
      <c r="W13" s="1" t="e">
        <f>Hawaiian!L12</f>
        <v>#VALUE!</v>
      </c>
      <c r="X13" s="1" t="e">
        <f>'Am Indian'!L12</f>
        <v>#VALUE!</v>
      </c>
      <c r="Y13" s="1">
        <f>'Other - Mixed'!L12</f>
        <v>101</v>
      </c>
      <c r="Z13" s="1">
        <f>'All Minorities'!L12</f>
        <v>2</v>
      </c>
    </row>
    <row r="14" spans="2:26" s="1" customFormat="1" ht="15" customHeight="1">
      <c r="B14" s="142" t="s">
        <v>125</v>
      </c>
      <c r="C14" s="103">
        <f>'Data Entry'!C13</f>
        <v>26</v>
      </c>
      <c r="D14" s="112">
        <f>'Data Entry'!D13</f>
        <v>75</v>
      </c>
      <c r="E14" s="113">
        <f>'Black or African-American'!$G13</f>
        <v>1.6356066613798574</v>
      </c>
      <c r="F14" s="114">
        <f>'Data Entry'!E13</f>
        <v>10</v>
      </c>
      <c r="G14" s="113" t="str">
        <f>Hispanic!G13</f>
        <v>**</v>
      </c>
      <c r="H14" s="114">
        <f>'Data Entry'!F13</f>
        <v>1</v>
      </c>
      <c r="I14" s="113" t="str">
        <f>Asian!G13</f>
        <v>--</v>
      </c>
      <c r="J14" s="114">
        <f>'Data Entry'!G13</f>
        <v>0</v>
      </c>
      <c r="K14" s="113" t="str">
        <f>Hawaiian!G13</f>
        <v>*</v>
      </c>
      <c r="L14" s="114">
        <f>'Data Entry'!H13</f>
        <v>0</v>
      </c>
      <c r="M14" s="113" t="str">
        <f>'Am Indian'!G13</f>
        <v>*</v>
      </c>
      <c r="N14" s="114">
        <f>'Data Entry'!I13</f>
        <v>9</v>
      </c>
      <c r="O14" s="113" t="str">
        <f>'Other - Mixed'!G13</f>
        <v>*</v>
      </c>
      <c r="P14" s="114">
        <f>'Data Entry'!J13</f>
        <v>95</v>
      </c>
      <c r="Q14" s="115">
        <f>'All Minorities'!G13</f>
        <v>1.6887524240465419</v>
      </c>
      <c r="R14"/>
      <c r="T14" s="1">
        <f>'Black or African-American'!L13</f>
        <v>1</v>
      </c>
      <c r="U14" s="1">
        <f>Hispanic!L13</f>
        <v>20</v>
      </c>
      <c r="V14" s="1" t="e">
        <f>Asian!L13</f>
        <v>#DIV/0!</v>
      </c>
      <c r="W14" s="1" t="e">
        <f>Hawaiian!L13</f>
        <v>#VALUE!</v>
      </c>
      <c r="X14" s="1" t="e">
        <f>'Am Indian'!L13</f>
        <v>#VALUE!</v>
      </c>
      <c r="Y14" s="1">
        <f>'Other - Mixed'!L13</f>
        <v>139</v>
      </c>
      <c r="Z14" s="1">
        <f>'All Minorities'!L13</f>
        <v>1</v>
      </c>
    </row>
    <row r="15" spans="2:26" s="1" customFormat="1" ht="33">
      <c r="B15" s="144" t="s">
        <v>115</v>
      </c>
      <c r="C15" s="103">
        <f>'Data Entry'!C14</f>
        <v>0</v>
      </c>
      <c r="D15" s="108">
        <f>'Data Entry'!D14</f>
        <v>62</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62</v>
      </c>
      <c r="Q15" s="111" t="str">
        <f>'All Minorities'!G14</f>
        <v>**</v>
      </c>
      <c r="R15"/>
      <c r="T15" s="1">
        <f>'Black or African-American'!L14</f>
        <v>20</v>
      </c>
      <c r="U15" s="1" t="e">
        <f>Hispanic!L14</f>
        <v>#VALUE!</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3</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3</v>
      </c>
      <c r="Q16" s="119"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Kalamazoo County Juvenile Court</v>
      </c>
      <c r="E27" s="1" t="str">
        <f>'Data Entry'!D20</f>
        <v>Item 4.Diversion: Kalamazoo County Juvenile Court</v>
      </c>
      <c r="I27" s="96"/>
      <c r="J27" s="96"/>
    </row>
    <row r="28" spans="2:18" ht="12.75" customHeight="1">
      <c r="B28" s="1" t="str">
        <f>'Data Entry'!A21</f>
        <v>Item 5.Detention: Kalamazoo County Juvenile Court</v>
      </c>
      <c r="E28" s="1" t="str">
        <f>'Data Entry'!D21</f>
        <v>Item 6.Petitioned: Kalamazoo County Juvenile Court</v>
      </c>
      <c r="I28" s="96"/>
      <c r="J28" s="96"/>
    </row>
    <row r="29" spans="2:18" ht="12.75" customHeight="1">
      <c r="B29" s="1" t="str">
        <f>'Data Entry'!A22</f>
        <v>Item 7.Delinquent: Kalamazoo County Juvenile Court</v>
      </c>
      <c r="E29" s="1" t="str">
        <f>'Data Entry'!D22</f>
        <v>Item 8.Probation: Kalamazoo County Juvenile Court</v>
      </c>
      <c r="I29" s="96"/>
      <c r="J29" s="96"/>
    </row>
    <row r="30" spans="2:18" ht="12.75" customHeight="1">
      <c r="B30" s="1" t="str">
        <f>'Data Entry'!A23</f>
        <v>Item 9.Confinement: Kalamazoo County Juvenile Court</v>
      </c>
      <c r="E30" s="1" t="str">
        <f>'Data Entry'!D23</f>
        <v>Item 10.Transferred: Kalamazoo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Kalamazoo</v>
      </c>
    </row>
    <row r="6" spans="1:12">
      <c r="A6" s="135" t="str">
        <f>CONCATENATE("Percentage of Minorities at Stages of the Juvenile Justice System, ", A5, " 2024")</f>
        <v>Percentage of Minorities at Stages of the Juvenile Justice System, County: Kalamazoo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N=3</v>
      </c>
      <c r="B7" s="150">
        <f>'Data Entry'!D15/'Data Entry'!B15</f>
        <v>1</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N=3</v>
      </c>
      <c r="L7">
        <f>I14/(SUM(B14:G14))</f>
        <v>2.2484345047923324</v>
      </c>
    </row>
    <row r="8" spans="1:12" ht="25.5" customHeight="1">
      <c r="A8" s="151" t="str">
        <f>CONCATENATE("Confinement, total N=", 'Data Entry'!B14)</f>
        <v>Confinement, total N=62</v>
      </c>
      <c r="B8" s="150">
        <f>'Data Entry'!D14/'Data Entry'!B14</f>
        <v>1</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N=62</v>
      </c>
      <c r="L8">
        <f>I14/(SUM(B14:G14))</f>
        <v>2.2484345047923324</v>
      </c>
    </row>
    <row r="9" spans="1:12">
      <c r="A9" s="128" t="str">
        <f>CONCATENATE("Delinquent Findings, total N=", 'Data Entry'!B12)</f>
        <v>Delinquent Findings, total N=180</v>
      </c>
      <c r="B9" s="150">
        <f>'Data Entry'!D12/'Data Entry'!B12</f>
        <v>0.53888888888888886</v>
      </c>
      <c r="C9" s="150">
        <f>'Data Entry'!E12/'Data Entry'!B12</f>
        <v>1.6666666666666666E-2</v>
      </c>
      <c r="D9" s="150">
        <f>'Data Entry'!F12/'Data Entry'!B12</f>
        <v>0</v>
      </c>
      <c r="E9" s="150">
        <f>'Data Entry'!G12/'Data Entry'!B12</f>
        <v>0</v>
      </c>
      <c r="F9" s="150">
        <f>'Data Entry'!H12/'Data Entry'!B12</f>
        <v>0</v>
      </c>
      <c r="G9" s="150">
        <f>'Data Entry'!I12/'Data Entry'!B12</f>
        <v>0.10555555555555556</v>
      </c>
      <c r="H9" s="150">
        <f>SUM(D9:G9)/'Data Entry'!B12</f>
        <v>5.8641975308641975E-4</v>
      </c>
      <c r="I9" s="150">
        <f>'Data Entry'!C12/'Data Entry'!B12</f>
        <v>0.30555555555555558</v>
      </c>
      <c r="K9" s="96" t="str">
        <f t="shared" si="0"/>
        <v>Delinquent Findings, total N=180</v>
      </c>
      <c r="L9">
        <f>I14/(SUM(B14:G14))</f>
        <v>2.2484345047923324</v>
      </c>
    </row>
    <row r="10" spans="1:12">
      <c r="A10" s="128" t="str">
        <f>CONCATENATE("Petitions, total N=", 'Data Entry'!B11)</f>
        <v>Petitions, total N=370</v>
      </c>
      <c r="B10" s="150">
        <f>'Data Entry'!D11/'Data Entry'!B11</f>
        <v>0.58378378378378382</v>
      </c>
      <c r="C10" s="150">
        <f>'Data Entry'!E11/'Data Entry'!B11</f>
        <v>1.0810810810810811E-2</v>
      </c>
      <c r="D10" s="150">
        <f>'Data Entry'!F11/'Data Entry'!B11</f>
        <v>0</v>
      </c>
      <c r="E10" s="150">
        <f>'Data Entry'!G11/'Data Entry'!B11</f>
        <v>0</v>
      </c>
      <c r="F10" s="150">
        <f>'Data Entry'!H11/'Data Entry'!B11</f>
        <v>0</v>
      </c>
      <c r="G10" s="150">
        <f>'Data Entry'!I11/'Data Entry'!B11</f>
        <v>0.11621621621621622</v>
      </c>
      <c r="H10" s="150">
        <f>SUM(D10:G10)/'Data Entry'!B11</f>
        <v>3.1409788166544925E-4</v>
      </c>
      <c r="I10" s="150">
        <f>'Data Entry'!C11/'Data Entry'!B11</f>
        <v>0.26216216216216215</v>
      </c>
      <c r="K10" s="96" t="str">
        <f t="shared" si="0"/>
        <v>Petitions, total N=370</v>
      </c>
      <c r="L10">
        <f>I14/(SUM(B14:G14))</f>
        <v>2.2484345047923324</v>
      </c>
    </row>
    <row r="11" spans="1:12">
      <c r="A11" s="128" t="str">
        <f>CONCATENATE("Detentions, total N=", 'Data Entry'!B10)</f>
        <v>Detentions, total N=296</v>
      </c>
      <c r="B11" s="150">
        <f>'Data Entry'!D10/'Data Entry'!B10</f>
        <v>0.58783783783783783</v>
      </c>
      <c r="C11" s="150">
        <f>'Data Entry'!E10/'Data Entry'!B10</f>
        <v>0</v>
      </c>
      <c r="D11" s="150">
        <f>'Data Entry'!F10/'Data Entry'!B10</f>
        <v>0</v>
      </c>
      <c r="E11" s="150">
        <f>'Data Entry'!G10/'Data Entry'!B10</f>
        <v>0</v>
      </c>
      <c r="F11" s="150">
        <f>'Data Entry'!H10/'Data Entry'!B10</f>
        <v>0</v>
      </c>
      <c r="G11" s="150">
        <f>'Data Entry'!I10/'Data Entry'!B10</f>
        <v>0.14189189189189189</v>
      </c>
      <c r="H11" s="150">
        <f>SUM(D11:G11)/'Data Entry'!B10</f>
        <v>4.7936449963476989E-4</v>
      </c>
      <c r="I11" s="150">
        <f>'Data Entry'!C10/'Data Entry'!B10</f>
        <v>0.24324324324324326</v>
      </c>
      <c r="K11" s="96" t="str">
        <f t="shared" si="0"/>
        <v>Detentions, total N=296</v>
      </c>
      <c r="L11">
        <f>I14/(SUM(B14:G14))</f>
        <v>2.2484345047923324</v>
      </c>
    </row>
    <row r="12" spans="1:12">
      <c r="A12" s="128" t="str">
        <f>CONCATENATE("Referrals, total N=", 'Data Entry'!B8)</f>
        <v>Referrals, total N=1118</v>
      </c>
      <c r="B12" s="150">
        <f>'Data Entry'!D8/'Data Entry'!B8</f>
        <v>0.60286225402504467</v>
      </c>
      <c r="C12" s="150">
        <f>'Data Entry'!E8/'Data Entry'!B8</f>
        <v>1.3416815742397137E-2</v>
      </c>
      <c r="D12" s="150">
        <f>'Data Entry'!F8/'Data Entry'!B8</f>
        <v>8.9445438282647585E-4</v>
      </c>
      <c r="E12" s="150">
        <f>'Data Entry'!G8/'Data Entry'!B8</f>
        <v>0</v>
      </c>
      <c r="F12" s="150">
        <f>'Data Entry'!H8/'Data Entry'!B8</f>
        <v>8.9445438282647585E-4</v>
      </c>
      <c r="G12" s="150">
        <f>'Data Entry'!I8/'Data Entry'!B8</f>
        <v>0.10912343470483005</v>
      </c>
      <c r="H12" s="150">
        <f>SUM(D12:G12)/'Data Entry'!B8</f>
        <v>9.9206031726728976E-5</v>
      </c>
      <c r="I12" s="150">
        <f>'Data Entry'!C8/'Data Entry'!B8</f>
        <v>0.23524150268336314</v>
      </c>
      <c r="K12" s="96" t="str">
        <f t="shared" si="0"/>
        <v>Referrals, total N=1118</v>
      </c>
      <c r="L12">
        <f>I14/(SUM(B14:G14))</f>
        <v>2.2484345047923324</v>
      </c>
    </row>
    <row r="13" spans="1:12">
      <c r="A13" s="128" t="str">
        <f>CONCATENATE("Arrests, total N=", 'Data Entry'!B7)</f>
        <v>Arrests, total N=431</v>
      </c>
      <c r="B13" s="150">
        <f>'Data Entry'!D7/'Data Entry'!B7</f>
        <v>0.61716937354988399</v>
      </c>
      <c r="C13" s="150">
        <f>'Data Entry'!E7/'Data Entry'!B7</f>
        <v>1.6241299303944315E-2</v>
      </c>
      <c r="D13" s="150">
        <f>'Data Entry'!F7/'Data Entry'!B7</f>
        <v>2.3201856148491878E-3</v>
      </c>
      <c r="E13" s="150">
        <f>'Data Entry'!G7/'Data Entry'!B7</f>
        <v>0</v>
      </c>
      <c r="F13" s="150">
        <f>'Data Entry'!H7/'Data Entry'!B7</f>
        <v>0</v>
      </c>
      <c r="G13" s="150">
        <f>'Data Entry'!I7/'Data Entry'!B7</f>
        <v>0</v>
      </c>
      <c r="H13" s="150">
        <f>SUM(D13:G13)/'Data Entry'!B7</f>
        <v>5.3832612873531039E-6</v>
      </c>
      <c r="I13" s="150">
        <f>'Data Entry'!C7/'Data Entry'!B7</f>
        <v>0.25522041763341069</v>
      </c>
      <c r="K13" s="96" t="str">
        <f t="shared" si="0"/>
        <v>Arrests, total N=431</v>
      </c>
      <c r="L13">
        <f>I14/(SUM(B14:G14))</f>
        <v>2.2484345047923324</v>
      </c>
    </row>
    <row r="14" spans="1:12">
      <c r="A14" s="128" t="str">
        <f>CONCATENATE("Population, total N=", 'Data Entry'!B6)</f>
        <v>Population, total N=25419</v>
      </c>
      <c r="B14" s="150">
        <f>'Data Entry'!D6/'Data Entry'!B6</f>
        <v>0.18226523466698138</v>
      </c>
      <c r="C14" s="150">
        <f>'Data Entry'!E6/'Data Entry'!B6</f>
        <v>9.1978441323419494E-2</v>
      </c>
      <c r="D14" s="150">
        <f>'Data Entry'!F6/'Data Entry'!B6</f>
        <v>2.8679334356190252E-2</v>
      </c>
      <c r="E14" s="150">
        <f>'Data Entry'!G6/'Data Entry'!B6</f>
        <v>0</v>
      </c>
      <c r="F14" s="150">
        <f>'Data Entry'!H6/'Data Entry'!B6</f>
        <v>4.9175813367953103E-3</v>
      </c>
      <c r="G14" s="150">
        <f>'Data Entry'!I6/'Data Entry'!B6</f>
        <v>0</v>
      </c>
      <c r="H14" s="150">
        <f>SUM(D14:G14)/'Data Entry'!B6</f>
        <v>1.3217245246856903E-6</v>
      </c>
      <c r="I14" s="150">
        <f>'Data Entry'!C6/'Data Entry'!B6</f>
        <v>0.6921594083166136</v>
      </c>
      <c r="K14" s="96" t="str">
        <f t="shared" si="0"/>
        <v>Population, total N=25419</v>
      </c>
      <c r="L14">
        <f>I14/(SUM(B14:G14))</f>
        <v>2.2484345047923324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Kalamazoo</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17594</v>
      </c>
      <c r="D7" s="104">
        <f>'Data Entry'!D6</f>
        <v>4633</v>
      </c>
      <c r="E7" s="105"/>
      <c r="F7" s="106">
        <f>'Data Entry'!E6</f>
        <v>2338</v>
      </c>
      <c r="G7" s="105"/>
      <c r="H7" s="106">
        <f>'Data Entry'!F6</f>
        <v>729</v>
      </c>
      <c r="I7" s="105"/>
      <c r="J7" s="106">
        <f>'Data Entry'!J6</f>
        <v>7825</v>
      </c>
      <c r="K7" s="107"/>
    </row>
    <row r="8" spans="2:30" s="1" customFormat="1" ht="15" customHeight="1">
      <c r="B8" s="121" t="s">
        <v>8</v>
      </c>
      <c r="C8" s="103">
        <f>'Data Entry'!C7</f>
        <v>110</v>
      </c>
      <c r="D8" s="104">
        <f>'Data Entry'!D7</f>
        <v>266</v>
      </c>
      <c r="E8" s="105">
        <f>'Black or African-American'!$G7</f>
        <v>9.1831407099268105</v>
      </c>
      <c r="F8" s="106">
        <f>'Data Entry'!E7</f>
        <v>7</v>
      </c>
      <c r="G8" s="105">
        <f>Hispanic!G7</f>
        <v>0.47887860642351665</v>
      </c>
      <c r="H8" s="106">
        <f>'Data Entry'!F7</f>
        <v>1</v>
      </c>
      <c r="I8" s="105" t="str">
        <f>Asian!G7</f>
        <v>**</v>
      </c>
      <c r="J8" s="106">
        <f>'Data Entry'!J7</f>
        <v>274</v>
      </c>
      <c r="K8" s="107">
        <f>'All Minorities'!G7</f>
        <v>5.6006459483009001</v>
      </c>
      <c r="L8"/>
      <c r="N8" s="1">
        <f>'Black or African-American'!L7</f>
        <v>1</v>
      </c>
      <c r="O8" s="1">
        <f>Hispanic!L7</f>
        <v>2</v>
      </c>
      <c r="P8" s="1">
        <f>Asian!L7</f>
        <v>40</v>
      </c>
      <c r="Q8" s="1" t="e">
        <f>Hawaiian!L7</f>
        <v>#VALUE!</v>
      </c>
      <c r="R8" s="1">
        <f>'Am Indian'!L7</f>
        <v>139</v>
      </c>
      <c r="S8" s="1" t="e">
        <f>'Other - Mixed'!L7</f>
        <v>#VALUE!</v>
      </c>
      <c r="T8" s="1">
        <f>'All Minorities'!L7</f>
        <v>1</v>
      </c>
    </row>
    <row r="9" spans="2:30" s="1" customFormat="1" ht="15" customHeight="1">
      <c r="B9" s="121" t="s">
        <v>126</v>
      </c>
      <c r="C9" s="103">
        <f>'Data Entry'!C8</f>
        <v>263</v>
      </c>
      <c r="D9" s="108">
        <f>'Data Entry'!D8</f>
        <v>674</v>
      </c>
      <c r="E9" s="109">
        <f>'Black or African-American'!$G8</f>
        <v>1.0597787243774837</v>
      </c>
      <c r="F9" s="110">
        <f>'Data Entry'!E8</f>
        <v>15</v>
      </c>
      <c r="G9" s="109" t="str">
        <f>Hispanic!G8</f>
        <v>**</v>
      </c>
      <c r="H9" s="110">
        <f>'Data Entry'!F8</f>
        <v>1</v>
      </c>
      <c r="I9" s="109" t="str">
        <f>Asian!G8</f>
        <v>**</v>
      </c>
      <c r="J9" s="110">
        <f>'Data Entry'!J8</f>
        <v>813</v>
      </c>
      <c r="K9" s="111">
        <f>'All Minorities'!G8</f>
        <v>1.2410146818017818</v>
      </c>
      <c r="L9"/>
      <c r="N9" s="1">
        <f>'Black or African-American'!L8</f>
        <v>2</v>
      </c>
      <c r="O9" s="1">
        <f>Hispanic!L8</f>
        <v>40</v>
      </c>
      <c r="P9" s="1">
        <f>Asian!L8</f>
        <v>40</v>
      </c>
      <c r="Q9" s="1">
        <f>Hawaiian!L8</f>
        <v>139</v>
      </c>
      <c r="R9" s="1">
        <f>'Am Indian'!L8</f>
        <v>119</v>
      </c>
      <c r="S9" s="1">
        <f>'Other - Mixed'!L8</f>
        <v>119</v>
      </c>
      <c r="T9" s="1">
        <f>'All Minorities'!L8</f>
        <v>1</v>
      </c>
    </row>
    <row r="10" spans="2:30" s="1" customFormat="1" ht="15" customHeight="1">
      <c r="B10" s="121" t="s">
        <v>10</v>
      </c>
      <c r="C10" s="103">
        <f>'Data Entry'!C9</f>
        <v>171</v>
      </c>
      <c r="D10" s="112">
        <f>'Data Entry'!D9</f>
        <v>446</v>
      </c>
      <c r="E10" s="113">
        <f>'Black or African-American'!$G9</f>
        <v>1.0177347423950578</v>
      </c>
      <c r="F10" s="114">
        <f>'Data Entry'!E9</f>
        <v>11</v>
      </c>
      <c r="G10" s="113" t="str">
        <f>Hispanic!G9</f>
        <v>**</v>
      </c>
      <c r="H10" s="114">
        <f>'Data Entry'!F9</f>
        <v>1</v>
      </c>
      <c r="I10" s="113" t="str">
        <f>Asian!G9</f>
        <v>**</v>
      </c>
      <c r="J10" s="114">
        <f>'Data Entry'!J9</f>
        <v>535</v>
      </c>
      <c r="K10" s="115">
        <f>'All Minorities'!G9</f>
        <v>1.0120987174784026</v>
      </c>
      <c r="L10"/>
      <c r="N10" s="1">
        <f>'Black or African-American'!L9</f>
        <v>2</v>
      </c>
      <c r="O10" s="1">
        <f>Hispanic!L9</f>
        <v>40</v>
      </c>
      <c r="P10" s="1">
        <f>Asian!L9</f>
        <v>40</v>
      </c>
      <c r="Q10" s="1" t="e">
        <f>Hawaiian!L9</f>
        <v>#VALUE!</v>
      </c>
      <c r="R10" s="1">
        <f>'Am Indian'!L9</f>
        <v>139</v>
      </c>
      <c r="S10" s="1">
        <f>'Other - Mixed'!L9</f>
        <v>101</v>
      </c>
      <c r="T10" s="1">
        <f>'All Minorities'!L9</f>
        <v>2</v>
      </c>
    </row>
    <row r="11" spans="2:30" s="1" customFormat="1" ht="15" customHeight="1">
      <c r="B11" s="121" t="s">
        <v>11</v>
      </c>
      <c r="C11" s="103">
        <f>'Data Entry'!C10</f>
        <v>72</v>
      </c>
      <c r="D11" s="108">
        <f>'Data Entry'!D10</f>
        <v>174</v>
      </c>
      <c r="E11" s="109">
        <f>'Black or African-American'!$G10</f>
        <v>0.94300197823936693</v>
      </c>
      <c r="F11" s="110">
        <f>'Data Entry'!E10</f>
        <v>0</v>
      </c>
      <c r="G11" s="109" t="str">
        <f>Hispanic!G10</f>
        <v>**</v>
      </c>
      <c r="H11" s="110">
        <f>'Data Entry'!F10</f>
        <v>0</v>
      </c>
      <c r="I11" s="109" t="str">
        <f>Asian!G10</f>
        <v>**</v>
      </c>
      <c r="J11" s="110">
        <f>'Data Entry'!J10</f>
        <v>216</v>
      </c>
      <c r="K11" s="111">
        <f>'All Minorities'!G10</f>
        <v>0.97047970479704793</v>
      </c>
      <c r="L11"/>
      <c r="N11" s="1">
        <f>'Black or African-American'!L10</f>
        <v>2</v>
      </c>
      <c r="O11" s="1">
        <f>Hispanic!L10</f>
        <v>20</v>
      </c>
      <c r="P11" s="1">
        <f>Asian!L10</f>
        <v>40</v>
      </c>
      <c r="Q11" s="1" t="e">
        <f>Hawaiian!L10</f>
        <v>#VALUE!</v>
      </c>
      <c r="R11" s="1">
        <f>'Am Indian'!L10</f>
        <v>139</v>
      </c>
      <c r="S11" s="1">
        <f>'Other - Mixed'!L10</f>
        <v>101</v>
      </c>
      <c r="T11" s="1">
        <f>'All Minorities'!L10</f>
        <v>2</v>
      </c>
    </row>
    <row r="12" spans="2:30" s="1" customFormat="1" ht="15" customHeight="1">
      <c r="B12" s="121" t="s">
        <v>95</v>
      </c>
      <c r="C12" s="103">
        <f>'Data Entry'!C11</f>
        <v>97</v>
      </c>
      <c r="D12" s="112">
        <f>'Data Entry'!D11</f>
        <v>216</v>
      </c>
      <c r="E12" s="113">
        <f>'Black or African-American'!$G11</f>
        <v>0.86891614916332693</v>
      </c>
      <c r="F12" s="114">
        <f>'Data Entry'!E11</f>
        <v>4</v>
      </c>
      <c r="G12" s="113" t="str">
        <f>Hispanic!G11</f>
        <v>**</v>
      </c>
      <c r="H12" s="114">
        <f>'Data Entry'!F11</f>
        <v>0</v>
      </c>
      <c r="I12" s="113" t="str">
        <f>Asian!G11</f>
        <v>**</v>
      </c>
      <c r="J12" s="114">
        <f>'Data Entry'!J11</f>
        <v>263</v>
      </c>
      <c r="K12" s="115">
        <f>'All Minorities'!G11</f>
        <v>0.87710021430111185</v>
      </c>
      <c r="L12"/>
      <c r="N12" s="1">
        <f>'Black or African-American'!L11</f>
        <v>2</v>
      </c>
      <c r="O12" s="1">
        <f>Hispanic!L11</f>
        <v>40</v>
      </c>
      <c r="P12" s="1">
        <f>Asian!L11</f>
        <v>40</v>
      </c>
      <c r="Q12" s="1" t="e">
        <f>Hawaiian!L11</f>
        <v>#VALUE!</v>
      </c>
      <c r="R12" s="1">
        <f>'Am Indian'!L11</f>
        <v>139</v>
      </c>
      <c r="S12" s="1">
        <f>'Other - Mixed'!L11</f>
        <v>101</v>
      </c>
      <c r="T12" s="1">
        <f>'All Minorities'!L11</f>
        <v>2</v>
      </c>
    </row>
    <row r="13" spans="2:30" s="1" customFormat="1" ht="15" customHeight="1">
      <c r="B13" s="121" t="s">
        <v>13</v>
      </c>
      <c r="C13" s="103">
        <f>'Data Entry'!C12</f>
        <v>55</v>
      </c>
      <c r="D13" s="108">
        <f>'Data Entry'!D12</f>
        <v>97</v>
      </c>
      <c r="E13" s="109">
        <f>'Black or African-American'!$G12</f>
        <v>0.79200336700336693</v>
      </c>
      <c r="F13" s="110">
        <f>'Data Entry'!E12</f>
        <v>3</v>
      </c>
      <c r="G13" s="109" t="str">
        <f>Hispanic!G12</f>
        <v>**</v>
      </c>
      <c r="H13" s="110">
        <f>'Data Entry'!F12</f>
        <v>0</v>
      </c>
      <c r="I13" s="109" t="str">
        <f>Asian!G12</f>
        <v>--</v>
      </c>
      <c r="J13" s="110">
        <f>'Data Entry'!J12</f>
        <v>119</v>
      </c>
      <c r="K13" s="111">
        <f>'All Minorities'!G12</f>
        <v>0.7979951607328033</v>
      </c>
      <c r="L13"/>
      <c r="N13" s="1">
        <f>'Black or African-American'!L12</f>
        <v>2</v>
      </c>
      <c r="O13" s="1">
        <f>Hispanic!L12</f>
        <v>40</v>
      </c>
      <c r="P13" s="1" t="e">
        <f>Asian!L12</f>
        <v>#VALUE!</v>
      </c>
      <c r="Q13" s="1" t="e">
        <f>Hawaiian!L12</f>
        <v>#VALUE!</v>
      </c>
      <c r="R13" s="1" t="e">
        <f>'Am Indian'!L12</f>
        <v>#VALUE!</v>
      </c>
      <c r="S13" s="1">
        <f>'Other - Mixed'!L12</f>
        <v>101</v>
      </c>
      <c r="T13" s="1">
        <f>'All Minorities'!L12</f>
        <v>2</v>
      </c>
      <c r="W13" s="8"/>
      <c r="X13" s="8"/>
      <c r="Y13" s="8"/>
      <c r="Z13" s="8"/>
      <c r="AA13" s="8"/>
      <c r="AB13" s="8"/>
      <c r="AC13" s="8"/>
      <c r="AD13" s="8"/>
    </row>
    <row r="14" spans="2:30" s="1" customFormat="1" ht="15" customHeight="1">
      <c r="B14" s="121" t="s">
        <v>14</v>
      </c>
      <c r="C14" s="103">
        <f>'Data Entry'!C13</f>
        <v>26</v>
      </c>
      <c r="D14" s="112">
        <f>'Data Entry'!D13</f>
        <v>75</v>
      </c>
      <c r="E14" s="113">
        <f>'Black or African-American'!$G13</f>
        <v>1.6356066613798574</v>
      </c>
      <c r="F14" s="114">
        <f>'Data Entry'!E13</f>
        <v>10</v>
      </c>
      <c r="G14" s="113" t="str">
        <f>Hispanic!G13</f>
        <v>**</v>
      </c>
      <c r="H14" s="114">
        <f>'Data Entry'!F13</f>
        <v>1</v>
      </c>
      <c r="I14" s="113" t="str">
        <f>Asian!G13</f>
        <v>--</v>
      </c>
      <c r="J14" s="114">
        <f>'Data Entry'!J13</f>
        <v>95</v>
      </c>
      <c r="K14" s="115">
        <f>'All Minorities'!G13</f>
        <v>1.6887524240465419</v>
      </c>
      <c r="L14"/>
      <c r="N14" s="1">
        <f>'Black or African-American'!L13</f>
        <v>1</v>
      </c>
      <c r="O14" s="1">
        <f>Hispanic!L13</f>
        <v>20</v>
      </c>
      <c r="P14" s="1" t="e">
        <f>Asian!L13</f>
        <v>#DIV/0!</v>
      </c>
      <c r="Q14" s="1" t="e">
        <f>Hawaiian!L13</f>
        <v>#VALUE!</v>
      </c>
      <c r="R14" s="1" t="e">
        <f>'Am Indian'!L13</f>
        <v>#VALUE!</v>
      </c>
      <c r="S14" s="1">
        <f>'Other - Mixed'!L13</f>
        <v>139</v>
      </c>
      <c r="T14" s="1">
        <f>'All Minorities'!L13</f>
        <v>1</v>
      </c>
      <c r="W14" s="8"/>
      <c r="X14" s="8"/>
      <c r="Y14" s="8"/>
      <c r="Z14" s="8"/>
      <c r="AA14" s="8"/>
      <c r="AB14" s="8"/>
      <c r="AC14" s="8"/>
      <c r="AD14" s="8"/>
    </row>
    <row r="15" spans="2:30" s="1" customFormat="1" ht="33">
      <c r="B15" s="126" t="s">
        <v>115</v>
      </c>
      <c r="C15" s="103">
        <f>'Data Entry'!C14</f>
        <v>0</v>
      </c>
      <c r="D15" s="108">
        <f>'Data Entry'!D14</f>
        <v>62</v>
      </c>
      <c r="E15" s="109" t="str">
        <f>'Black or African-American'!$G14</f>
        <v>**</v>
      </c>
      <c r="F15" s="110">
        <f>'Data Entry'!E14</f>
        <v>0</v>
      </c>
      <c r="G15" s="109" t="str">
        <f>Hispanic!G14</f>
        <v>--</v>
      </c>
      <c r="H15" s="110">
        <f>'Data Entry'!F14</f>
        <v>0</v>
      </c>
      <c r="I15" s="109" t="str">
        <f>Asian!G14</f>
        <v>--</v>
      </c>
      <c r="J15" s="110">
        <f>'Data Entry'!J14</f>
        <v>62</v>
      </c>
      <c r="K15" s="111" t="str">
        <f>'All Minorities'!G14</f>
        <v>**</v>
      </c>
      <c r="L15"/>
      <c r="N15" s="1">
        <f>'Black or African-American'!L14</f>
        <v>20</v>
      </c>
      <c r="O15" s="1" t="e">
        <f>Hispanic!L14</f>
        <v>#VALUE!</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3</v>
      </c>
      <c r="E16" s="117" t="str">
        <f>'Black or African-American'!$G15</f>
        <v>**</v>
      </c>
      <c r="F16" s="118">
        <f>'Data Entry'!E15</f>
        <v>0</v>
      </c>
      <c r="G16" s="117" t="str">
        <f>Hispanic!G15</f>
        <v>--</v>
      </c>
      <c r="H16" s="118">
        <f>'Data Entry'!F15</f>
        <v>0</v>
      </c>
      <c r="I16" s="117" t="str">
        <f>Asian!G15</f>
        <v>--</v>
      </c>
      <c r="J16" s="118">
        <f>'Data Entry'!J15</f>
        <v>3</v>
      </c>
      <c r="K16" s="119"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Kalamazoo County Juvenile Court</v>
      </c>
      <c r="E27" s="1" t="str">
        <f>'Data Entry'!D20</f>
        <v>Item 4.Diversion: Kalamazoo County Juvenile Court</v>
      </c>
      <c r="I27" s="96"/>
    </row>
    <row r="28" spans="2:30" ht="12.75" customHeight="1">
      <c r="B28" s="1" t="str">
        <f>'Data Entry'!A21</f>
        <v>Item 5.Detention: Kalamazoo County Juvenile Court</v>
      </c>
      <c r="E28" s="1" t="str">
        <f>'Data Entry'!D21</f>
        <v>Item 6.Petitioned: Kalamazoo County Juvenile Court</v>
      </c>
      <c r="I28" s="96"/>
    </row>
    <row r="29" spans="2:30" ht="12.75" customHeight="1">
      <c r="B29" s="1" t="str">
        <f>'Data Entry'!A22</f>
        <v>Item 7.Delinquent: Kalamazoo County Juvenile Court</v>
      </c>
      <c r="E29" s="1" t="str">
        <f>'Data Entry'!D22</f>
        <v>Item 8.Probation: Kalamazoo County Juvenile Court</v>
      </c>
      <c r="I29" s="96"/>
    </row>
    <row r="30" spans="2:30" ht="12.75" customHeight="1">
      <c r="B30" s="1" t="str">
        <f>'Data Entry'!A23</f>
        <v>Item 9.Confinement: Kalamazoo County Juvenile Court</v>
      </c>
      <c r="E30" s="1" t="str">
        <f>'Data Entry'!D23</f>
        <v>Item 10.Transferred: Kalamazoo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tabSelected="1" zoomScale="95" zoomScaleNormal="95" workbookViewId="0">
      <selection activeCell="AE7" sqref="AE7"/>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Entry'!D6</f>
        <v>4633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Entry'!D7</f>
        <v>266</v>
      </c>
      <c r="F7" s="34">
        <f>IF((AND($E$7&gt;0,$D$66&gt;0)),($E$7/$D$66),0)</f>
        <v>57.414202460608678</v>
      </c>
      <c r="G7" s="39">
        <f>IF(L$6=100,"*",IF(M7=FALSE,"--",IF(K7=20,"**",($F7/$D7))))</f>
        <v>9.1831407099268105</v>
      </c>
      <c r="H7" s="40"/>
      <c r="I7" s="41"/>
      <c r="J7" s="40">
        <f>IF((ABS($U7)&gt;Defaults!D$7),1,2)</f>
        <v>1</v>
      </c>
      <c r="K7" s="39">
        <f>IF((AND(N7&gt;Defaults!B$12,(N7+O7)&gt;Defaults!B$13, P7 &gt; Defaults!B$12, (P7+Q7) &gt; Defaults!B$13)),1,20)</f>
        <v>1</v>
      </c>
      <c r="L7" s="1">
        <f>(J7*K7+L$6)-1</f>
        <v>1</v>
      </c>
      <c r="M7" s="1" t="b">
        <f t="shared" ref="M7:M15" si="0">(ISNUMBER(J7))</f>
        <v>1</v>
      </c>
      <c r="N7" s="42">
        <f t="shared" ref="N7:N15" si="1">E7</f>
        <v>266</v>
      </c>
      <c r="O7" s="42">
        <f>E6-E7</f>
        <v>4367</v>
      </c>
      <c r="P7" s="42">
        <f t="shared" ref="P7:P15" si="2">C7</f>
        <v>110</v>
      </c>
      <c r="Q7" s="42">
        <f>C6-C7</f>
        <v>17484</v>
      </c>
      <c r="R7" s="42">
        <f t="shared" ref="R7:R15" si="3">SUM(N7:Q7)</f>
        <v>22227</v>
      </c>
      <c r="S7" s="30">
        <f t="shared" ref="S7:S15" si="4">R7*((((N7*Q7)-(O7*P7))^2))</f>
        <v>3.8657241297834387E+17</v>
      </c>
      <c r="T7" s="30">
        <f t="shared" ref="T7:T15" si="5">(N7+O7)*(P7+Q7)*(N7+P7)*(O7+Q7)</f>
        <v>669708868119952</v>
      </c>
      <c r="U7" s="31">
        <f t="shared" ref="U7:U15" si="6">IF((S7&gt;0),S7/T7,"- -")</f>
        <v>577.2245693319752</v>
      </c>
    </row>
    <row r="8" spans="2:21" ht="18" customHeight="1">
      <c r="B8" s="32" t="str">
        <f>'Data Entry'!A8</f>
        <v>3. Refer to Juvenile Court</v>
      </c>
      <c r="C8" s="33">
        <f>'Data Entry'!C8</f>
        <v>263</v>
      </c>
      <c r="D8" s="34">
        <f>IF((AND(C67&gt;0,C8&gt;0)),(C8/C67),0)</f>
        <v>239.09090909090907</v>
      </c>
      <c r="E8" s="33">
        <f>'Data Entry'!D8</f>
        <v>674</v>
      </c>
      <c r="F8" s="34">
        <f>IF((AND($E$8&gt;0,$D$67&gt;0)),($E8/$D67),0)</f>
        <v>253.38345864661653</v>
      </c>
      <c r="G8" s="39">
        <f t="shared" ref="G8:G15" si="7">IF(L$6=100,"*",IF(M8=FALSE,"--",IF(K8=20,"**",($F8/$D8))))</f>
        <v>1.0597787243774837</v>
      </c>
      <c r="H8" s="40"/>
      <c r="I8" s="41"/>
      <c r="J8" s="40">
        <f>IF((ABS($U8)&gt;Defaults!D$7),1,2)</f>
        <v>2</v>
      </c>
      <c r="K8" s="39">
        <f>IF((AND(N8&gt;Defaults!B$12,(N8+O8)&gt;Defaults!B$13, P8 &gt; Defaults!B$12, (P8+Q8) &gt; Defaults!B$13)),1,20)</f>
        <v>1</v>
      </c>
      <c r="L8" s="1">
        <f t="shared" ref="L8:L15" si="8">(J8*K8+L$6)-1</f>
        <v>2</v>
      </c>
      <c r="M8" s="1" t="b">
        <f t="shared" si="0"/>
        <v>1</v>
      </c>
      <c r="N8" s="42">
        <f t="shared" si="1"/>
        <v>674</v>
      </c>
      <c r="O8" s="42">
        <f>((D67*L67)-E8)+0.05</f>
        <v>-407.95</v>
      </c>
      <c r="P8" s="42">
        <f t="shared" si="2"/>
        <v>263</v>
      </c>
      <c r="Q8" s="42">
        <f>(C$67*L67)-C8</f>
        <v>-153</v>
      </c>
      <c r="R8" s="42">
        <f t="shared" si="3"/>
        <v>376.04999999999995</v>
      </c>
      <c r="S8" s="30">
        <f t="shared" si="4"/>
        <v>6535489646.7760963</v>
      </c>
      <c r="T8" s="30">
        <f t="shared" si="5"/>
        <v>-15382243844.825001</v>
      </c>
      <c r="U8" s="31">
        <f t="shared" si="6"/>
        <v>-0.42487232114544915</v>
      </c>
    </row>
    <row r="9" spans="2:21" ht="18" customHeight="1">
      <c r="B9" s="32" t="str">
        <f>'Data Entry'!A9</f>
        <v xml:space="preserve">4. Cases Diverted </v>
      </c>
      <c r="C9" s="33">
        <f>'Data Entry'!C9</f>
        <v>171</v>
      </c>
      <c r="D9" s="34">
        <f>IF((AND(C68&gt;0,C9&gt;0)),((C9/C68)),0)</f>
        <v>65.019011406844115</v>
      </c>
      <c r="E9" s="33">
        <f>'Data Entry'!D9</f>
        <v>446</v>
      </c>
      <c r="F9" s="34">
        <f>IF((AND($E$9&gt;0,$D$68&gt;0)),(($E$9/$D$68)),0)</f>
        <v>66.17210682492582</v>
      </c>
      <c r="G9" s="39">
        <f t="shared" si="7"/>
        <v>1.0177347423950578</v>
      </c>
      <c r="H9" s="40"/>
      <c r="I9" s="41"/>
      <c r="J9" s="40">
        <f>IF((ABS($U9)&gt;Defaults!D$7),1,2)</f>
        <v>2</v>
      </c>
      <c r="K9" s="39">
        <f>IF((AND(N9&gt;Defaults!B$12,(N9+O9)&gt;Defaults!B$13, P9 &gt; Defaults!B$12, (P9+Q9) &gt; Defaults!B$13)),1,20)</f>
        <v>1</v>
      </c>
      <c r="L9" s="1">
        <f t="shared" si="8"/>
        <v>2</v>
      </c>
      <c r="M9" s="1" t="b">
        <f t="shared" si="0"/>
        <v>1</v>
      </c>
      <c r="N9" s="42">
        <f t="shared" si="1"/>
        <v>446</v>
      </c>
      <c r="O9" s="42">
        <f>(D$68*L68)-E9</f>
        <v>228</v>
      </c>
      <c r="P9" s="42">
        <f t="shared" si="2"/>
        <v>171</v>
      </c>
      <c r="Q9" s="42">
        <f>(C$68*L68)-C9</f>
        <v>92</v>
      </c>
      <c r="R9" s="42">
        <f t="shared" si="3"/>
        <v>937</v>
      </c>
      <c r="S9" s="30">
        <f t="shared" si="4"/>
        <v>3914726032</v>
      </c>
      <c r="T9" s="30">
        <f t="shared" si="5"/>
        <v>34998609280</v>
      </c>
      <c r="U9" s="31">
        <f t="shared" si="6"/>
        <v>0.1118537596931623</v>
      </c>
    </row>
    <row r="10" spans="2:21" ht="18" customHeight="1">
      <c r="B10" s="32" t="str">
        <f>'Data Entry'!A10</f>
        <v>5. Cases Involving Secure Detention</v>
      </c>
      <c r="C10" s="33">
        <f>'Data Entry'!C10</f>
        <v>72</v>
      </c>
      <c r="D10" s="34">
        <f>IF(((AND(C68&gt;0,C10&gt;0))),(C10/(C68)),0)</f>
        <v>27.376425855513308</v>
      </c>
      <c r="E10" s="33">
        <f>'Data Entry'!D10</f>
        <v>174</v>
      </c>
      <c r="F10" s="34">
        <f>IF(((AND($E$10&gt;0,$D$68&gt;0))),($E$10/($D$68)),0)</f>
        <v>25.816023738872403</v>
      </c>
      <c r="G10" s="39">
        <f t="shared" si="7"/>
        <v>0.94300197823936693</v>
      </c>
      <c r="H10" s="40"/>
      <c r="I10" s="41"/>
      <c r="J10" s="40">
        <f>IF((ABS($U10)&gt;Defaults!D$7),1,2)</f>
        <v>2</v>
      </c>
      <c r="K10" s="39">
        <f>IF((AND(N10&gt;Defaults!B$12,(N10+O10)&gt;Defaults!B$13, P10 &gt; Defaults!B$12, (P10+Q10) &gt; Defaults!B$13)),1,20)</f>
        <v>1</v>
      </c>
      <c r="L10" s="1">
        <f t="shared" si="8"/>
        <v>2</v>
      </c>
      <c r="M10" s="1" t="b">
        <f t="shared" si="0"/>
        <v>1</v>
      </c>
      <c r="N10" s="42">
        <f t="shared" si="1"/>
        <v>174</v>
      </c>
      <c r="O10" s="42">
        <f>(D$68*L68)-E10</f>
        <v>500</v>
      </c>
      <c r="P10" s="42">
        <f t="shared" si="2"/>
        <v>72</v>
      </c>
      <c r="Q10" s="42">
        <f>(C$68*L68)-C10</f>
        <v>191</v>
      </c>
      <c r="R10" s="42">
        <f t="shared" si="3"/>
        <v>937</v>
      </c>
      <c r="S10" s="30">
        <f t="shared" si="4"/>
        <v>7168758372</v>
      </c>
      <c r="T10" s="30">
        <f t="shared" si="5"/>
        <v>30132058332</v>
      </c>
      <c r="U10" s="31">
        <f t="shared" si="6"/>
        <v>0.23791133990958849</v>
      </c>
    </row>
    <row r="11" spans="2:21" ht="18" customHeight="1">
      <c r="B11" s="32" t="str">
        <f>'Data Entry'!A11</f>
        <v>6. Cases Petitioned (Charge Filed)</v>
      </c>
      <c r="C11" s="33">
        <f>'Data Entry'!C11</f>
        <v>97</v>
      </c>
      <c r="D11" s="34">
        <f>IF(((AND(C68&gt;0,C11&gt;0))),(C11/(C68)),0)</f>
        <v>36.882129277566541</v>
      </c>
      <c r="E11" s="33">
        <f>'Data Entry'!D11</f>
        <v>216</v>
      </c>
      <c r="F11" s="34">
        <f>IF(((AND($E$11&gt;0,$D$68&gt;0))),($E$11/($D$68)),0)</f>
        <v>32.047477744807118</v>
      </c>
      <c r="G11" s="39">
        <f t="shared" si="7"/>
        <v>0.86891614916332693</v>
      </c>
      <c r="H11" s="40"/>
      <c r="I11" s="41"/>
      <c r="J11" s="40">
        <f>IF((ABS($U11)&gt;Defaults!D$7),1,2)</f>
        <v>2</v>
      </c>
      <c r="K11" s="39">
        <f>IF((AND(N11&gt;Defaults!B$12,(N11+O11)&gt;Defaults!B$13, P11 &gt; Defaults!B$12, (P11+Q11) &gt; Defaults!B$13)),1,20)</f>
        <v>1</v>
      </c>
      <c r="L11" s="1">
        <f t="shared" si="8"/>
        <v>2</v>
      </c>
      <c r="M11" s="1" t="b">
        <f t="shared" si="0"/>
        <v>1</v>
      </c>
      <c r="N11" s="42">
        <f t="shared" si="1"/>
        <v>216</v>
      </c>
      <c r="O11" s="42">
        <f>(D$68*L68)-E11</f>
        <v>458</v>
      </c>
      <c r="P11" s="42">
        <f t="shared" si="2"/>
        <v>97</v>
      </c>
      <c r="Q11" s="42">
        <f>(C$68*L68)-C11</f>
        <v>166</v>
      </c>
      <c r="R11" s="42">
        <f t="shared" si="3"/>
        <v>937</v>
      </c>
      <c r="S11" s="30">
        <f t="shared" si="4"/>
        <v>68817871300</v>
      </c>
      <c r="T11" s="30">
        <f t="shared" si="5"/>
        <v>34621395744</v>
      </c>
      <c r="U11" s="31">
        <f t="shared" si="6"/>
        <v>1.9877266592270868</v>
      </c>
    </row>
    <row r="12" spans="2:21" ht="18" customHeight="1">
      <c r="B12" s="32" t="str">
        <f>'Data Entry'!A12</f>
        <v>7. Cases Resulting in Delinquent Findings</v>
      </c>
      <c r="C12" s="33">
        <f>'Data Entry'!C12</f>
        <v>55</v>
      </c>
      <c r="D12" s="34">
        <f>IF(((AND(C69&gt;0,C12&gt;0))),(C12/(C69)),0)</f>
        <v>56.701030927835056</v>
      </c>
      <c r="E12" s="33">
        <f>'Data Entry'!D12</f>
        <v>97</v>
      </c>
      <c r="F12" s="34">
        <f>IF(((AND($D$69&gt;0,$E$12&gt;0))),(E12/(D69)),0)</f>
        <v>44.907407407407405</v>
      </c>
      <c r="G12" s="39">
        <f t="shared" si="7"/>
        <v>0.79200336700336693</v>
      </c>
      <c r="H12" s="40"/>
      <c r="I12" s="41"/>
      <c r="J12" s="40">
        <f>IF((ABS($U12)&gt;Defaults!D$7),1,2)</f>
        <v>2</v>
      </c>
      <c r="K12" s="39">
        <f>IF((AND(N12&gt;Defaults!B$12,(N12+O12)&gt;Defaults!B$13, P12 &gt; Defaults!B$12, (P12+Q12) &gt; Defaults!B$13)),1,20)</f>
        <v>1</v>
      </c>
      <c r="L12" s="1">
        <f t="shared" si="8"/>
        <v>2</v>
      </c>
      <c r="M12" s="1" t="b">
        <f t="shared" si="0"/>
        <v>1</v>
      </c>
      <c r="N12" s="42">
        <f t="shared" si="1"/>
        <v>97</v>
      </c>
      <c r="O12" s="42">
        <f>(D69*L69)-E12</f>
        <v>119</v>
      </c>
      <c r="P12" s="42">
        <f t="shared" si="2"/>
        <v>55</v>
      </c>
      <c r="Q12" s="42">
        <f>(C69*L69)-C12</f>
        <v>42</v>
      </c>
      <c r="R12" s="42">
        <f t="shared" si="3"/>
        <v>313</v>
      </c>
      <c r="S12" s="30">
        <f t="shared" si="4"/>
        <v>1911128233</v>
      </c>
      <c r="T12" s="30">
        <f t="shared" si="5"/>
        <v>512737344</v>
      </c>
      <c r="U12" s="31">
        <f t="shared" si="6"/>
        <v>3.727304545619365</v>
      </c>
    </row>
    <row r="13" spans="2:21" ht="18" customHeight="1">
      <c r="B13" s="32" t="str">
        <f>'Data Entry'!A13</f>
        <v>8. Cases Resulting in Probation Placement</v>
      </c>
      <c r="C13" s="33">
        <f>'Data Entry'!C13</f>
        <v>26</v>
      </c>
      <c r="D13" s="34">
        <f>IF(((AND(C70&gt;0,C13&gt;0))),(C13/(C70)),0)</f>
        <v>47.272727272727266</v>
      </c>
      <c r="E13" s="33">
        <f>'Data Entry'!D13</f>
        <v>75</v>
      </c>
      <c r="F13" s="34">
        <f>IF(((AND($D$70&gt;0,$E$13&gt;0))),($E$13/($D$70)),0)</f>
        <v>77.319587628865975</v>
      </c>
      <c r="G13" s="39">
        <f t="shared" si="7"/>
        <v>1.6356066613798574</v>
      </c>
      <c r="H13" s="40"/>
      <c r="I13" s="41"/>
      <c r="J13" s="40">
        <f>IF((ABS($U13)&gt;Defaults!D$7),1,2)</f>
        <v>1</v>
      </c>
      <c r="K13" s="39">
        <f>IF((AND(N13&gt;Defaults!B$12,(N13+O13)&gt;Defaults!B$13, P13 &gt; Defaults!B$12, (P13+Q13) &gt; Defaults!B$13)),1,20)</f>
        <v>1</v>
      </c>
      <c r="L13" s="1">
        <f t="shared" si="8"/>
        <v>1</v>
      </c>
      <c r="M13" s="1" t="b">
        <f t="shared" si="0"/>
        <v>1</v>
      </c>
      <c r="N13" s="42">
        <f t="shared" si="1"/>
        <v>75</v>
      </c>
      <c r="O13" s="42">
        <f>(D70*L70)-E13</f>
        <v>22</v>
      </c>
      <c r="P13" s="42">
        <f t="shared" si="2"/>
        <v>26</v>
      </c>
      <c r="Q13" s="42">
        <f>(C70*L70)-C13</f>
        <v>29.000000000000007</v>
      </c>
      <c r="R13" s="42">
        <f t="shared" si="3"/>
        <v>152</v>
      </c>
      <c r="S13" s="30">
        <f t="shared" si="4"/>
        <v>390580568.00000024</v>
      </c>
      <c r="T13" s="30">
        <f t="shared" si="5"/>
        <v>27480585.000000011</v>
      </c>
      <c r="U13" s="31">
        <f t="shared" si="6"/>
        <v>14.212964098107813</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62</v>
      </c>
      <c r="F14" s="34">
        <f>IF(((AND($D$70&gt;0,$E$14&gt;0))), (($E$14/($D$70))),0)</f>
        <v>63.917525773195877</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62</v>
      </c>
      <c r="O14" s="42">
        <f>(D70*L70)-E14</f>
        <v>35</v>
      </c>
      <c r="P14" s="42">
        <f t="shared" si="2"/>
        <v>0</v>
      </c>
      <c r="Q14" s="42">
        <f>(C70*L70)-C14</f>
        <v>55.000000000000007</v>
      </c>
      <c r="R14" s="42">
        <f t="shared" si="3"/>
        <v>152</v>
      </c>
      <c r="S14" s="30">
        <f t="shared" si="4"/>
        <v>1767471200.0000005</v>
      </c>
      <c r="T14" s="30">
        <f t="shared" si="5"/>
        <v>29769300.000000004</v>
      </c>
      <c r="U14" s="31">
        <f t="shared" si="6"/>
        <v>59.372279495990846</v>
      </c>
    </row>
    <row r="15" spans="2:21" ht="15.75" customHeight="1">
      <c r="B15" s="32" t="str">
        <f>'Data Entry'!A15</f>
        <v xml:space="preserve">10. Cases Transferred to Adult Court </v>
      </c>
      <c r="C15" s="33">
        <f>'Data Entry'!C15</f>
        <v>0</v>
      </c>
      <c r="D15" s="34">
        <f>IF(((AND(C69&gt;0,C15&gt;0))),((C15/(C69))),0)</f>
        <v>0</v>
      </c>
      <c r="E15" s="33">
        <f>'Data Entry'!D15</f>
        <v>3</v>
      </c>
      <c r="F15" s="34">
        <f>IF(((AND($D$69&gt;0,$E$15&gt;0))),(($E$15/($D$69))),0)</f>
        <v>1.3888888888888888</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3</v>
      </c>
      <c r="O15" s="42">
        <f>(D69*L69)-E15</f>
        <v>213</v>
      </c>
      <c r="P15" s="42">
        <f t="shared" si="2"/>
        <v>0</v>
      </c>
      <c r="Q15" s="42">
        <f>(C69*L69)-C15</f>
        <v>97</v>
      </c>
      <c r="R15" s="42">
        <f t="shared" si="3"/>
        <v>313</v>
      </c>
      <c r="S15" s="30">
        <f t="shared" si="4"/>
        <v>26505153</v>
      </c>
      <c r="T15" s="30">
        <f t="shared" si="5"/>
        <v>19485360</v>
      </c>
      <c r="U15" s="31">
        <f t="shared" si="6"/>
        <v>1.3602598566308244</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4.633</v>
      </c>
      <c r="E42" s="56">
        <f>MAX(C42:D42)</f>
        <v>17.594000000000001</v>
      </c>
      <c r="G42" s="1" t="str">
        <f>B42</f>
        <v>per 1000 youth</v>
      </c>
      <c r="L42" s="57">
        <v>1000</v>
      </c>
      <c r="M42" s="57"/>
      <c r="R42" s="49"/>
    </row>
    <row r="43" spans="2:18" ht="15" hidden="1" customHeight="1">
      <c r="B43" s="49" t="s">
        <v>87</v>
      </c>
      <c r="C43" s="56">
        <f>C7/100</f>
        <v>1.1000000000000001</v>
      </c>
      <c r="D43" s="56">
        <f>E7/100</f>
        <v>2.66</v>
      </c>
      <c r="E43" s="56">
        <f>MAX(C43:D43,0)</f>
        <v>2.66</v>
      </c>
      <c r="G43" s="1" t="str">
        <f>B43</f>
        <v>per 100 arrests</v>
      </c>
      <c r="L43" s="57">
        <v>100</v>
      </c>
      <c r="M43" s="57"/>
      <c r="R43" s="49"/>
    </row>
    <row r="44" spans="2:18" ht="15" hidden="1" customHeight="1">
      <c r="B44" s="49" t="s">
        <v>88</v>
      </c>
      <c r="C44" s="56">
        <f>C8/100</f>
        <v>2.63</v>
      </c>
      <c r="D44" s="56">
        <f>E8/100</f>
        <v>6.74</v>
      </c>
      <c r="E44" s="56">
        <f>MAX(C44:D44,0)</f>
        <v>6.74</v>
      </c>
      <c r="G44" s="1" t="str">
        <f>B44</f>
        <v>per 100 referrals</v>
      </c>
      <c r="L44" s="57">
        <v>100</v>
      </c>
      <c r="M44" s="57"/>
      <c r="R44" s="49"/>
    </row>
    <row r="45" spans="2:18" ht="15" hidden="1" customHeight="1">
      <c r="B45" s="49" t="s">
        <v>89</v>
      </c>
      <c r="C45" s="49">
        <f>C11/100</f>
        <v>0.97</v>
      </c>
      <c r="D45" s="49">
        <f>E11/100</f>
        <v>2.16</v>
      </c>
      <c r="E45" s="56">
        <f>MAX(C45:D45,0)</f>
        <v>2.16</v>
      </c>
      <c r="G45" s="1" t="str">
        <f>B45</f>
        <v>per 100 youth petitioned</v>
      </c>
      <c r="L45" s="57">
        <v>100</v>
      </c>
      <c r="M45" s="57"/>
      <c r="R45" s="49"/>
    </row>
    <row r="46" spans="2:18" ht="15" hidden="1" customHeight="1">
      <c r="B46" s="49" t="s">
        <v>90</v>
      </c>
      <c r="C46" s="49">
        <f>C12/100</f>
        <v>0.55000000000000004</v>
      </c>
      <c r="D46" s="49">
        <f>E12/100</f>
        <v>0.97</v>
      </c>
      <c r="E46" s="56">
        <f>MAX(C46:D46)</f>
        <v>0.97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4.633</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1.1000000000000001</v>
      </c>
      <c r="D49" s="49">
        <f t="shared" si="9"/>
        <v>2.66</v>
      </c>
      <c r="E49" s="49">
        <f>MAX(C49:D49)</f>
        <v>2.66</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6.74</v>
      </c>
      <c r="E50" s="49">
        <f>MAX(C50:D50)</f>
        <v>6.74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2.16</v>
      </c>
      <c r="E51" s="49">
        <f>MAX(C51:D51)</f>
        <v>2.16</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0.97</v>
      </c>
      <c r="E52" s="56">
        <f>MAX(C52:D52)</f>
        <v>0.97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4.633</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2.66</v>
      </c>
      <c r="E55" s="49">
        <f>MAX(C55:D55)</f>
        <v>2.66</v>
      </c>
      <c r="G55" s="1" t="str">
        <f>G49</f>
        <v>per 100 arrests</v>
      </c>
      <c r="L55" s="58">
        <f>IF(($E49&gt;0),L49,L48)</f>
        <v>100</v>
      </c>
      <c r="M55" s="58"/>
    </row>
    <row r="56" spans="2:18" ht="15" hidden="1" customHeight="1">
      <c r="B56" s="49" t="str">
        <f t="shared" si="10"/>
        <v>per 100 referrals</v>
      </c>
      <c r="C56" s="49">
        <f t="shared" si="10"/>
        <v>2.63</v>
      </c>
      <c r="D56" s="49">
        <f t="shared" si="10"/>
        <v>6.74</v>
      </c>
      <c r="E56" s="49">
        <f>MAX(C56:D56)</f>
        <v>6.74</v>
      </c>
      <c r="G56" s="1" t="str">
        <f>G50</f>
        <v>per 100 referrals</v>
      </c>
      <c r="L56" s="58">
        <f>IF(($E50&gt;0),L50,L49)</f>
        <v>100</v>
      </c>
      <c r="M56" s="58"/>
    </row>
    <row r="57" spans="2:18" ht="15" hidden="1" customHeight="1">
      <c r="B57" s="49" t="str">
        <f>IF(($E51&gt;0),B51,B49)</f>
        <v>per 100 youth petitioned</v>
      </c>
      <c r="C57" s="49">
        <f>IF(($E51&gt;0),C51,C50)</f>
        <v>0.97</v>
      </c>
      <c r="D57" s="49">
        <f>IF(($E51&gt;0),D51,D50)</f>
        <v>2.16</v>
      </c>
      <c r="E57" s="49">
        <f>MAX(C57:D57)</f>
        <v>2.16</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0.97</v>
      </c>
      <c r="E58" s="56">
        <f>MAX(C58:D58)</f>
        <v>0.97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4.633</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2.66</v>
      </c>
      <c r="E61" s="49">
        <f>MAX(C61:D61)</f>
        <v>2.66</v>
      </c>
      <c r="G61" s="1" t="str">
        <f>G55</f>
        <v>per 100 arrests</v>
      </c>
      <c r="L61" s="58">
        <f>IF(($E55&gt;0),L55,L54)</f>
        <v>100</v>
      </c>
      <c r="M61" s="58"/>
    </row>
    <row r="62" spans="2:18" ht="15" hidden="1" customHeight="1">
      <c r="B62" s="49" t="str">
        <f t="shared" si="11"/>
        <v>per 100 referrals</v>
      </c>
      <c r="C62" s="49">
        <f t="shared" si="11"/>
        <v>2.63</v>
      </c>
      <c r="D62" s="49">
        <f t="shared" si="11"/>
        <v>6.74</v>
      </c>
      <c r="E62" s="49">
        <f>MAX(C62:D62)</f>
        <v>6.74</v>
      </c>
      <c r="G62" s="1" t="str">
        <f>G56</f>
        <v>per 100 referrals</v>
      </c>
      <c r="L62" s="58">
        <f>IF(($E56&gt;0),L56,L55)</f>
        <v>100</v>
      </c>
      <c r="M62" s="58"/>
    </row>
    <row r="63" spans="2:18" ht="15" hidden="1" customHeight="1">
      <c r="B63" s="49" t="str">
        <f>IF(($E57&gt;0),B57,B55)</f>
        <v>per 100 youth petitioned</v>
      </c>
      <c r="C63" s="49">
        <f>IF(($E57&gt;0),C57,C56)</f>
        <v>0.97</v>
      </c>
      <c r="D63" s="49">
        <f>IF(($E57&gt;0),D57,D56)</f>
        <v>2.16</v>
      </c>
      <c r="E63" s="49">
        <f>MAX(C63:D63)</f>
        <v>2.16</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0.97</v>
      </c>
      <c r="E64" s="56">
        <f>MAX(C64:D64)</f>
        <v>0.97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4.633</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2.66</v>
      </c>
      <c r="E67" s="49">
        <f>MAX(C67:D67)</f>
        <v>2.66</v>
      </c>
      <c r="G67" s="1" t="str">
        <f>G61</f>
        <v>per 100 arrests</v>
      </c>
      <c r="L67" s="58">
        <f>IF(($E61&gt;0),L61,L60)</f>
        <v>100</v>
      </c>
      <c r="M67" s="58">
        <f>IF((B67=G67),1,2)</f>
        <v>1</v>
      </c>
    </row>
    <row r="68" spans="2:13" ht="15" hidden="1" customHeight="1">
      <c r="B68" s="49" t="str">
        <f t="shared" si="12"/>
        <v>per 100 referrals</v>
      </c>
      <c r="C68" s="49">
        <f t="shared" si="12"/>
        <v>2.63</v>
      </c>
      <c r="D68" s="49">
        <f t="shared" si="12"/>
        <v>6.74</v>
      </c>
      <c r="E68" s="49">
        <f>MAX(C68:D68)</f>
        <v>6.74</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2.16</v>
      </c>
      <c r="E69" s="49">
        <f>MAX(C69:D69)</f>
        <v>2.16</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0.97</v>
      </c>
      <c r="E70" s="56">
        <f>MAX(C70:D70)</f>
        <v>0.97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Entry'!F6</f>
        <v>729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Entry'!F7</f>
        <v>1</v>
      </c>
      <c r="F7" s="34">
        <f>IF((AND($E$7&gt;0,$D$66&gt;0)),($E$7/$D$66),0)</f>
        <v>1.3717421124828533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728</v>
      </c>
      <c r="P7" s="42">
        <f t="shared" ref="P7:P15" si="4">C7</f>
        <v>110</v>
      </c>
      <c r="Q7" s="42">
        <f>C6-C7</f>
        <v>17484</v>
      </c>
      <c r="R7" s="42">
        <f t="shared" ref="R7:R15" si="5">SUM(N7:Q7)</f>
        <v>18323</v>
      </c>
      <c r="S7" s="30">
        <f t="shared" ref="S7:S15" si="6">R7*((((N7*Q7)-(O7*P7))^2))</f>
        <v>71794263614768</v>
      </c>
      <c r="T7" s="30">
        <f t="shared" ref="T7:T15" si="7">(N7+O7)*(P7+Q7)*(N7+P7)*(O7+Q7)</f>
        <v>25928221991832</v>
      </c>
      <c r="U7" s="31">
        <f t="shared" ref="U7:U15" si="8">IF((S7&gt;0),S7/T7,"- -")</f>
        <v>2.7689620845341758</v>
      </c>
    </row>
    <row r="8" spans="2:21" ht="18" customHeight="1">
      <c r="B8" s="32" t="str">
        <f>'Data Entry'!A8</f>
        <v>3. Refer to Juvenile Court</v>
      </c>
      <c r="C8" s="33">
        <f>'Data Entry'!C8</f>
        <v>263</v>
      </c>
      <c r="D8" s="34">
        <f>IF((AND(C67&gt;0,C8&gt;0)),(C8/C67),0)</f>
        <v>239.09090909090907</v>
      </c>
      <c r="E8" s="33">
        <f>'Data Entry'!F8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263</v>
      </c>
      <c r="Q8" s="42">
        <f>(C$67*L67)-C8</f>
        <v>-153</v>
      </c>
      <c r="R8" s="42">
        <f t="shared" si="5"/>
        <v>111.05000000000001</v>
      </c>
      <c r="S8" s="30">
        <f t="shared" si="6"/>
        <v>3065626.5886250003</v>
      </c>
      <c r="T8" s="30">
        <f t="shared" si="7"/>
        <v>-4663751.3999999994</v>
      </c>
      <c r="U8" s="31">
        <f t="shared" si="8"/>
        <v>-0.65733061771367163</v>
      </c>
    </row>
    <row r="9" spans="2:21" ht="18" customHeight="1">
      <c r="B9" s="32" t="str">
        <f>'Data Entry'!A9</f>
        <v xml:space="preserve">4. Cases Diverted </v>
      </c>
      <c r="C9" s="33">
        <f>'Data Entry'!C9</f>
        <v>171</v>
      </c>
      <c r="D9" s="34">
        <f>IF((AND(C68&gt;0,C9&gt;0)),((C9/C68)),0)</f>
        <v>65.019011406844115</v>
      </c>
      <c r="E9" s="33">
        <f>'Data Entry'!F9</f>
        <v>1</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0</v>
      </c>
      <c r="P9" s="42">
        <f t="shared" si="4"/>
        <v>171</v>
      </c>
      <c r="Q9" s="42">
        <f>(C$68*L68)-C9</f>
        <v>92</v>
      </c>
      <c r="R9" s="42">
        <f t="shared" si="5"/>
        <v>264</v>
      </c>
      <c r="S9" s="30">
        <f t="shared" si="6"/>
        <v>2234496</v>
      </c>
      <c r="T9" s="30">
        <f t="shared" si="7"/>
        <v>4161712</v>
      </c>
      <c r="U9" s="31">
        <f t="shared" si="8"/>
        <v>0.53691749933681143</v>
      </c>
    </row>
    <row r="10" spans="2:21" ht="18" customHeight="1">
      <c r="B10" s="32" t="str">
        <f>'Data Entry'!A10</f>
        <v>5. Cases Involving Secure Detention</v>
      </c>
      <c r="C10" s="33">
        <f>'Data Entry'!C10</f>
        <v>72</v>
      </c>
      <c r="D10" s="34">
        <f>IF(((AND(C68&gt;0,C10&gt;0))),(C10/(C68)),0)</f>
        <v>27.376425855513308</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72</v>
      </c>
      <c r="Q10" s="42">
        <f>(C$68*L68)-C10</f>
        <v>191</v>
      </c>
      <c r="R10" s="42">
        <f t="shared" si="5"/>
        <v>264</v>
      </c>
      <c r="S10" s="30">
        <f t="shared" si="6"/>
        <v>1368576</v>
      </c>
      <c r="T10" s="30">
        <f t="shared" si="7"/>
        <v>3635712</v>
      </c>
      <c r="U10" s="31">
        <f t="shared" si="8"/>
        <v>0.37642585551330798</v>
      </c>
    </row>
    <row r="11" spans="2:21" ht="18" customHeight="1">
      <c r="B11" s="32" t="str">
        <f>'Data Entry'!A11</f>
        <v>6. Cases Petitioned (Charge Filed)</v>
      </c>
      <c r="C11" s="33">
        <f>'Data Entry'!C11</f>
        <v>97</v>
      </c>
      <c r="D11" s="34">
        <f>IF(((AND(C68&gt;0,C11&gt;0))),(C11/(C68)),0)</f>
        <v>36.882129277566541</v>
      </c>
      <c r="E11" s="33">
        <f>'Data Entry'!F11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97</v>
      </c>
      <c r="Q11" s="42">
        <f>(C$68*L68)-C11</f>
        <v>166</v>
      </c>
      <c r="R11" s="42">
        <f t="shared" si="5"/>
        <v>264</v>
      </c>
      <c r="S11" s="30">
        <f t="shared" si="6"/>
        <v>2483976</v>
      </c>
      <c r="T11" s="30">
        <f t="shared" si="7"/>
        <v>4260337</v>
      </c>
      <c r="U11" s="31">
        <f t="shared" si="8"/>
        <v>0.58304683408847702</v>
      </c>
    </row>
    <row r="12" spans="2:21" ht="18" customHeight="1">
      <c r="B12" s="32" t="str">
        <f>'Data Entry'!A12</f>
        <v>7. Cases Resulting in Delinquent Findings</v>
      </c>
      <c r="C12" s="33">
        <f>'Data Entry'!C12</f>
        <v>55</v>
      </c>
      <c r="D12" s="34">
        <f>IF(((AND(C69&gt;0,C12&gt;0))),(C12/(C69)),0)</f>
        <v>56.701030927835056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55</v>
      </c>
      <c r="Q12" s="42">
        <f>(C69*L69)-C12</f>
        <v>42</v>
      </c>
      <c r="R12" s="42">
        <f t="shared" si="5"/>
        <v>97</v>
      </c>
      <c r="S12" s="30">
        <f t="shared" si="6"/>
        <v>0</v>
      </c>
      <c r="T12" s="30">
        <f t="shared" si="7"/>
        <v>0</v>
      </c>
      <c r="U12" s="31" t="str">
        <f t="shared" si="8"/>
        <v>- -</v>
      </c>
    </row>
    <row r="13" spans="2:21" ht="18" customHeight="1">
      <c r="B13" s="32" t="str">
        <f>'Data Entry'!A13</f>
        <v>8. Cases Resulting in Probation Placement</v>
      </c>
      <c r="C13" s="33">
        <f>'Data Entry'!C13</f>
        <v>26</v>
      </c>
      <c r="D13" s="34">
        <f>IF(((AND(C70&gt;0,C13&gt;0))),(C13/(C70)),0)</f>
        <v>47.272727272727266</v>
      </c>
      <c r="E13" s="33">
        <f>'Data Entry'!F13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26</v>
      </c>
      <c r="Q13" s="42">
        <f>(C70*L70)-C13</f>
        <v>29.000000000000007</v>
      </c>
      <c r="R13" s="42">
        <f t="shared" si="5"/>
        <v>55.000000000000007</v>
      </c>
      <c r="S13" s="30">
        <f t="shared" si="6"/>
        <v>166375.00000000006</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97</v>
      </c>
      <c r="R15" s="42">
        <f t="shared" si="5"/>
        <v>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0.72899999999999998</v>
      </c>
      <c r="E42" s="56">
        <f>MAX(C42:D42)</f>
        <v>17.594000000000001</v>
      </c>
      <c r="G42" s="1" t="str">
        <f>B42</f>
        <v>per 1000 youth</v>
      </c>
      <c r="L42" s="57">
        <v>1000</v>
      </c>
      <c r="M42" s="57"/>
      <c r="R42" s="49"/>
    </row>
    <row r="43" spans="2:18" ht="15" hidden="1" customHeight="1">
      <c r="B43" s="49" t="s">
        <v>87</v>
      </c>
      <c r="C43" s="56">
        <f>C7/100</f>
        <v>1.1000000000000001</v>
      </c>
      <c r="D43" s="56">
        <f>E7/100</f>
        <v>0.01</v>
      </c>
      <c r="E43" s="56">
        <f>MAX(C43:D43,0)</f>
        <v>1.1000000000000001</v>
      </c>
      <c r="G43" s="1" t="str">
        <f>B43</f>
        <v>per 100 arrests</v>
      </c>
      <c r="L43" s="57">
        <v>100</v>
      </c>
      <c r="M43" s="57"/>
      <c r="R43" s="49"/>
    </row>
    <row r="44" spans="2:18" ht="15" hidden="1" customHeight="1">
      <c r="B44" s="49" t="s">
        <v>88</v>
      </c>
      <c r="C44" s="56">
        <f>C8/100</f>
        <v>2.63</v>
      </c>
      <c r="D44" s="56">
        <f>E8/100</f>
        <v>0.01</v>
      </c>
      <c r="E44" s="56">
        <f>MAX(C44:D44,0)</f>
        <v>2.63</v>
      </c>
      <c r="G44" s="1" t="str">
        <f>B44</f>
        <v>per 100 referrals</v>
      </c>
      <c r="L44" s="57">
        <v>100</v>
      </c>
      <c r="M44" s="57"/>
      <c r="R44" s="49"/>
    </row>
    <row r="45" spans="2:18" ht="15" hidden="1" customHeight="1">
      <c r="B45" s="49" t="s">
        <v>89</v>
      </c>
      <c r="C45" s="49">
        <f>C11/100</f>
        <v>0.97</v>
      </c>
      <c r="D45" s="49">
        <f>E11/100</f>
        <v>0</v>
      </c>
      <c r="E45" s="56">
        <f>MAX(C45:D45,0)</f>
        <v>0.97</v>
      </c>
      <c r="G45" s="1" t="str">
        <f>B45</f>
        <v>per 100 youth petitioned</v>
      </c>
      <c r="L45" s="57">
        <v>100</v>
      </c>
      <c r="M45" s="57"/>
      <c r="R45" s="49"/>
    </row>
    <row r="46" spans="2:18" ht="15" hidden="1" customHeight="1">
      <c r="B46" s="49" t="s">
        <v>90</v>
      </c>
      <c r="C46" s="49">
        <f>C12/100</f>
        <v>0.55000000000000004</v>
      </c>
      <c r="D46" s="49">
        <f>E12/100</f>
        <v>0</v>
      </c>
      <c r="E46" s="56">
        <f>MAX(C46:D46)</f>
        <v>0.55000000000000004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0.72899999999999998</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1.1000000000000001</v>
      </c>
      <c r="D49" s="49">
        <f t="shared" si="9"/>
        <v>0.01</v>
      </c>
      <c r="E49" s="49">
        <f>MAX(C49:D49)</f>
        <v>1.1000000000000001</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0.01</v>
      </c>
      <c r="E50" s="49">
        <f>MAX(C50:D50)</f>
        <v>2.63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0</v>
      </c>
      <c r="E51" s="49">
        <f>MAX(C51:D51)</f>
        <v>0.97</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0</v>
      </c>
      <c r="E52" s="56">
        <f>MAX(C52:D52)</f>
        <v>0.55000000000000004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0.72899999999999998</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0.01</v>
      </c>
      <c r="E55" s="49">
        <f>MAX(C55:D55)</f>
        <v>1.1000000000000001</v>
      </c>
      <c r="G55" s="1" t="str">
        <f>G49</f>
        <v>per 100 arrests</v>
      </c>
      <c r="L55" s="58">
        <f>IF(($E49&gt;0),L49,L48)</f>
        <v>100</v>
      </c>
      <c r="M55" s="58"/>
    </row>
    <row r="56" spans="2:18" ht="15" hidden="1" customHeight="1">
      <c r="B56" s="49" t="str">
        <f t="shared" si="10"/>
        <v>per 100 referrals</v>
      </c>
      <c r="C56" s="49">
        <f t="shared" si="10"/>
        <v>2.63</v>
      </c>
      <c r="D56" s="49">
        <f t="shared" si="10"/>
        <v>0.01</v>
      </c>
      <c r="E56" s="49">
        <f>MAX(C56:D56)</f>
        <v>2.63</v>
      </c>
      <c r="G56" s="1" t="str">
        <f>G50</f>
        <v>per 100 referrals</v>
      </c>
      <c r="L56" s="58">
        <f>IF(($E50&gt;0),L50,L49)</f>
        <v>100</v>
      </c>
      <c r="M56" s="58"/>
    </row>
    <row r="57" spans="2:18" ht="15" hidden="1" customHeight="1">
      <c r="B57" s="49" t="str">
        <f>IF(($E51&gt;0),B51,B49)</f>
        <v>per 100 youth petitioned</v>
      </c>
      <c r="C57" s="49">
        <f>IF(($E51&gt;0),C51,C50)</f>
        <v>0.97</v>
      </c>
      <c r="D57" s="49">
        <f>IF(($E51&gt;0),D51,D50)</f>
        <v>0</v>
      </c>
      <c r="E57" s="49">
        <f>MAX(C57:D57)</f>
        <v>0.97</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0</v>
      </c>
      <c r="E58" s="56">
        <f>MAX(C58:D58)</f>
        <v>0.55000000000000004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0.72899999999999998</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0.01</v>
      </c>
      <c r="E61" s="49">
        <f>MAX(C61:D61)</f>
        <v>1.1000000000000001</v>
      </c>
      <c r="G61" s="1" t="str">
        <f>G55</f>
        <v>per 100 arrests</v>
      </c>
      <c r="L61" s="58">
        <f>IF(($E55&gt;0),L55,L54)</f>
        <v>100</v>
      </c>
      <c r="M61" s="58"/>
    </row>
    <row r="62" spans="2:18" ht="15" hidden="1" customHeight="1">
      <c r="B62" s="49" t="str">
        <f t="shared" si="11"/>
        <v>per 100 referrals</v>
      </c>
      <c r="C62" s="49">
        <f t="shared" si="11"/>
        <v>2.63</v>
      </c>
      <c r="D62" s="49">
        <f t="shared" si="11"/>
        <v>0.01</v>
      </c>
      <c r="E62" s="49">
        <f>MAX(C62:D62)</f>
        <v>2.63</v>
      </c>
      <c r="G62" s="1" t="str">
        <f>G56</f>
        <v>per 100 referrals</v>
      </c>
      <c r="L62" s="58">
        <f>IF(($E56&gt;0),L56,L55)</f>
        <v>100</v>
      </c>
      <c r="M62" s="58"/>
    </row>
    <row r="63" spans="2:18" ht="15" hidden="1" customHeight="1">
      <c r="B63" s="49" t="str">
        <f>IF(($E57&gt;0),B57,B55)</f>
        <v>per 100 youth petitioned</v>
      </c>
      <c r="C63" s="49">
        <f>IF(($E57&gt;0),C57,C56)</f>
        <v>0.97</v>
      </c>
      <c r="D63" s="49">
        <f>IF(($E57&gt;0),D57,D56)</f>
        <v>0</v>
      </c>
      <c r="E63" s="49">
        <f>MAX(C63:D63)</f>
        <v>0.97</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0.72899999999999998</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0.01</v>
      </c>
      <c r="E67" s="49">
        <f>MAX(C67:D67)</f>
        <v>1.1000000000000001</v>
      </c>
      <c r="G67" s="1" t="str">
        <f>G61</f>
        <v>per 100 arrests</v>
      </c>
      <c r="L67" s="58">
        <f>IF(($E61&gt;0),L61,L60)</f>
        <v>100</v>
      </c>
      <c r="M67" s="58">
        <f>IF((B67=G67),1,2)</f>
        <v>1</v>
      </c>
    </row>
    <row r="68" spans="2:13" ht="15" hidden="1" customHeight="1">
      <c r="B68" s="49" t="str">
        <f t="shared" si="12"/>
        <v>per 100 referrals</v>
      </c>
      <c r="C68" s="49">
        <f t="shared" si="12"/>
        <v>2.63</v>
      </c>
      <c r="D68" s="49">
        <f t="shared" si="12"/>
        <v>0.01</v>
      </c>
      <c r="E68" s="49">
        <f>MAX(C68:D68)</f>
        <v>2.63</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0</v>
      </c>
      <c r="E69" s="49">
        <f>MAX(C69:D69)</f>
        <v>0.97</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0</v>
      </c>
      <c r="E70" s="56">
        <f>MAX(C70:D70)</f>
        <v>0.55000000000000004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Entry'!E6</f>
        <v>2338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Entry'!E7</f>
        <v>7</v>
      </c>
      <c r="F7" s="34">
        <f>IF((AND($E$7&gt;0,$D$66&gt;0)),($E$7/$D$66),0)</f>
        <v>2.9940119760479043</v>
      </c>
      <c r="G7" s="39">
        <f t="shared" ref="G7:G15" si="0">IF(L$6=100,"*",IF(M7=FALSE,"--",IF(K7=20,"**",($F7/$D7))))</f>
        <v>0.47887860642351665</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2331</v>
      </c>
      <c r="P7" s="42">
        <f t="shared" ref="P7:P15" si="4">C7</f>
        <v>110</v>
      </c>
      <c r="Q7" s="42">
        <f>C6-C7</f>
        <v>17484</v>
      </c>
      <c r="R7" s="42">
        <f t="shared" ref="R7:R15" si="5">SUM(N7:Q7)</f>
        <v>19932</v>
      </c>
      <c r="S7" s="30">
        <f t="shared" ref="S7:S15" si="6">R7*((((N7*Q7)-(O7*P7))^2))</f>
        <v>358016520719088</v>
      </c>
      <c r="T7" s="30">
        <f t="shared" ref="T7:T15" si="7">(N7+O7)*(P7+Q7)*(N7+P7)*(O7+Q7)</f>
        <v>95365004340060</v>
      </c>
      <c r="U7" s="31">
        <f t="shared" ref="U7:U15" si="8">IF((S7&gt;0),S7/T7,"- -")</f>
        <v>3.7541708637944864</v>
      </c>
    </row>
    <row r="8" spans="2:21" ht="18" customHeight="1">
      <c r="B8" s="32" t="str">
        <f>'Data Entry'!A8</f>
        <v>3. Refer to Juvenile Court</v>
      </c>
      <c r="C8" s="33">
        <f>'Data Entry'!C8</f>
        <v>263</v>
      </c>
      <c r="D8" s="34">
        <f>IF((AND(C67&gt;0,C8&gt;0)),(C8/C67),0)</f>
        <v>239.09090909090907</v>
      </c>
      <c r="E8" s="33">
        <f>'Data Entry'!E8</f>
        <v>15</v>
      </c>
      <c r="F8" s="34">
        <f>IF((AND($E$8&gt;0,$D$67&gt;0)),($E8/$D67),0)</f>
        <v>214.28571428571428</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15</v>
      </c>
      <c r="O8" s="42">
        <f>((D67*L67)-E8)+0.05</f>
        <v>-7.9499999999999993</v>
      </c>
      <c r="P8" s="42">
        <f t="shared" si="4"/>
        <v>263</v>
      </c>
      <c r="Q8" s="42">
        <f>(C$67*L67)-C8</f>
        <v>-153</v>
      </c>
      <c r="R8" s="42">
        <f t="shared" si="5"/>
        <v>117.05000000000001</v>
      </c>
      <c r="S8" s="30">
        <f t="shared" si="6"/>
        <v>4878318.8936250051</v>
      </c>
      <c r="T8" s="30">
        <f t="shared" si="7"/>
        <v>-34699049.550000004</v>
      </c>
      <c r="U8" s="31">
        <f t="shared" si="8"/>
        <v>-0.14058940970690087</v>
      </c>
    </row>
    <row r="9" spans="2:21" ht="18" customHeight="1">
      <c r="B9" s="32" t="str">
        <f>'Data Entry'!A9</f>
        <v xml:space="preserve">4. Cases Diverted </v>
      </c>
      <c r="C9" s="33">
        <f>'Data Entry'!C9</f>
        <v>171</v>
      </c>
      <c r="D9" s="34">
        <f>IF((AND(C68&gt;0,C9&gt;0)),((C9/C68)),0)</f>
        <v>65.019011406844115</v>
      </c>
      <c r="E9" s="33">
        <f>'Data Entry'!E9</f>
        <v>11</v>
      </c>
      <c r="F9" s="34">
        <f>IF((AND($E$9&gt;0,$D$68&gt;0)),(($E$9/$D$68)),0)</f>
        <v>73.333333333333343</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11</v>
      </c>
      <c r="O9" s="42">
        <f>(D$68*L68)-E9</f>
        <v>4</v>
      </c>
      <c r="P9" s="42">
        <f t="shared" si="4"/>
        <v>171</v>
      </c>
      <c r="Q9" s="42">
        <f>(C$68*L68)-C9</f>
        <v>92</v>
      </c>
      <c r="R9" s="42">
        <f t="shared" si="5"/>
        <v>278</v>
      </c>
      <c r="S9" s="30">
        <f t="shared" si="6"/>
        <v>29908352</v>
      </c>
      <c r="T9" s="30">
        <f t="shared" si="7"/>
        <v>68927040</v>
      </c>
      <c r="U9" s="31">
        <f t="shared" si="8"/>
        <v>0.43391319284855406</v>
      </c>
    </row>
    <row r="10" spans="2:21" ht="18" customHeight="1">
      <c r="B10" s="32" t="str">
        <f>'Data Entry'!A10</f>
        <v>5. Cases Involving Secure Detention</v>
      </c>
      <c r="C10" s="33">
        <f>'Data Entry'!C10</f>
        <v>72</v>
      </c>
      <c r="D10" s="34">
        <f>IF(((AND(C68&gt;0,C10&gt;0))),(C10/(C68)),0)</f>
        <v>27.376425855513308</v>
      </c>
      <c r="E10" s="33">
        <f>'Data Entry'!E10</f>
        <v>0</v>
      </c>
      <c r="F10" s="34">
        <f>IF(((AND($E$10&gt;0,$D$68&gt;0))),($E$10/($D$68)),0)</f>
        <v>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0</v>
      </c>
      <c r="O10" s="42">
        <f>(D$68*L68)-E10</f>
        <v>15</v>
      </c>
      <c r="P10" s="42">
        <f t="shared" si="4"/>
        <v>72</v>
      </c>
      <c r="Q10" s="42">
        <f>(C$68*L68)-C10</f>
        <v>191</v>
      </c>
      <c r="R10" s="42">
        <f t="shared" si="5"/>
        <v>278</v>
      </c>
      <c r="S10" s="30">
        <f t="shared" si="6"/>
        <v>324259200</v>
      </c>
      <c r="T10" s="30">
        <f t="shared" si="7"/>
        <v>58512240</v>
      </c>
      <c r="U10" s="31">
        <f t="shared" si="8"/>
        <v>5.5417328066742959</v>
      </c>
    </row>
    <row r="11" spans="2:21" ht="18" customHeight="1">
      <c r="B11" s="32" t="str">
        <f>'Data Entry'!A11</f>
        <v>6. Cases Petitioned (Charge Filed)</v>
      </c>
      <c r="C11" s="33">
        <f>'Data Entry'!C11</f>
        <v>97</v>
      </c>
      <c r="D11" s="34">
        <f>IF(((AND(C68&gt;0,C11&gt;0))),(C11/(C68)),0)</f>
        <v>36.882129277566541</v>
      </c>
      <c r="E11" s="33">
        <f>'Data Entry'!E11</f>
        <v>4</v>
      </c>
      <c r="F11" s="34">
        <f>IF(((AND($E$11&gt;0,$D$68&gt;0))),($E$11/($D$68)),0)</f>
        <v>26.666666666666668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11</v>
      </c>
      <c r="P11" s="42">
        <f t="shared" si="4"/>
        <v>97</v>
      </c>
      <c r="Q11" s="42">
        <f>(C$68*L68)-C11</f>
        <v>166</v>
      </c>
      <c r="R11" s="42">
        <f t="shared" si="5"/>
        <v>278</v>
      </c>
      <c r="S11" s="30">
        <f t="shared" si="6"/>
        <v>45149702</v>
      </c>
      <c r="T11" s="30">
        <f t="shared" si="7"/>
        <v>70524765</v>
      </c>
      <c r="U11" s="31">
        <f t="shared" si="8"/>
        <v>0.64019641894588375</v>
      </c>
    </row>
    <row r="12" spans="2:21" ht="18" customHeight="1">
      <c r="B12" s="32" t="str">
        <f>'Data Entry'!A12</f>
        <v>7. Cases Resulting in Delinquent Findings</v>
      </c>
      <c r="C12" s="33">
        <f>'Data Entry'!C12</f>
        <v>55</v>
      </c>
      <c r="D12" s="34">
        <f>IF(((AND(C69&gt;0,C12&gt;0))),(C12/(C69)),0)</f>
        <v>56.701030927835056</v>
      </c>
      <c r="E12" s="33">
        <f>'Data Entry'!E12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1</v>
      </c>
      <c r="P12" s="42">
        <f t="shared" si="4"/>
        <v>55</v>
      </c>
      <c r="Q12" s="42">
        <f>(C69*L69)-C12</f>
        <v>42</v>
      </c>
      <c r="R12" s="42">
        <f t="shared" si="5"/>
        <v>101</v>
      </c>
      <c r="S12" s="30">
        <f t="shared" si="6"/>
        <v>509141</v>
      </c>
      <c r="T12" s="30">
        <f t="shared" si="7"/>
        <v>967672</v>
      </c>
      <c r="U12" s="31">
        <f t="shared" si="8"/>
        <v>0.52615038980150297</v>
      </c>
    </row>
    <row r="13" spans="2:21" ht="18" customHeight="1">
      <c r="B13" s="32" t="str">
        <f>'Data Entry'!A13</f>
        <v>8. Cases Resulting in Probation Placement</v>
      </c>
      <c r="C13" s="33">
        <f>'Data Entry'!C13</f>
        <v>26</v>
      </c>
      <c r="D13" s="34">
        <f>IF(((AND(C70&gt;0,C13&gt;0))),(C13/(C70)),0)</f>
        <v>47.272727272727266</v>
      </c>
      <c r="E13" s="33">
        <f>'Data Entry'!E13</f>
        <v>10</v>
      </c>
      <c r="F13" s="34">
        <f>IF(((AND($D$70&gt;0,$E$13&gt;0))),($E$13/($D$70)),0)</f>
        <v>333.33333333333337</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10</v>
      </c>
      <c r="O13" s="42">
        <f>(D70*L70)-E13</f>
        <v>-7</v>
      </c>
      <c r="P13" s="42">
        <f t="shared" si="4"/>
        <v>26</v>
      </c>
      <c r="Q13" s="42">
        <f>(C70*L70)-C13</f>
        <v>29.000000000000007</v>
      </c>
      <c r="R13" s="42">
        <f t="shared" si="5"/>
        <v>58.000000000000007</v>
      </c>
      <c r="S13" s="30">
        <f t="shared" si="6"/>
        <v>12921472.000000006</v>
      </c>
      <c r="T13" s="30">
        <f t="shared" si="7"/>
        <v>130680.00000000006</v>
      </c>
      <c r="U13" s="31">
        <f t="shared" si="8"/>
        <v>98.878726660544842</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55.000000000000007</v>
      </c>
      <c r="R14" s="42">
        <f t="shared" si="5"/>
        <v>58.000000000000007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97</v>
      </c>
      <c r="R15" s="42">
        <f t="shared" si="5"/>
        <v>101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2.3380000000000001</v>
      </c>
      <c r="E42" s="56">
        <f>MAX(C42:D42)</f>
        <v>17.594000000000001</v>
      </c>
      <c r="G42" s="1" t="str">
        <f>B42</f>
        <v>per 1000 youth</v>
      </c>
      <c r="L42" s="57">
        <v>1000</v>
      </c>
      <c r="M42" s="57"/>
      <c r="R42" s="49"/>
    </row>
    <row r="43" spans="2:18" ht="15" hidden="1" customHeight="1">
      <c r="B43" s="49" t="s">
        <v>87</v>
      </c>
      <c r="C43" s="56">
        <f>C7/100</f>
        <v>1.1000000000000001</v>
      </c>
      <c r="D43" s="56">
        <f>E7/100</f>
        <v>7.0000000000000007E-2</v>
      </c>
      <c r="E43" s="56">
        <f>MAX(C43:D43,0)</f>
        <v>1.1000000000000001</v>
      </c>
      <c r="G43" s="1" t="str">
        <f>B43</f>
        <v>per 100 arrests</v>
      </c>
      <c r="L43" s="57">
        <v>100</v>
      </c>
      <c r="M43" s="57"/>
      <c r="R43" s="49"/>
    </row>
    <row r="44" spans="2:18" ht="15" hidden="1" customHeight="1">
      <c r="B44" s="49" t="s">
        <v>88</v>
      </c>
      <c r="C44" s="56">
        <f>C8/100</f>
        <v>2.63</v>
      </c>
      <c r="D44" s="56">
        <f>E8/100</f>
        <v>0.15</v>
      </c>
      <c r="E44" s="56">
        <f>MAX(C44:D44,0)</f>
        <v>2.63</v>
      </c>
      <c r="G44" s="1" t="str">
        <f>B44</f>
        <v>per 100 referrals</v>
      </c>
      <c r="L44" s="57">
        <v>100</v>
      </c>
      <c r="M44" s="57"/>
      <c r="R44" s="49"/>
    </row>
    <row r="45" spans="2:18" ht="15" hidden="1" customHeight="1">
      <c r="B45" s="49" t="s">
        <v>89</v>
      </c>
      <c r="C45" s="49">
        <f>C11/100</f>
        <v>0.97</v>
      </c>
      <c r="D45" s="49">
        <f>E11/100</f>
        <v>0.04</v>
      </c>
      <c r="E45" s="56">
        <f>MAX(C45:D45,0)</f>
        <v>0.97</v>
      </c>
      <c r="G45" s="1" t="str">
        <f>B45</f>
        <v>per 100 youth petitioned</v>
      </c>
      <c r="L45" s="57">
        <v>100</v>
      </c>
      <c r="M45" s="57"/>
      <c r="R45" s="49"/>
    </row>
    <row r="46" spans="2:18" ht="15" hidden="1" customHeight="1">
      <c r="B46" s="49" t="s">
        <v>90</v>
      </c>
      <c r="C46" s="49">
        <f>C12/100</f>
        <v>0.55000000000000004</v>
      </c>
      <c r="D46" s="49">
        <f>E12/100</f>
        <v>0.03</v>
      </c>
      <c r="E46" s="56">
        <f>MAX(C46:D46)</f>
        <v>0.55000000000000004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2.3380000000000001</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1.1000000000000001</v>
      </c>
      <c r="D49" s="49">
        <f t="shared" si="9"/>
        <v>7.0000000000000007E-2</v>
      </c>
      <c r="E49" s="49">
        <f>MAX(C49:D49)</f>
        <v>1.1000000000000001</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0.15</v>
      </c>
      <c r="E50" s="49">
        <f>MAX(C50:D50)</f>
        <v>2.63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0.04</v>
      </c>
      <c r="E51" s="49">
        <f>MAX(C51:D51)</f>
        <v>0.97</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0.03</v>
      </c>
      <c r="E52" s="56">
        <f>MAX(C52:D52)</f>
        <v>0.55000000000000004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2.3380000000000001</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7.0000000000000007E-2</v>
      </c>
      <c r="E55" s="49">
        <f>MAX(C55:D55)</f>
        <v>1.1000000000000001</v>
      </c>
      <c r="G55" s="1" t="str">
        <f>G49</f>
        <v>per 100 arrests</v>
      </c>
      <c r="L55" s="58">
        <f>IF(($E49&gt;0),L49,L48)</f>
        <v>100</v>
      </c>
      <c r="M55" s="58"/>
    </row>
    <row r="56" spans="2:18" ht="15" hidden="1" customHeight="1">
      <c r="B56" s="49" t="str">
        <f t="shared" si="10"/>
        <v>per 100 referrals</v>
      </c>
      <c r="C56" s="49">
        <f t="shared" si="10"/>
        <v>2.63</v>
      </c>
      <c r="D56" s="49">
        <f t="shared" si="10"/>
        <v>0.15</v>
      </c>
      <c r="E56" s="49">
        <f>MAX(C56:D56)</f>
        <v>2.63</v>
      </c>
      <c r="G56" s="1" t="str">
        <f>G50</f>
        <v>per 100 referrals</v>
      </c>
      <c r="L56" s="58">
        <f>IF(($E50&gt;0),L50,L49)</f>
        <v>100</v>
      </c>
      <c r="M56" s="58"/>
    </row>
    <row r="57" spans="2:18" ht="15" hidden="1" customHeight="1">
      <c r="B57" s="49" t="str">
        <f>IF(($E51&gt;0),B51,B49)</f>
        <v>per 100 youth petitioned</v>
      </c>
      <c r="C57" s="49">
        <f>IF(($E51&gt;0),C51,C50)</f>
        <v>0.97</v>
      </c>
      <c r="D57" s="49">
        <f>IF(($E51&gt;0),D51,D50)</f>
        <v>0.04</v>
      </c>
      <c r="E57" s="49">
        <f>MAX(C57:D57)</f>
        <v>0.97</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0.03</v>
      </c>
      <c r="E58" s="56">
        <f>MAX(C58:D58)</f>
        <v>0.55000000000000004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2.3380000000000001</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7.0000000000000007E-2</v>
      </c>
      <c r="E61" s="49">
        <f>MAX(C61:D61)</f>
        <v>1.1000000000000001</v>
      </c>
      <c r="G61" s="1" t="str">
        <f>G55</f>
        <v>per 100 arrests</v>
      </c>
      <c r="L61" s="58">
        <f>IF(($E55&gt;0),L55,L54)</f>
        <v>100</v>
      </c>
      <c r="M61" s="58"/>
    </row>
    <row r="62" spans="2:18" ht="15" hidden="1" customHeight="1">
      <c r="B62" s="49" t="str">
        <f t="shared" si="11"/>
        <v>per 100 referrals</v>
      </c>
      <c r="C62" s="49">
        <f t="shared" si="11"/>
        <v>2.63</v>
      </c>
      <c r="D62" s="49">
        <f t="shared" si="11"/>
        <v>0.15</v>
      </c>
      <c r="E62" s="49">
        <f>MAX(C62:D62)</f>
        <v>2.63</v>
      </c>
      <c r="G62" s="1" t="str">
        <f>G56</f>
        <v>per 100 referrals</v>
      </c>
      <c r="L62" s="58">
        <f>IF(($E56&gt;0),L56,L55)</f>
        <v>100</v>
      </c>
      <c r="M62" s="58"/>
    </row>
    <row r="63" spans="2:18" ht="15" hidden="1" customHeight="1">
      <c r="B63" s="49" t="str">
        <f>IF(($E57&gt;0),B57,B55)</f>
        <v>per 100 youth petitioned</v>
      </c>
      <c r="C63" s="49">
        <f>IF(($E57&gt;0),C57,C56)</f>
        <v>0.97</v>
      </c>
      <c r="D63" s="49">
        <f>IF(($E57&gt;0),D57,D56)</f>
        <v>0.04</v>
      </c>
      <c r="E63" s="49">
        <f>MAX(C63:D63)</f>
        <v>0.97</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0.03</v>
      </c>
      <c r="E64" s="56">
        <f>MAX(C64:D64)</f>
        <v>0.55000000000000004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2.3380000000000001</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7.0000000000000007E-2</v>
      </c>
      <c r="E67" s="49">
        <f>MAX(C67:D67)</f>
        <v>1.1000000000000001</v>
      </c>
      <c r="G67" s="1" t="str">
        <f>G61</f>
        <v>per 100 arrests</v>
      </c>
      <c r="L67" s="58">
        <f>IF(($E61&gt;0),L61,L60)</f>
        <v>100</v>
      </c>
      <c r="M67" s="58">
        <f>IF((B67=G67),1,2)</f>
        <v>1</v>
      </c>
    </row>
    <row r="68" spans="2:13" ht="15" hidden="1" customHeight="1">
      <c r="B68" s="49" t="str">
        <f t="shared" si="12"/>
        <v>per 100 referrals</v>
      </c>
      <c r="C68" s="49">
        <f t="shared" si="12"/>
        <v>2.63</v>
      </c>
      <c r="D68" s="49">
        <f t="shared" si="12"/>
        <v>0.15</v>
      </c>
      <c r="E68" s="49">
        <f>MAX(C68:D68)</f>
        <v>2.63</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0.04</v>
      </c>
      <c r="E69" s="49">
        <f>MAX(C69:D69)</f>
        <v>0.97</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0.03</v>
      </c>
      <c r="E70" s="56">
        <f>MAX(C70:D70)</f>
        <v>0.55000000000000004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110</v>
      </c>
      <c r="Q7" s="42">
        <f>C6-C7</f>
        <v>17484</v>
      </c>
      <c r="R7" s="42">
        <f t="shared" ref="R7:R15" si="5">SUM(N7:Q7)</f>
        <v>17594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263</v>
      </c>
      <c r="D8" s="34">
        <f>IF((AND(C67&gt;0,C8&gt;0)),(C8/C67),0)</f>
        <v>239.09090909090907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263</v>
      </c>
      <c r="Q8" s="42">
        <f>(C$67*L67)-C8</f>
        <v>-153</v>
      </c>
      <c r="R8" s="42">
        <f t="shared" si="5"/>
        <v>110.05000000000001</v>
      </c>
      <c r="S8" s="30">
        <f t="shared" si="6"/>
        <v>19030.121125000005</v>
      </c>
      <c r="T8" s="30">
        <f t="shared" si="7"/>
        <v>-221242.17499999999</v>
      </c>
      <c r="U8" s="31">
        <f t="shared" si="8"/>
        <v>-8.6014889001159056E-2</v>
      </c>
    </row>
    <row r="9" spans="2:21" ht="18" customHeight="1">
      <c r="B9" s="32" t="str">
        <f>'Data Entry'!A9</f>
        <v xml:space="preserve">4. Cases Diverted </v>
      </c>
      <c r="C9" s="33">
        <f>'Data Entry'!C9</f>
        <v>171</v>
      </c>
      <c r="D9" s="34">
        <f>IF((AND(C68&gt;0,C9&gt;0)),((C9/C68)),0)</f>
        <v>65.019011406844115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171</v>
      </c>
      <c r="Q9" s="42">
        <f>(C$68*L68)-C9</f>
        <v>92</v>
      </c>
      <c r="R9" s="42">
        <f t="shared" si="5"/>
        <v>263</v>
      </c>
      <c r="S9" s="30">
        <f t="shared" si="6"/>
        <v>0</v>
      </c>
      <c r="T9" s="30">
        <f t="shared" si="7"/>
        <v>0</v>
      </c>
      <c r="U9" s="31" t="str">
        <f t="shared" si="8"/>
        <v>- -</v>
      </c>
    </row>
    <row r="10" spans="2:21" ht="18" customHeight="1">
      <c r="B10" s="32" t="str">
        <f>'Data Entry'!A10</f>
        <v>5. Cases Involving Secure Detention</v>
      </c>
      <c r="C10" s="33">
        <f>'Data Entry'!C10</f>
        <v>72</v>
      </c>
      <c r="D10" s="34">
        <f>IF(((AND(C68&gt;0,C10&gt;0))),(C10/(C68)),0)</f>
        <v>27.376425855513308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72</v>
      </c>
      <c r="Q10" s="42">
        <f>(C$68*L68)-C10</f>
        <v>191</v>
      </c>
      <c r="R10" s="42">
        <f t="shared" si="5"/>
        <v>263</v>
      </c>
      <c r="S10" s="30">
        <f t="shared" si="6"/>
        <v>0</v>
      </c>
      <c r="T10" s="30">
        <f t="shared" si="7"/>
        <v>0</v>
      </c>
      <c r="U10" s="31" t="str">
        <f t="shared" si="8"/>
        <v>- -</v>
      </c>
    </row>
    <row r="11" spans="2:21" ht="18" customHeight="1">
      <c r="B11" s="32" t="str">
        <f>'Data Entry'!A11</f>
        <v>6. Cases Petitioned (Charge Filed)</v>
      </c>
      <c r="C11" s="33">
        <f>'Data Entry'!C11</f>
        <v>97</v>
      </c>
      <c r="D11" s="34">
        <f>IF(((AND(C68&gt;0,C11&gt;0))),(C11/(C68)),0)</f>
        <v>36.882129277566541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97</v>
      </c>
      <c r="Q11" s="42">
        <f>(C$68*L68)-C11</f>
        <v>166</v>
      </c>
      <c r="R11" s="42">
        <f t="shared" si="5"/>
        <v>263</v>
      </c>
      <c r="S11" s="30">
        <f t="shared" si="6"/>
        <v>0</v>
      </c>
      <c r="T11" s="30">
        <f t="shared" si="7"/>
        <v>0</v>
      </c>
      <c r="U11" s="31" t="str">
        <f t="shared" si="8"/>
        <v>- -</v>
      </c>
    </row>
    <row r="12" spans="2:21" ht="18" customHeight="1">
      <c r="B12" s="32" t="str">
        <f>'Data Entry'!A12</f>
        <v>7. Cases Resulting in Delinquent Findings</v>
      </c>
      <c r="C12" s="33">
        <f>'Data Entry'!C12</f>
        <v>55</v>
      </c>
      <c r="D12" s="34">
        <f>IF(((AND(C69&gt;0,C12&gt;0))),(C12/(C69)),0)</f>
        <v>56.701030927835056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55</v>
      </c>
      <c r="Q12" s="42">
        <f>(C69*L69)-C12</f>
        <v>42</v>
      </c>
      <c r="R12" s="42">
        <f t="shared" si="5"/>
        <v>97</v>
      </c>
      <c r="S12" s="30">
        <f t="shared" si="6"/>
        <v>0</v>
      </c>
      <c r="T12" s="30">
        <f t="shared" si="7"/>
        <v>0</v>
      </c>
      <c r="U12" s="31" t="str">
        <f t="shared" si="8"/>
        <v>- -</v>
      </c>
    </row>
    <row r="13" spans="2:21" ht="18" customHeight="1">
      <c r="B13" s="32" t="str">
        <f>'Data Entry'!A13</f>
        <v>8. Cases Resulting in Probation Placement</v>
      </c>
      <c r="C13" s="33">
        <f>'Data Entry'!C13</f>
        <v>26</v>
      </c>
      <c r="D13" s="34">
        <f>IF(((AND(C70&gt;0,C13&gt;0))),(C13/(C70)),0)</f>
        <v>47.272727272727266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26</v>
      </c>
      <c r="Q13" s="42">
        <f>(C70*L70)-C13</f>
        <v>29.000000000000007</v>
      </c>
      <c r="R13" s="42">
        <f t="shared" si="5"/>
        <v>55.000000000000007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97</v>
      </c>
      <c r="R15" s="42">
        <f t="shared" si="5"/>
        <v>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0</v>
      </c>
      <c r="E42" s="56">
        <f>MAX(C42:D42)</f>
        <v>17.594000000000001</v>
      </c>
      <c r="G42" s="1" t="str">
        <f>B42</f>
        <v>per 1000 youth</v>
      </c>
      <c r="L42" s="57">
        <v>1000</v>
      </c>
      <c r="M42" s="57"/>
      <c r="R42" s="49"/>
    </row>
    <row r="43" spans="2:18" ht="15" hidden="1" customHeight="1">
      <c r="B43" s="49" t="s">
        <v>87</v>
      </c>
      <c r="C43" s="56">
        <f>C7/100</f>
        <v>1.1000000000000001</v>
      </c>
      <c r="D43" s="56">
        <f>E7/100</f>
        <v>0</v>
      </c>
      <c r="E43" s="56">
        <f>MAX(C43:D43,0)</f>
        <v>1.1000000000000001</v>
      </c>
      <c r="G43" s="1" t="str">
        <f>B43</f>
        <v>per 100 arrests</v>
      </c>
      <c r="L43" s="57">
        <v>100</v>
      </c>
      <c r="M43" s="57"/>
      <c r="R43" s="49"/>
    </row>
    <row r="44" spans="2:18" ht="15" hidden="1" customHeight="1">
      <c r="B44" s="49" t="s">
        <v>88</v>
      </c>
      <c r="C44" s="56">
        <f>C8/100</f>
        <v>2.63</v>
      </c>
      <c r="D44" s="56">
        <f>E8/100</f>
        <v>0</v>
      </c>
      <c r="E44" s="56">
        <f>MAX(C44:D44,0)</f>
        <v>2.63</v>
      </c>
      <c r="G44" s="1" t="str">
        <f>B44</f>
        <v>per 100 referrals</v>
      </c>
      <c r="L44" s="57">
        <v>100</v>
      </c>
      <c r="M44" s="57"/>
      <c r="R44" s="49"/>
    </row>
    <row r="45" spans="2:18" ht="15" hidden="1" customHeight="1">
      <c r="B45" s="49" t="s">
        <v>89</v>
      </c>
      <c r="C45" s="49">
        <f>C11/100</f>
        <v>0.97</v>
      </c>
      <c r="D45" s="49">
        <f>E11/100</f>
        <v>0</v>
      </c>
      <c r="E45" s="56">
        <f>MAX(C45:D45,0)</f>
        <v>0.97</v>
      </c>
      <c r="G45" s="1" t="str">
        <f>B45</f>
        <v>per 100 youth petitioned</v>
      </c>
      <c r="L45" s="57">
        <v>100</v>
      </c>
      <c r="M45" s="57"/>
      <c r="R45" s="49"/>
    </row>
    <row r="46" spans="2:18" ht="15" hidden="1" customHeight="1">
      <c r="B46" s="49" t="s">
        <v>90</v>
      </c>
      <c r="C46" s="49">
        <f>C12/100</f>
        <v>0.55000000000000004</v>
      </c>
      <c r="D46" s="49">
        <f>E12/100</f>
        <v>0</v>
      </c>
      <c r="E46" s="56">
        <f>MAX(C46:D46)</f>
        <v>0.55000000000000004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0</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1.1000000000000001</v>
      </c>
      <c r="D49" s="49">
        <f t="shared" si="9"/>
        <v>0</v>
      </c>
      <c r="E49" s="49">
        <f>MAX(C49:D49)</f>
        <v>1.1000000000000001</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0</v>
      </c>
      <c r="E50" s="49">
        <f>MAX(C50:D50)</f>
        <v>2.63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0</v>
      </c>
      <c r="E51" s="49">
        <f>MAX(C51:D51)</f>
        <v>0.97</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0</v>
      </c>
      <c r="E52" s="56">
        <f>MAX(C52:D52)</f>
        <v>0.55000000000000004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0</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0</v>
      </c>
      <c r="E55" s="49">
        <f>MAX(C55:D55)</f>
        <v>1.1000000000000001</v>
      </c>
      <c r="G55" s="1" t="str">
        <f>G49</f>
        <v>per 100 arrests</v>
      </c>
      <c r="L55" s="58">
        <f>IF(($E49&gt;0),L49,L48)</f>
        <v>100</v>
      </c>
      <c r="M55" s="58"/>
    </row>
    <row r="56" spans="2:18" ht="15" hidden="1" customHeight="1">
      <c r="B56" s="49" t="str">
        <f t="shared" si="10"/>
        <v>per 100 referrals</v>
      </c>
      <c r="C56" s="49">
        <f t="shared" si="10"/>
        <v>2.63</v>
      </c>
      <c r="D56" s="49">
        <f t="shared" si="10"/>
        <v>0</v>
      </c>
      <c r="E56" s="49">
        <f>MAX(C56:D56)</f>
        <v>2.63</v>
      </c>
      <c r="G56" s="1" t="str">
        <f>G50</f>
        <v>per 100 referrals</v>
      </c>
      <c r="L56" s="58">
        <f>IF(($E50&gt;0),L50,L49)</f>
        <v>100</v>
      </c>
      <c r="M56" s="58"/>
    </row>
    <row r="57" spans="2:18" ht="15" hidden="1" customHeight="1">
      <c r="B57" s="49" t="str">
        <f>IF(($E51&gt;0),B51,B49)</f>
        <v>per 100 youth petitioned</v>
      </c>
      <c r="C57" s="49">
        <f>IF(($E51&gt;0),C51,C50)</f>
        <v>0.97</v>
      </c>
      <c r="D57" s="49">
        <f>IF(($E51&gt;0),D51,D50)</f>
        <v>0</v>
      </c>
      <c r="E57" s="49">
        <f>MAX(C57:D57)</f>
        <v>0.97</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0</v>
      </c>
      <c r="E58" s="56">
        <f>MAX(C58:D58)</f>
        <v>0.55000000000000004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0</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0</v>
      </c>
      <c r="E61" s="49">
        <f>MAX(C61:D61)</f>
        <v>1.1000000000000001</v>
      </c>
      <c r="G61" s="1" t="str">
        <f>G55</f>
        <v>per 100 arrests</v>
      </c>
      <c r="L61" s="58">
        <f>IF(($E55&gt;0),L55,L54)</f>
        <v>100</v>
      </c>
      <c r="M61" s="58"/>
    </row>
    <row r="62" spans="2:18" ht="15" hidden="1" customHeight="1">
      <c r="B62" s="49" t="str">
        <f t="shared" si="11"/>
        <v>per 100 referrals</v>
      </c>
      <c r="C62" s="49">
        <f t="shared" si="11"/>
        <v>2.63</v>
      </c>
      <c r="D62" s="49">
        <f t="shared" si="11"/>
        <v>0</v>
      </c>
      <c r="E62" s="49">
        <f>MAX(C62:D62)</f>
        <v>2.63</v>
      </c>
      <c r="G62" s="1" t="str">
        <f>G56</f>
        <v>per 100 referrals</v>
      </c>
      <c r="L62" s="58">
        <f>IF(($E56&gt;0),L56,L55)</f>
        <v>100</v>
      </c>
      <c r="M62" s="58"/>
    </row>
    <row r="63" spans="2:18" ht="15" hidden="1" customHeight="1">
      <c r="B63" s="49" t="str">
        <f>IF(($E57&gt;0),B57,B55)</f>
        <v>per 100 youth petitioned</v>
      </c>
      <c r="C63" s="49">
        <f>IF(($E57&gt;0),C57,C56)</f>
        <v>0.97</v>
      </c>
      <c r="D63" s="49">
        <f>IF(($E57&gt;0),D57,D56)</f>
        <v>0</v>
      </c>
      <c r="E63" s="49">
        <f>MAX(C63:D63)</f>
        <v>0.97</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0</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0</v>
      </c>
      <c r="E67" s="49">
        <f>MAX(C67:D67)</f>
        <v>1.1000000000000001</v>
      </c>
      <c r="G67" s="1" t="str">
        <f>G61</f>
        <v>per 100 arrests</v>
      </c>
      <c r="L67" s="58">
        <f>IF(($E61&gt;0),L61,L60)</f>
        <v>100</v>
      </c>
      <c r="M67" s="58">
        <f>IF((B67=G67),1,2)</f>
        <v>1</v>
      </c>
    </row>
    <row r="68" spans="2:13" ht="15" hidden="1" customHeight="1">
      <c r="B68" s="49" t="str">
        <f t="shared" si="12"/>
        <v>per 100 referrals</v>
      </c>
      <c r="C68" s="49">
        <f t="shared" si="12"/>
        <v>2.63</v>
      </c>
      <c r="D68" s="49">
        <f t="shared" si="12"/>
        <v>0</v>
      </c>
      <c r="E68" s="49">
        <f>MAX(C68:D68)</f>
        <v>2.63</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0</v>
      </c>
      <c r="E69" s="49">
        <f>MAX(C69:D69)</f>
        <v>0.97</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0</v>
      </c>
      <c r="E70" s="56">
        <f>MAX(C70:D70)</f>
        <v>0.55000000000000004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17594</v>
      </c>
      <c r="D6" s="34"/>
      <c r="E6" s="33">
        <f>'Data Entry'!H6</f>
        <v>125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110</v>
      </c>
      <c r="D7" s="34">
        <f>IF((AND(C66&gt;0,C7&gt;0)),(C7/C66),0)</f>
        <v>6.2521314084346935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125</v>
      </c>
      <c r="P7" s="42">
        <f t="shared" ref="P7:P15" si="4">C7</f>
        <v>110</v>
      </c>
      <c r="Q7" s="42">
        <f>C6-C7</f>
        <v>17484</v>
      </c>
      <c r="R7" s="42">
        <f t="shared" ref="R7:R15" si="5">SUM(N7:Q7)</f>
        <v>17719</v>
      </c>
      <c r="S7" s="30">
        <f t="shared" ref="S7:S15" si="6">R7*((((N7*Q7)-(O7*P7))^2))</f>
        <v>3349998437500</v>
      </c>
      <c r="T7" s="30">
        <f t="shared" ref="T7:T15" si="7">(N7+O7)*(P7+Q7)*(N7+P7)*(O7+Q7)</f>
        <v>4259925257500</v>
      </c>
      <c r="U7" s="31">
        <f t="shared" ref="U7:U15" si="8">IF((S7&gt;0),S7/T7,"- -")</f>
        <v>0.7863984072495197</v>
      </c>
    </row>
    <row r="8" spans="2:21" ht="18" customHeight="1">
      <c r="B8" s="32" t="str">
        <f>'Data Entry'!A8</f>
        <v>3. Refer to Juvenile Court</v>
      </c>
      <c r="C8" s="33">
        <f>'Data Entry'!C8</f>
        <v>263</v>
      </c>
      <c r="D8" s="34">
        <f>IF((AND(C67&gt;0,C8&gt;0)),(C8/C67),0)</f>
        <v>239.09090909090907</v>
      </c>
      <c r="E8" s="33">
        <f>'Data Entry'!H8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263</v>
      </c>
      <c r="Q8" s="42">
        <f>(C$67*L67)-C8</f>
        <v>-153</v>
      </c>
      <c r="R8" s="42">
        <f t="shared" si="5"/>
        <v>110.05000000000001</v>
      </c>
      <c r="S8" s="30">
        <f t="shared" si="6"/>
        <v>1032260.4711249999</v>
      </c>
      <c r="T8" s="30">
        <f t="shared" si="7"/>
        <v>-223535.4000000002</v>
      </c>
      <c r="U8" s="31">
        <f t="shared" si="8"/>
        <v>-4.6178836601495741</v>
      </c>
    </row>
    <row r="9" spans="2:21" ht="18" customHeight="1">
      <c r="B9" s="32" t="str">
        <f>'Data Entry'!A9</f>
        <v xml:space="preserve">4. Cases Diverted </v>
      </c>
      <c r="C9" s="33">
        <f>'Data Entry'!C9</f>
        <v>171</v>
      </c>
      <c r="D9" s="34">
        <f>IF((AND(C68&gt;0,C9&gt;0)),((C9/C68)),0)</f>
        <v>65.019011406844115</v>
      </c>
      <c r="E9" s="33">
        <f>'Data Entry'!H9</f>
        <v>1</v>
      </c>
      <c r="F9" s="34">
        <f>IF((AND($E$9&gt;0,$D$68&gt;0)),(($E$9/$D$68)),0)</f>
        <v>100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0</v>
      </c>
      <c r="P9" s="42">
        <f t="shared" si="4"/>
        <v>171</v>
      </c>
      <c r="Q9" s="42">
        <f>(C$68*L68)-C9</f>
        <v>92</v>
      </c>
      <c r="R9" s="42">
        <f t="shared" si="5"/>
        <v>264</v>
      </c>
      <c r="S9" s="30">
        <f t="shared" si="6"/>
        <v>2234496</v>
      </c>
      <c r="T9" s="30">
        <f t="shared" si="7"/>
        <v>4161712</v>
      </c>
      <c r="U9" s="31">
        <f t="shared" si="8"/>
        <v>0.53691749933681143</v>
      </c>
    </row>
    <row r="10" spans="2:21" ht="18" customHeight="1">
      <c r="B10" s="32" t="str">
        <f>'Data Entry'!A10</f>
        <v>5. Cases Involving Secure Detention</v>
      </c>
      <c r="C10" s="33">
        <f>'Data Entry'!C10</f>
        <v>72</v>
      </c>
      <c r="D10" s="34">
        <f>IF(((AND(C68&gt;0,C10&gt;0))),(C10/(C68)),0)</f>
        <v>27.376425855513308</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72</v>
      </c>
      <c r="Q10" s="42">
        <f>(C$68*L68)-C10</f>
        <v>191</v>
      </c>
      <c r="R10" s="42">
        <f t="shared" si="5"/>
        <v>264</v>
      </c>
      <c r="S10" s="30">
        <f t="shared" si="6"/>
        <v>1368576</v>
      </c>
      <c r="T10" s="30">
        <f t="shared" si="7"/>
        <v>3635712</v>
      </c>
      <c r="U10" s="31">
        <f t="shared" si="8"/>
        <v>0.37642585551330798</v>
      </c>
    </row>
    <row r="11" spans="2:21" ht="18" customHeight="1">
      <c r="B11" s="32" t="str">
        <f>'Data Entry'!A11</f>
        <v>6. Cases Petitioned (Charge Filed)</v>
      </c>
      <c r="C11" s="33">
        <f>'Data Entry'!C11</f>
        <v>97</v>
      </c>
      <c r="D11" s="34">
        <f>IF(((AND(C68&gt;0,C11&gt;0))),(C11/(C68)),0)</f>
        <v>36.882129277566541</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97</v>
      </c>
      <c r="Q11" s="42">
        <f>(C$68*L68)-C11</f>
        <v>166</v>
      </c>
      <c r="R11" s="42">
        <f t="shared" si="5"/>
        <v>264</v>
      </c>
      <c r="S11" s="30">
        <f t="shared" si="6"/>
        <v>2483976</v>
      </c>
      <c r="T11" s="30">
        <f t="shared" si="7"/>
        <v>4260337</v>
      </c>
      <c r="U11" s="31">
        <f t="shared" si="8"/>
        <v>0.58304683408847702</v>
      </c>
    </row>
    <row r="12" spans="2:21" ht="18" customHeight="1">
      <c r="B12" s="32" t="str">
        <f>'Data Entry'!A12</f>
        <v>7. Cases Resulting in Delinquent Findings</v>
      </c>
      <c r="C12" s="33">
        <f>'Data Entry'!C12</f>
        <v>55</v>
      </c>
      <c r="D12" s="34">
        <f>IF(((AND(C69&gt;0,C12&gt;0))),(C12/(C69)),0)</f>
        <v>56.701030927835056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55</v>
      </c>
      <c r="Q12" s="42">
        <f>(C69*L69)-C12</f>
        <v>42</v>
      </c>
      <c r="R12" s="42">
        <f t="shared" si="5"/>
        <v>97</v>
      </c>
      <c r="S12" s="30">
        <f t="shared" si="6"/>
        <v>0</v>
      </c>
      <c r="T12" s="30">
        <f t="shared" si="7"/>
        <v>0</v>
      </c>
      <c r="U12" s="31" t="str">
        <f t="shared" si="8"/>
        <v>- -</v>
      </c>
    </row>
    <row r="13" spans="2:21" ht="18" customHeight="1">
      <c r="B13" s="32" t="str">
        <f>'Data Entry'!A13</f>
        <v>8. Cases Resulting in Probation Placement</v>
      </c>
      <c r="C13" s="33">
        <f>'Data Entry'!C13</f>
        <v>26</v>
      </c>
      <c r="D13" s="34">
        <f>IF(((AND(C70&gt;0,C13&gt;0))),(C13/(C70)),0)</f>
        <v>47.272727272727266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26</v>
      </c>
      <c r="Q13" s="42">
        <f>(C70*L70)-C13</f>
        <v>29.000000000000007</v>
      </c>
      <c r="R13" s="42">
        <f t="shared" si="5"/>
        <v>55.000000000000007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55.000000000000007</v>
      </c>
      <c r="R14" s="42">
        <f t="shared" si="5"/>
        <v>55.000000000000007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97</v>
      </c>
      <c r="R15" s="42">
        <f t="shared" si="5"/>
        <v>97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17.594000000000001</v>
      </c>
      <c r="D42" s="56">
        <f>E6/1000</f>
        <v>0.125</v>
      </c>
      <c r="E42" s="56">
        <f>MAX(C42:D42)</f>
        <v>17.594000000000001</v>
      </c>
      <c r="G42" s="1" t="str">
        <f>B42</f>
        <v>per 1000 youth</v>
      </c>
      <c r="L42" s="57">
        <v>1000</v>
      </c>
      <c r="M42" s="57"/>
      <c r="R42" s="49"/>
    </row>
    <row r="43" spans="2:18" ht="15" hidden="1" customHeight="1">
      <c r="B43" s="49" t="s">
        <v>87</v>
      </c>
      <c r="C43" s="56">
        <f>C7/100</f>
        <v>1.1000000000000001</v>
      </c>
      <c r="D43" s="56">
        <f>E7/100</f>
        <v>0</v>
      </c>
      <c r="E43" s="56">
        <f>MAX(C43:D43,0)</f>
        <v>1.1000000000000001</v>
      </c>
      <c r="G43" s="1" t="str">
        <f>B43</f>
        <v>per 100 arrests</v>
      </c>
      <c r="L43" s="57">
        <v>100</v>
      </c>
      <c r="M43" s="57"/>
      <c r="R43" s="49"/>
    </row>
    <row r="44" spans="2:18" ht="15" hidden="1" customHeight="1">
      <c r="B44" s="49" t="s">
        <v>88</v>
      </c>
      <c r="C44" s="56">
        <f>C8/100</f>
        <v>2.63</v>
      </c>
      <c r="D44" s="56">
        <f>E8/100</f>
        <v>0.01</v>
      </c>
      <c r="E44" s="56">
        <f>MAX(C44:D44,0)</f>
        <v>2.63</v>
      </c>
      <c r="G44" s="1" t="str">
        <f>B44</f>
        <v>per 100 referrals</v>
      </c>
      <c r="L44" s="57">
        <v>100</v>
      </c>
      <c r="M44" s="57"/>
      <c r="R44" s="49"/>
    </row>
    <row r="45" spans="2:18" ht="15" hidden="1" customHeight="1">
      <c r="B45" s="49" t="s">
        <v>89</v>
      </c>
      <c r="C45" s="49">
        <f>C11/100</f>
        <v>0.97</v>
      </c>
      <c r="D45" s="49">
        <f>E11/100</f>
        <v>0</v>
      </c>
      <c r="E45" s="56">
        <f>MAX(C45:D45,0)</f>
        <v>0.97</v>
      </c>
      <c r="G45" s="1" t="str">
        <f>B45</f>
        <v>per 100 youth petitioned</v>
      </c>
      <c r="L45" s="57">
        <v>100</v>
      </c>
      <c r="M45" s="57"/>
      <c r="R45" s="49"/>
    </row>
    <row r="46" spans="2:18" ht="15" hidden="1" customHeight="1">
      <c r="B46" s="49" t="s">
        <v>90</v>
      </c>
      <c r="C46" s="49">
        <f>C12/100</f>
        <v>0.55000000000000004</v>
      </c>
      <c r="D46" s="49">
        <f>E12/100</f>
        <v>0</v>
      </c>
      <c r="E46" s="56">
        <f>MAX(C46:D46)</f>
        <v>0.55000000000000004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17.594000000000001</v>
      </c>
      <c r="D48" s="56">
        <f>D42</f>
        <v>0.125</v>
      </c>
      <c r="E48" s="56">
        <f>MAX(C48:D48)</f>
        <v>17.594000000000001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1.1000000000000001</v>
      </c>
      <c r="D49" s="49">
        <f t="shared" si="9"/>
        <v>0</v>
      </c>
      <c r="E49" s="49">
        <f>MAX(C49:D49)</f>
        <v>1.1000000000000001</v>
      </c>
      <c r="G49" s="1" t="str">
        <f>G43</f>
        <v>per 100 arrests</v>
      </c>
      <c r="L49" s="58">
        <f>IF(($E43&gt;0),L43,L42)</f>
        <v>100</v>
      </c>
      <c r="M49" s="58"/>
      <c r="N49" s="21"/>
      <c r="O49" s="21"/>
      <c r="P49" s="21"/>
      <c r="Q49" s="21"/>
      <c r="R49" s="21"/>
    </row>
    <row r="50" spans="2:18" ht="15" hidden="1" customHeight="1">
      <c r="B50" s="49" t="str">
        <f t="shared" si="9"/>
        <v>per 100 referrals</v>
      </c>
      <c r="C50" s="49">
        <f t="shared" si="9"/>
        <v>2.63</v>
      </c>
      <c r="D50" s="49">
        <f t="shared" si="9"/>
        <v>0.01</v>
      </c>
      <c r="E50" s="49">
        <f>MAX(C50:D50)</f>
        <v>2.63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0.97</v>
      </c>
      <c r="D51" s="49">
        <f>IF(($E45&gt;0),D45,D44)</f>
        <v>0</v>
      </c>
      <c r="E51" s="49">
        <f>MAX(C51:D51)</f>
        <v>0.97</v>
      </c>
      <c r="G51" s="1" t="str">
        <f>G45</f>
        <v>per 100 youth petitioned</v>
      </c>
      <c r="L51" s="58">
        <f>IF(($E45&gt;0),L45,L44)</f>
        <v>100</v>
      </c>
      <c r="M51" s="58"/>
    </row>
    <row r="52" spans="2:18" ht="15" hidden="1" customHeight="1">
      <c r="B52" s="49" t="str">
        <f>IF(($E46&gt;0),B46,B45)</f>
        <v>per 100 youth found delinquent</v>
      </c>
      <c r="C52" s="49">
        <f>IF(($E46&gt;0),C46,C45)</f>
        <v>0.55000000000000004</v>
      </c>
      <c r="D52" s="49">
        <f>IF(($E46&gt;0),D46,D45)</f>
        <v>0</v>
      </c>
      <c r="E52" s="56">
        <f>MAX(C52:D52)</f>
        <v>0.55000000000000004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17.594000000000001</v>
      </c>
      <c r="D54" s="56">
        <f>D48</f>
        <v>0.125</v>
      </c>
      <c r="E54" s="56">
        <f>MAX(C54:D54)</f>
        <v>17.594000000000001</v>
      </c>
      <c r="G54" s="1" t="str">
        <f>G48</f>
        <v>per 1000 youth</v>
      </c>
      <c r="L54" s="58">
        <f>L48</f>
        <v>1000</v>
      </c>
      <c r="M54" s="58"/>
    </row>
    <row r="55" spans="2:18" ht="15" hidden="1" customHeight="1">
      <c r="B55" s="49" t="str">
        <f t="shared" ref="B55:D56" si="10">IF(($E49&gt;0),B49,B48)</f>
        <v>per 100 arrests</v>
      </c>
      <c r="C55" s="49">
        <f t="shared" si="10"/>
        <v>1.1000000000000001</v>
      </c>
      <c r="D55" s="49">
        <f t="shared" si="10"/>
        <v>0</v>
      </c>
      <c r="E55" s="49">
        <f>MAX(C55:D55)</f>
        <v>1.1000000000000001</v>
      </c>
      <c r="G55" s="1" t="str">
        <f>G49</f>
        <v>per 100 arrests</v>
      </c>
      <c r="L55" s="58">
        <f>IF(($E49&gt;0),L49,L48)</f>
        <v>100</v>
      </c>
      <c r="M55" s="58"/>
    </row>
    <row r="56" spans="2:18" ht="15" hidden="1" customHeight="1">
      <c r="B56" s="49" t="str">
        <f t="shared" si="10"/>
        <v>per 100 referrals</v>
      </c>
      <c r="C56" s="49">
        <f t="shared" si="10"/>
        <v>2.63</v>
      </c>
      <c r="D56" s="49">
        <f t="shared" si="10"/>
        <v>0.01</v>
      </c>
      <c r="E56" s="49">
        <f>MAX(C56:D56)</f>
        <v>2.63</v>
      </c>
      <c r="G56" s="1" t="str">
        <f>G50</f>
        <v>per 100 referrals</v>
      </c>
      <c r="L56" s="58">
        <f>IF(($E50&gt;0),L50,L49)</f>
        <v>100</v>
      </c>
      <c r="M56" s="58"/>
    </row>
    <row r="57" spans="2:18" ht="15" hidden="1" customHeight="1">
      <c r="B57" s="49" t="str">
        <f>IF(($E51&gt;0),B51,B49)</f>
        <v>per 100 youth petitioned</v>
      </c>
      <c r="C57" s="49">
        <f>IF(($E51&gt;0),C51,C50)</f>
        <v>0.97</v>
      </c>
      <c r="D57" s="49">
        <f>IF(($E51&gt;0),D51,D50)</f>
        <v>0</v>
      </c>
      <c r="E57" s="49">
        <f>MAX(C57:D57)</f>
        <v>0.97</v>
      </c>
      <c r="G57" s="1" t="str">
        <f>G51</f>
        <v>per 100 youth petitioned</v>
      </c>
      <c r="L57" s="58">
        <f>IF(($E51&gt;0),L51,L50)</f>
        <v>100</v>
      </c>
      <c r="M57" s="58"/>
    </row>
    <row r="58" spans="2:18" ht="15" hidden="1" customHeight="1">
      <c r="B58" s="49" t="str">
        <f>IF(($E52&gt;0),B52,B51)</f>
        <v>per 100 youth found delinquent</v>
      </c>
      <c r="C58" s="49">
        <f>IF(($E52&gt;0),C52,C51)</f>
        <v>0.55000000000000004</v>
      </c>
      <c r="D58" s="49">
        <f>IF(($E52&gt;0),D52,D51)</f>
        <v>0</v>
      </c>
      <c r="E58" s="56">
        <f>MAX(C58:D58)</f>
        <v>0.55000000000000004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17.594000000000001</v>
      </c>
      <c r="D60" s="56">
        <f>D54</f>
        <v>0.125</v>
      </c>
      <c r="E60" s="56">
        <f>MAX(C60:D60)</f>
        <v>17.594000000000001</v>
      </c>
      <c r="G60" s="1" t="str">
        <f>G54</f>
        <v>per 1000 youth</v>
      </c>
      <c r="L60" s="58">
        <f>L54</f>
        <v>1000</v>
      </c>
      <c r="M60" s="58"/>
    </row>
    <row r="61" spans="2:18" ht="15" hidden="1" customHeight="1">
      <c r="B61" s="49" t="str">
        <f t="shared" ref="B61:D62" si="11">IF(($E55&gt;0),B55,B54)</f>
        <v>per 100 arrests</v>
      </c>
      <c r="C61" s="49">
        <f t="shared" si="11"/>
        <v>1.1000000000000001</v>
      </c>
      <c r="D61" s="49">
        <f t="shared" si="11"/>
        <v>0</v>
      </c>
      <c r="E61" s="49">
        <f>MAX(C61:D61)</f>
        <v>1.1000000000000001</v>
      </c>
      <c r="G61" s="1" t="str">
        <f>G55</f>
        <v>per 100 arrests</v>
      </c>
      <c r="L61" s="58">
        <f>IF(($E55&gt;0),L55,L54)</f>
        <v>100</v>
      </c>
      <c r="M61" s="58"/>
    </row>
    <row r="62" spans="2:18" ht="15" hidden="1" customHeight="1">
      <c r="B62" s="49" t="str">
        <f t="shared" si="11"/>
        <v>per 100 referrals</v>
      </c>
      <c r="C62" s="49">
        <f t="shared" si="11"/>
        <v>2.63</v>
      </c>
      <c r="D62" s="49">
        <f t="shared" si="11"/>
        <v>0.01</v>
      </c>
      <c r="E62" s="49">
        <f>MAX(C62:D62)</f>
        <v>2.63</v>
      </c>
      <c r="G62" s="1" t="str">
        <f>G56</f>
        <v>per 100 referrals</v>
      </c>
      <c r="L62" s="58">
        <f>IF(($E56&gt;0),L56,L55)</f>
        <v>100</v>
      </c>
      <c r="M62" s="58"/>
    </row>
    <row r="63" spans="2:18" ht="15" hidden="1" customHeight="1">
      <c r="B63" s="49" t="str">
        <f>IF(($E57&gt;0),B57,B55)</f>
        <v>per 100 youth petitioned</v>
      </c>
      <c r="C63" s="49">
        <f>IF(($E57&gt;0),C57,C56)</f>
        <v>0.97</v>
      </c>
      <c r="D63" s="49">
        <f>IF(($E57&gt;0),D57,D56)</f>
        <v>0</v>
      </c>
      <c r="E63" s="49">
        <f>MAX(C63:D63)</f>
        <v>0.97</v>
      </c>
      <c r="G63" s="1" t="str">
        <f>G57</f>
        <v>per 100 youth petitioned</v>
      </c>
      <c r="L63" s="58">
        <f>IF(($E57&gt;0),L57,L56)</f>
        <v>100</v>
      </c>
      <c r="M63" s="58"/>
    </row>
    <row r="64" spans="2:18" ht="15" hidden="1" customHeight="1">
      <c r="B64" s="49" t="str">
        <f>IF(($E58&gt;0),B58,B57)</f>
        <v>per 100 youth found delinquent</v>
      </c>
      <c r="C64" s="49">
        <f>IF(($E58&gt;0),C58,C57)</f>
        <v>0.55000000000000004</v>
      </c>
      <c r="D64" s="49">
        <f>IF(($E58&gt;0),D58,D57)</f>
        <v>0</v>
      </c>
      <c r="E64" s="56">
        <f>MAX(C64:D64)</f>
        <v>0.55000000000000004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17.594000000000001</v>
      </c>
      <c r="D66" s="56">
        <f>D60</f>
        <v>0.125</v>
      </c>
      <c r="E66" s="56">
        <f>MAX(C66:D66)</f>
        <v>17.594000000000001</v>
      </c>
      <c r="G66" s="1" t="str">
        <f>G60</f>
        <v>per 1000 youth</v>
      </c>
      <c r="L66" s="58">
        <f>L60</f>
        <v>1000</v>
      </c>
      <c r="M66" s="58">
        <f>IF((B66=G66),1,2)</f>
        <v>1</v>
      </c>
    </row>
    <row r="67" spans="2:13" ht="15" hidden="1" customHeight="1">
      <c r="B67" s="49" t="str">
        <f t="shared" ref="B67:D68" si="12">IF(($E61&gt;0),B61,B60)</f>
        <v>per 100 arrests</v>
      </c>
      <c r="C67" s="49">
        <f t="shared" si="12"/>
        <v>1.1000000000000001</v>
      </c>
      <c r="D67" s="49">
        <f t="shared" si="12"/>
        <v>0</v>
      </c>
      <c r="E67" s="49">
        <f>MAX(C67:D67)</f>
        <v>1.1000000000000001</v>
      </c>
      <c r="G67" s="1" t="str">
        <f>G61</f>
        <v>per 100 arrests</v>
      </c>
      <c r="L67" s="58">
        <f>IF(($E61&gt;0),L61,L60)</f>
        <v>100</v>
      </c>
      <c r="M67" s="58">
        <f>IF((B67=G67),1,2)</f>
        <v>1</v>
      </c>
    </row>
    <row r="68" spans="2:13" ht="15" hidden="1" customHeight="1">
      <c r="B68" s="49" t="str">
        <f t="shared" si="12"/>
        <v>per 100 referrals</v>
      </c>
      <c r="C68" s="49">
        <f t="shared" si="12"/>
        <v>2.63</v>
      </c>
      <c r="D68" s="49">
        <f t="shared" si="12"/>
        <v>0.01</v>
      </c>
      <c r="E68" s="49">
        <f>MAX(C68:D68)</f>
        <v>2.63</v>
      </c>
      <c r="G68" s="1" t="str">
        <f>G62</f>
        <v>per 100 referrals</v>
      </c>
      <c r="L68" s="58">
        <f>IF(($E62&gt;0),L62,L61)</f>
        <v>100</v>
      </c>
      <c r="M68" s="58">
        <f>IF((B68=G68),1,2)</f>
        <v>1</v>
      </c>
    </row>
    <row r="69" spans="2:13" ht="15" hidden="1" customHeight="1">
      <c r="B69" s="49" t="str">
        <f>IF(($E63&gt;0),B63,B61)</f>
        <v>per 100 youth petitioned</v>
      </c>
      <c r="C69" s="49">
        <f>IF(($E63&gt;0),C63,C62)</f>
        <v>0.97</v>
      </c>
      <c r="D69" s="49">
        <f>IF(($E63&gt;0),D63,D62)</f>
        <v>0</v>
      </c>
      <c r="E69" s="49">
        <f>MAX(C69:D69)</f>
        <v>0.97</v>
      </c>
      <c r="G69" s="1" t="str">
        <f>G63</f>
        <v>per 100 youth petitioned</v>
      </c>
      <c r="L69" s="58">
        <f>IF(($E63&gt;0),L63,L62)</f>
        <v>100</v>
      </c>
      <c r="M69" s="58">
        <f>IF((B69=G69),1,2)</f>
        <v>1</v>
      </c>
    </row>
    <row r="70" spans="2:13" ht="15" hidden="1" customHeight="1">
      <c r="B70" s="49" t="str">
        <f>IF(($E64&gt;0),B64,B63)</f>
        <v>per 100 youth found delinquent</v>
      </c>
      <c r="C70" s="49">
        <f>IF(($E64&gt;0),C64,C63)</f>
        <v>0.55000000000000004</v>
      </c>
      <c r="D70" s="49">
        <f>IF(($E64&gt;0),D64,D63)</f>
        <v>0</v>
      </c>
      <c r="E70" s="56">
        <f>MAX(C70:D70)</f>
        <v>0.55000000000000004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U47JMPN4QEAR-1806752177-35357</_dlc_DocId>
    <_dlc_DocIdUrl xmlns="ac3811b5-0f3e-49e2-ba69-f2ffa0c782af">
      <Url>https://michiganphi.sharepoint.com/sites/CMDMC/_layouts/15/DocIdRedir.aspx?ID=U47JMPN4QEAR-1806752177-35357</Url>
      <Description>U47JMPN4QEAR-1806752177-35357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F37DF9D-0C58-47F0-8D24-6A5FAE62D98D}">
  <ds:schemaRefs>
    <ds:schemaRef ds:uri="http://schemas.microsoft.com/sharepoint/v3/contenttype/forms"/>
  </ds:schemaRefs>
</ds:datastoreItem>
</file>

<file path=customXml/itemProps2.xml><?xml version="1.0" encoding="utf-8"?>
<ds:datastoreItem xmlns:ds="http://schemas.openxmlformats.org/officeDocument/2006/customXml" ds:itemID="{13B514C7-E1FB-4B68-B9F6-ADAC9127569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CADB9196-47BF-4CDC-A504-6729D2744E8B}"/>
</file>

<file path=customXml/itemProps4.xml><?xml version="1.0" encoding="utf-8"?>
<ds:datastoreItem xmlns:ds="http://schemas.openxmlformats.org/officeDocument/2006/customXml" ds:itemID="{DE6B134B-5452-4EA7-9168-FCF74209EE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1b80ba47-1c54-4b6a-bec2-51acd850bc6f</vt:lpwstr>
  </property>
</Properties>
</file>