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43" documentId="8_{469DCC53-8243-4E01-ACF7-59FD35F1E18F}" xr6:coauthVersionLast="47" xr6:coauthVersionMax="47" xr10:uidLastSave="{573D7449-98B4-4F9A-B64F-670FE63F7658}"/>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J9" i="1" l="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s="1"/>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s="1"/>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L54" i="7" s="1"/>
  <c r="L60" i="7" s="1"/>
  <c r="L66" i="7" s="1"/>
  <c r="G50" i="7"/>
  <c r="G56" i="7" s="1"/>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L54" i="8" s="1"/>
  <c r="L60" i="8" s="1"/>
  <c r="L66"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7"/>
  <c r="F27" i="7"/>
  <c r="F27" i="4"/>
  <c r="M66" i="4"/>
  <c r="F27" i="5"/>
  <c r="M66" i="5"/>
  <c r="F27" i="2"/>
  <c r="M66" i="2"/>
  <c r="F27" i="3"/>
  <c r="M66" i="3"/>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10" i="16"/>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C50" i="6" s="1"/>
  <c r="E43" i="7"/>
  <c r="B49" i="7" s="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D52" i="3"/>
  <c r="L52" i="7"/>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B50" i="6"/>
  <c r="D50" i="6"/>
  <c r="E50" i="6" s="1"/>
  <c r="L50" i="6"/>
  <c r="D50" i="5"/>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C54" i="7"/>
  <c r="E48" i="7"/>
  <c r="E49" i="6"/>
  <c r="E49" i="7"/>
  <c r="E48" i="5"/>
  <c r="C54" i="5"/>
  <c r="C54" i="6"/>
  <c r="E48" i="6"/>
  <c r="B51" i="6"/>
  <c r="D51" i="6"/>
  <c r="C51" i="6"/>
  <c r="L51" i="6"/>
  <c r="D51" i="2" l="1"/>
  <c r="L56" i="5"/>
  <c r="L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64" i="5"/>
  <c r="D64" i="5"/>
  <c r="C64" i="5"/>
  <c r="L56" i="8"/>
  <c r="E58" i="8"/>
  <c r="L64" i="8" s="1"/>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E64" i="5"/>
  <c r="C64" i="8"/>
  <c r="C63" i="3"/>
  <c r="E57" i="8"/>
  <c r="B63" i="8" s="1"/>
  <c r="Q8" i="13"/>
  <c r="I7" i="9"/>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E63" i="3" l="1"/>
  <c r="C69" i="3" s="1"/>
  <c r="D15" i="3" s="1"/>
  <c r="E64" i="8"/>
  <c r="B70" i="8" s="1"/>
  <c r="M70" i="8" s="1"/>
  <c r="D70" i="6"/>
  <c r="F14" i="6" s="1"/>
  <c r="C70" i="6"/>
  <c r="D13" i="6" s="1"/>
  <c r="L70" i="5"/>
  <c r="B70" i="5"/>
  <c r="F33" i="5" s="1"/>
  <c r="D70" i="5"/>
  <c r="F14" i="5" s="1"/>
  <c r="C70" i="3"/>
  <c r="D14" i="3" s="1"/>
  <c r="L70" i="6"/>
  <c r="C70" i="5"/>
  <c r="D13" i="5" s="1"/>
  <c r="L69" i="7"/>
  <c r="C69" i="7"/>
  <c r="D12" i="7" s="1"/>
  <c r="C63" i="8"/>
  <c r="L63" i="8"/>
  <c r="D63" i="8"/>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2" i="3" l="1"/>
  <c r="L69" i="3"/>
  <c r="Q12" i="3" s="1"/>
  <c r="D69" i="3"/>
  <c r="E69" i="3" s="1"/>
  <c r="B69" i="3"/>
  <c r="M69" i="3" s="1"/>
  <c r="F13" i="6"/>
  <c r="L70" i="8"/>
  <c r="D70" i="8"/>
  <c r="F13" i="8" s="1"/>
  <c r="C70" i="8"/>
  <c r="D14" i="8" s="1"/>
  <c r="O13" i="6"/>
  <c r="E70" i="6"/>
  <c r="Q15" i="7"/>
  <c r="O14" i="5"/>
  <c r="B69" i="6"/>
  <c r="M69" i="6" s="1"/>
  <c r="Q13" i="6"/>
  <c r="Q14" i="6"/>
  <c r="D14" i="6"/>
  <c r="O14" i="6"/>
  <c r="F34" i="5"/>
  <c r="M70" i="5"/>
  <c r="O13" i="5"/>
  <c r="F13" i="5"/>
  <c r="E70" i="5"/>
  <c r="Q14" i="3"/>
  <c r="Q14" i="5"/>
  <c r="Q13" i="3"/>
  <c r="D13" i="3"/>
  <c r="D15" i="7"/>
  <c r="Q13" i="5"/>
  <c r="D14" i="5"/>
  <c r="Q12" i="7"/>
  <c r="F14" i="3"/>
  <c r="O13" i="3"/>
  <c r="F12" i="7"/>
  <c r="E69" i="7"/>
  <c r="O12" i="7"/>
  <c r="O15" i="7"/>
  <c r="E63" i="8"/>
  <c r="D69" i="8" s="1"/>
  <c r="F15" i="8" s="1"/>
  <c r="E70" i="3"/>
  <c r="F33" i="3"/>
  <c r="F34" i="3"/>
  <c r="C69" i="6"/>
  <c r="D12" i="6" s="1"/>
  <c r="O14" i="3"/>
  <c r="D69" i="6"/>
  <c r="F12" i="6" s="1"/>
  <c r="T10" i="3"/>
  <c r="K10" i="4"/>
  <c r="F8" i="7"/>
  <c r="T9" i="4"/>
  <c r="T11" i="4"/>
  <c r="U11" i="4" s="1"/>
  <c r="J11" i="4" s="1"/>
  <c r="K11" i="4"/>
  <c r="R10" i="4"/>
  <c r="S10" i="4"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F32" i="2"/>
  <c r="R10" i="3"/>
  <c r="S10" i="3" s="1"/>
  <c r="F8" i="2"/>
  <c r="T14" i="4"/>
  <c r="B70" i="2"/>
  <c r="F33" i="2" s="1"/>
  <c r="D69" i="5"/>
  <c r="O15" i="5" s="1"/>
  <c r="F32" i="3"/>
  <c r="F34" i="7"/>
  <c r="M70" i="7"/>
  <c r="O13" i="7"/>
  <c r="K11" i="3"/>
  <c r="R11" i="3"/>
  <c r="S11" i="3" s="1"/>
  <c r="U11" i="3" s="1"/>
  <c r="J11" i="3" s="1"/>
  <c r="M11" i="3" s="1"/>
  <c r="L68" i="7"/>
  <c r="Q9" i="7" s="1"/>
  <c r="C69" i="5"/>
  <c r="Q12" i="5" s="1"/>
  <c r="B69" i="5"/>
  <c r="F32" i="5" s="1"/>
  <c r="D68" i="7"/>
  <c r="E68" i="7" s="1"/>
  <c r="B68" i="7"/>
  <c r="F31" i="7" s="1"/>
  <c r="K9" i="3"/>
  <c r="K10" i="3"/>
  <c r="R14" i="4"/>
  <c r="S14" i="4" s="1"/>
  <c r="U14" i="4" s="1"/>
  <c r="J14" i="4" s="1"/>
  <c r="D13" i="7"/>
  <c r="O12" i="3"/>
  <c r="R12" i="3" s="1"/>
  <c r="S12" i="3" s="1"/>
  <c r="R9" i="3"/>
  <c r="S9" i="3" s="1"/>
  <c r="T9" i="3"/>
  <c r="F34" i="8"/>
  <c r="F33" i="8"/>
  <c r="C70" i="2"/>
  <c r="D14" i="2" s="1"/>
  <c r="O15" i="3"/>
  <c r="Q15" i="3"/>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3" l="1"/>
  <c r="T14" i="5"/>
  <c r="O13" i="8"/>
  <c r="O14" i="8"/>
  <c r="Q14" i="8"/>
  <c r="D13" i="8"/>
  <c r="K14" i="5"/>
  <c r="E70" i="8"/>
  <c r="F14" i="8"/>
  <c r="Q13" i="8"/>
  <c r="T13" i="6"/>
  <c r="R15" i="7"/>
  <c r="S15" i="7" s="1"/>
  <c r="U15" i="7" s="1"/>
  <c r="J15" i="7" s="1"/>
  <c r="M15" i="7" s="1"/>
  <c r="R13" i="5"/>
  <c r="S13" i="5" s="1"/>
  <c r="U13" i="5" s="1"/>
  <c r="J13" i="5" s="1"/>
  <c r="M13" i="5" s="1"/>
  <c r="U10" i="3"/>
  <c r="J10" i="3" s="1"/>
  <c r="M10" i="3" s="1"/>
  <c r="G10" i="3" s="1"/>
  <c r="U10" i="4"/>
  <c r="J10" i="4" s="1"/>
  <c r="M10" i="4" s="1"/>
  <c r="G10" i="4" s="1"/>
  <c r="G9" i="4"/>
  <c r="G10" i="16" s="1"/>
  <c r="F32" i="6"/>
  <c r="F35" i="6"/>
  <c r="K13" i="5"/>
  <c r="R14" i="5"/>
  <c r="S14" i="5" s="1"/>
  <c r="U14" i="5" s="1"/>
  <c r="J14" i="5" s="1"/>
  <c r="M14" i="5" s="1"/>
  <c r="T13" i="5"/>
  <c r="T14" i="6"/>
  <c r="G11" i="3"/>
  <c r="I12" i="16" s="1"/>
  <c r="T14" i="3"/>
  <c r="R14" i="6"/>
  <c r="S14" i="6" s="1"/>
  <c r="U14" i="6" s="1"/>
  <c r="J14" i="6" s="1"/>
  <c r="M14" i="6" s="1"/>
  <c r="G14" i="6" s="1"/>
  <c r="M15" i="13" s="1"/>
  <c r="K14" i="6"/>
  <c r="K13" i="3"/>
  <c r="K13" i="6"/>
  <c r="R13" i="6"/>
  <c r="S13" i="6" s="1"/>
  <c r="U13" i="6" s="1"/>
  <c r="J13" i="6" s="1"/>
  <c r="M13" i="6" s="1"/>
  <c r="G13" i="6" s="1"/>
  <c r="G13" i="9" s="1"/>
  <c r="R13" i="3"/>
  <c r="S13" i="3" s="1"/>
  <c r="T13" i="3"/>
  <c r="T12" i="7"/>
  <c r="D15" i="6"/>
  <c r="F12" i="8"/>
  <c r="L69" i="8"/>
  <c r="O15" i="8" s="1"/>
  <c r="B69" i="8"/>
  <c r="M69" i="8" s="1"/>
  <c r="C69" i="8"/>
  <c r="E69" i="8" s="1"/>
  <c r="K15" i="7"/>
  <c r="R12" i="7"/>
  <c r="S12" i="7" s="1"/>
  <c r="K12" i="7"/>
  <c r="T15" i="7"/>
  <c r="O12" i="6"/>
  <c r="Q12" i="6"/>
  <c r="Q15" i="6"/>
  <c r="R14" i="3"/>
  <c r="S14" i="3" s="1"/>
  <c r="E69" i="6"/>
  <c r="K14" i="3"/>
  <c r="O15" i="6"/>
  <c r="F15" i="6"/>
  <c r="L13" i="4"/>
  <c r="O14" i="16" s="1"/>
  <c r="L11" i="4"/>
  <c r="O12" i="16" s="1"/>
  <c r="K8" i="7"/>
  <c r="O13" i="2"/>
  <c r="T8" i="7"/>
  <c r="U8" i="7" s="1"/>
  <c r="J8" i="7" s="1"/>
  <c r="M8" i="7" s="1"/>
  <c r="T13" i="7"/>
  <c r="Q10" i="7"/>
  <c r="F13" i="2"/>
  <c r="Q11" i="7"/>
  <c r="R8" i="6"/>
  <c r="S8" i="6" s="1"/>
  <c r="F14" i="2"/>
  <c r="F10" i="7"/>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D13" i="2"/>
  <c r="E70" i="2"/>
  <c r="Q14" i="2"/>
  <c r="K14" i="2" s="1"/>
  <c r="M13" i="4"/>
  <c r="G13" i="4" s="1"/>
  <c r="G14" i="16" s="1"/>
  <c r="L9" i="4"/>
  <c r="O10" i="16" s="1"/>
  <c r="R13" i="7"/>
  <c r="S13" i="7" s="1"/>
  <c r="Q13" i="2"/>
  <c r="U9" i="3"/>
  <c r="J9" i="3" s="1"/>
  <c r="L9" i="3" s="1"/>
  <c r="K15" i="3"/>
  <c r="T15" i="3"/>
  <c r="K13" i="7"/>
  <c r="T8" i="2"/>
  <c r="U8" i="2" s="1"/>
  <c r="J8" i="2" s="1"/>
  <c r="M11" i="4"/>
  <c r="G11" i="4" s="1"/>
  <c r="T14" i="7"/>
  <c r="U14" i="7" s="1"/>
  <c r="J14" i="7" s="1"/>
  <c r="K14" i="7"/>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4" i="8" l="1"/>
  <c r="T14" i="8"/>
  <c r="R13" i="8"/>
  <c r="S13" i="8" s="1"/>
  <c r="R14" i="8"/>
  <c r="S14" i="8" s="1"/>
  <c r="U14" i="8" s="1"/>
  <c r="J14" i="8" s="1"/>
  <c r="N30" i="8" s="1"/>
  <c r="K13" i="8"/>
  <c r="T13" i="8"/>
  <c r="L15" i="7"/>
  <c r="S16" i="16" s="1"/>
  <c r="L10" i="3"/>
  <c r="P11" i="16" s="1"/>
  <c r="L13" i="5"/>
  <c r="Q14" i="16" s="1"/>
  <c r="L10" i="4"/>
  <c r="O11" i="16" s="1"/>
  <c r="G11" i="16"/>
  <c r="G11" i="13"/>
  <c r="D10" i="9"/>
  <c r="U12" i="7"/>
  <c r="J12" i="7" s="1"/>
  <c r="M12" i="7" s="1"/>
  <c r="I11" i="16"/>
  <c r="E10" i="9"/>
  <c r="D9" i="9"/>
  <c r="G10" i="13"/>
  <c r="F32" i="8"/>
  <c r="L14" i="5"/>
  <c r="Q15" i="16" s="1"/>
  <c r="N30" i="5"/>
  <c r="F35" i="8"/>
  <c r="K12" i="6"/>
  <c r="I12" i="13"/>
  <c r="E11" i="9"/>
  <c r="U14" i="3"/>
  <c r="J14" i="3" s="1"/>
  <c r="M14" i="3" s="1"/>
  <c r="G14" i="3" s="1"/>
  <c r="I15" i="16" s="1"/>
  <c r="U13" i="7"/>
  <c r="J13" i="7" s="1"/>
  <c r="M13" i="7" s="1"/>
  <c r="M14" i="13"/>
  <c r="L13" i="6"/>
  <c r="R14" i="16" s="1"/>
  <c r="U13" i="3"/>
  <c r="J13" i="3" s="1"/>
  <c r="T12" i="6"/>
  <c r="D15" i="8"/>
  <c r="D12" i="8"/>
  <c r="Q12" i="8"/>
  <c r="O12" i="8"/>
  <c r="Q15" i="8"/>
  <c r="R15" i="8" s="1"/>
  <c r="S15" i="8" s="1"/>
  <c r="R12" i="6"/>
  <c r="S12" i="6" s="1"/>
  <c r="U12" i="6" s="1"/>
  <c r="J12" i="6" s="1"/>
  <c r="M12" i="6" s="1"/>
  <c r="G12" i="6" s="1"/>
  <c r="I11" i="13"/>
  <c r="T15" i="6"/>
  <c r="K15" i="6"/>
  <c r="R15" i="6"/>
  <c r="S15" i="6" s="1"/>
  <c r="U15" i="6" s="1"/>
  <c r="J15" i="6" s="1"/>
  <c r="M15" i="6" s="1"/>
  <c r="G15" i="6" s="1"/>
  <c r="M13" i="9"/>
  <c r="U14" i="13"/>
  <c r="U12" i="13"/>
  <c r="M11" i="9"/>
  <c r="T13" i="2"/>
  <c r="U8" i="6"/>
  <c r="J8" i="6" s="1"/>
  <c r="M8" i="6" s="1"/>
  <c r="G8" i="6" s="1"/>
  <c r="M9" i="13" s="1"/>
  <c r="R13" i="2"/>
  <c r="S13" i="2" s="1"/>
  <c r="G14" i="9"/>
  <c r="R10" i="7"/>
  <c r="S10" i="7" s="1"/>
  <c r="T11" i="7"/>
  <c r="T10" i="7"/>
  <c r="L8" i="2"/>
  <c r="N9" i="16" s="1"/>
  <c r="K13" i="2"/>
  <c r="R15" i="5"/>
  <c r="S15" i="5" s="1"/>
  <c r="U15" i="5" s="1"/>
  <c r="J15" i="5" s="1"/>
  <c r="M15" i="5" s="1"/>
  <c r="K11" i="7"/>
  <c r="T9" i="7"/>
  <c r="U9" i="7" s="1"/>
  <c r="J9" i="7" s="1"/>
  <c r="M9" i="7" s="1"/>
  <c r="N30" i="6"/>
  <c r="R11" i="7"/>
  <c r="S11" i="7" s="1"/>
  <c r="L14" i="6"/>
  <c r="R15" i="16" s="1"/>
  <c r="K12" i="5"/>
  <c r="L12" i="5" s="1"/>
  <c r="Q13" i="16" s="1"/>
  <c r="T12" i="5"/>
  <c r="K10" i="7"/>
  <c r="R14" i="2"/>
  <c r="S14" i="2" s="1"/>
  <c r="D13" i="9"/>
  <c r="G14" i="13"/>
  <c r="K9" i="7"/>
  <c r="T14" i="2"/>
  <c r="V12" i="13"/>
  <c r="U10" i="13"/>
  <c r="N11" i="9"/>
  <c r="T15" i="5"/>
  <c r="W14" i="13"/>
  <c r="L15" i="3"/>
  <c r="P16" i="16" s="1"/>
  <c r="M9" i="3"/>
  <c r="G9" i="3" s="1"/>
  <c r="I10" i="13" s="1"/>
  <c r="G12" i="13"/>
  <c r="G12" i="16"/>
  <c r="N9" i="9"/>
  <c r="P10" i="16"/>
  <c r="M14" i="7"/>
  <c r="N30" i="7"/>
  <c r="L14" i="7"/>
  <c r="S15" i="16" s="1"/>
  <c r="L8" i="7"/>
  <c r="S9" i="16" s="1"/>
  <c r="M9" i="9"/>
  <c r="V10"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3" i="8" l="1"/>
  <c r="J13" i="8" s="1"/>
  <c r="M13" i="8" s="1"/>
  <c r="G13" i="8" s="1"/>
  <c r="I13" i="9" s="1"/>
  <c r="O13" i="9"/>
  <c r="Q15" i="9"/>
  <c r="Y16" i="13"/>
  <c r="V11" i="13"/>
  <c r="N10" i="9"/>
  <c r="O14" i="9"/>
  <c r="M10" i="9"/>
  <c r="U11" i="13"/>
  <c r="W15" i="13"/>
  <c r="L12" i="7"/>
  <c r="Y13" i="13" s="1"/>
  <c r="L13" i="7"/>
  <c r="S14" i="16" s="1"/>
  <c r="K15" i="8"/>
  <c r="N30" i="3"/>
  <c r="L14" i="3"/>
  <c r="U14" i="2"/>
  <c r="J14" i="2" s="1"/>
  <c r="M14" i="2" s="1"/>
  <c r="G14" i="2" s="1"/>
  <c r="E15" i="16" s="1"/>
  <c r="E14" i="9"/>
  <c r="I15" i="13"/>
  <c r="X14" i="13"/>
  <c r="M13" i="3"/>
  <c r="G13" i="3" s="1"/>
  <c r="L13" i="3"/>
  <c r="P13" i="9"/>
  <c r="U13" i="2"/>
  <c r="J13" i="2" s="1"/>
  <c r="M13" i="2" s="1"/>
  <c r="G13" i="2" s="1"/>
  <c r="E14" i="16" s="1"/>
  <c r="T12" i="8"/>
  <c r="U11" i="7"/>
  <c r="J11" i="7" s="1"/>
  <c r="L11" i="7" s="1"/>
  <c r="S12" i="16" s="1"/>
  <c r="L15" i="6"/>
  <c r="R16" i="16" s="1"/>
  <c r="L14" i="8"/>
  <c r="T15" i="16" s="1"/>
  <c r="K12" i="8"/>
  <c r="T15" i="8"/>
  <c r="U15" i="8" s="1"/>
  <c r="J15" i="8" s="1"/>
  <c r="M15" i="8" s="1"/>
  <c r="G15" i="8" s="1"/>
  <c r="K16" i="16" s="1"/>
  <c r="R12" i="8"/>
  <c r="S12" i="8" s="1"/>
  <c r="M14" i="8"/>
  <c r="G14" i="8" s="1"/>
  <c r="K15" i="16" s="1"/>
  <c r="L12" i="6"/>
  <c r="R13" i="16" s="1"/>
  <c r="U10" i="7"/>
  <c r="J10" i="7" s="1"/>
  <c r="L10" i="7" s="1"/>
  <c r="S11"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L15" i="8" l="1"/>
  <c r="T16" i="16" s="1"/>
  <c r="L13" i="8"/>
  <c r="T14" i="16" s="1"/>
  <c r="Q14" i="13"/>
  <c r="K14" i="16"/>
  <c r="Y14" i="13"/>
  <c r="Q13" i="9"/>
  <c r="S13" i="16"/>
  <c r="Q12" i="9"/>
  <c r="P15" i="9"/>
  <c r="Q15" i="13"/>
  <c r="M10" i="7"/>
  <c r="M11" i="7"/>
  <c r="C14" i="9"/>
  <c r="E14" i="13"/>
  <c r="L13" i="2"/>
  <c r="N14" i="16" s="1"/>
  <c r="P15" i="16"/>
  <c r="N14" i="9"/>
  <c r="V15" i="13"/>
  <c r="N30" i="2"/>
  <c r="I14" i="9"/>
  <c r="L14" i="2"/>
  <c r="N15" i="16" s="1"/>
  <c r="E15" i="13"/>
  <c r="C13" i="9"/>
  <c r="P14" i="16"/>
  <c r="N13" i="9"/>
  <c r="V14" i="13"/>
  <c r="E13" i="9"/>
  <c r="I14" i="13"/>
  <c r="I14" i="16"/>
  <c r="U12" i="8"/>
  <c r="J12" i="8" s="1"/>
  <c r="M12" i="8" s="1"/>
  <c r="G12" i="8" s="1"/>
  <c r="K13" i="16" s="1"/>
  <c r="Z15" i="13"/>
  <c r="X16" i="13"/>
  <c r="R14" i="9"/>
  <c r="X13"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4" i="13" l="1"/>
  <c r="R13" i="9"/>
  <c r="L14" i="9"/>
  <c r="T15" i="13"/>
  <c r="T14" i="13"/>
  <c r="L13" i="9"/>
  <c r="L12" i="8"/>
  <c r="T13" i="16" s="1"/>
  <c r="I12" i="9"/>
  <c r="Q13" i="13"/>
  <c r="R9" i="9"/>
  <c r="Z10" i="13"/>
  <c r="R10" i="9"/>
  <c r="Z11" i="13"/>
  <c r="I11" i="9"/>
  <c r="Q12" i="13"/>
  <c r="I10" i="9"/>
  <c r="Q11" i="13"/>
  <c r="R11" i="9"/>
  <c r="Z12" i="13"/>
  <c r="Z13" i="13"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<sst xmlns="http://schemas.openxmlformats.org/spreadsheetml/2006/main" count="654" uniqueCount="141">
  <si>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</si>
  <si>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</si>
  <si>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</si>
  <si>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</si>
  <si>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</si>
  <si>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</si>
  <si>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</si>
  <si>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</si>
  <si>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</si>
  <si>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</si>
  <si>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</si>
  <si>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</si>
  <si>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</si>
  <si>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</si>
  <si>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</si>
  <si>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</si>
  <si>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</si>
  <si>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</si>
  <si>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</si>
  <si>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</si>
  <si>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</si>
  <si>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</si>
  <si>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</si>
  <si>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</si>
  <si>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</si>
  <si>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</si>
  <si>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</si>
  <si>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</si>
  <si>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</si>
  <si>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</si>
  <si>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</si>
  <si>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</si>
  <si>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</si>
  <si>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</si>
  <si>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</si>
  <si>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</si>
  <si>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</si>
  <si>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</si>
  <si>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</si>
  <si>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</si>
  <si>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</si>
  <si>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</si>
  <si>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</si>
  <si>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</si>
  <si>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</si>
  <si>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</si>
  <si>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</si>
  <si>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</si>
  <si>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</si>
  <si>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</si>
  <si>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</si>
  <si>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</si>
  <si>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</si>
  <si>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</si>
  <si>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</si>
  <si>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</si>
  <si>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</si>
  <si>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</si>
  <si>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</si>
  <si>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</si>
  <si>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</si>
  <si>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</si>
  <si>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</si>
  <si>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</si>
  <si>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</si>
  <si>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</si>
  <si>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</si>
  <si>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</si>
  <si>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</si>
  <si>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</si>
  <si>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</si>
  <si>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</si>
  <si>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</si>
  <si>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</si>
  <si>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</si>
  <si>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</si>
  <si>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</si>
  <si>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</si>
  <si>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</si>
  <si>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</si>
  <si>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</si>
  <si>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</si>
  <si>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</si>
  <si>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</si>
  <si>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</si>
  <si>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</si>
  <si>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</si>
  <si>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</si>
  <si>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</si>
  <si>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</si>
  <si>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</si>
  <si>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</si>
  <si>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</si>
  <si>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</si>
  <si>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</si>
  <si>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</si>
  <si>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</si>
  <si>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</si>
  <si>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</si>
  <si>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</si>
  <si>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</si>
  <si>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</si>
  <si>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</si>
  <si>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</si>
  <si>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</si>
  <si>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</si>
  <si>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</si>
  <si>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</si>
  <si>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</si>
  <si>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</si>
  <si>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</si>
  <si>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</si>
  <si>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</si>
  <si>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</si>
  <si>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</si>
  <si>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</si>
  <si>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</si>
  <si>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</si>
  <si>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</si>
  <si>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</si>
  <si>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</si>
  <si>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</si>
  <si>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</si>
  <si>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</si>
  <si>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</si>
  <si>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</si>
  <si>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</si>
  <si>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</si>
  <si>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Kalamazoo</t>
  </si>
  <si>
    <t>Item 3.Referral: Kalamazoo County Juvenile Court</t>
  </si>
  <si>
    <t>Item 4.Diversion: Kalamazoo County Juvenile Court</t>
  </si>
  <si>
    <t>Item 5.Detention: Kalamazoo County Juvenile Court</t>
  </si>
  <si>
    <t>Item 6.Petitioned: Kalamazoo County Juvenile Court</t>
  </si>
  <si>
    <t>Item 7.Delinquent: Kalamazoo County Juvenile Court</t>
  </si>
  <si>
    <t>Item 8.Probation: Kalamazoo County Juvenile Court</t>
  </si>
  <si>
    <t>Item 9.Confinement: Kalamazoo County Juvenile Court</t>
  </si>
  <si>
    <t>Item 10.Transferred: Kalamazoo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</si>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</sst>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Kalamazoo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N=9</c:v>
                </c:pt>
                <c:pt idx="2">
                  <c:v>Delinquent Findings, total N=257</c:v>
                </c:pt>
                <c:pt idx="3">
                  <c:v>Petitions, total N=623</c:v>
                </c:pt>
                <c:pt idx="4">
                  <c:v>Detentions, total N=319</c:v>
                </c:pt>
                <c:pt idx="5">
                  <c:v>Referrals, total N=1346</c:v>
                </c:pt>
                <c:pt idx="6">
                  <c:v>Arrests, total N=498</c:v>
                </c:pt>
                <c:pt idx="7">
                  <c:v>Population, total N=25401</c:v>
                </c:pt>
              </c:strCache>
            </c:strRef>
          </c:cat>
          <c:val>
            <c:numRef>
              <c:f>'Stacked 100%'!$B$7:$B$14</c:f>
              <c:numCache>
                <c:formatCode>0%</c:formatCode>
                <c:ptCount val="8"/>
                <c:pt idx="0">
                  <c:v>1</c:v>
                </c:pt>
                <c:pt idx="1">
                  <c:v>0.88888888888888884</c:v>
                </c:pt>
                <c:pt idx="2">
                  <c:v>0.70817120622568097</c:v>
                </c:pt>
                <c:pt idx="3">
                  <c:v>0.7207062600321027</c:v>
                </c:pt>
                <c:pt idx="4">
                  <c:v>0.78683385579937304</c:v>
                </c:pt>
                <c:pt idx="5">
                  <c:v>0.67236255572065384</c:v>
                </c:pt>
                <c:pt idx="6">
                  <c:v>0.68072289156626509</c:v>
                </c:pt>
                <c:pt idx="7">
                  <c:v>0.1834179756702492</c:v>
                </c:pt>
              </c:numCache>
            </c:numRef>
          </c:val>
          <c:extLst>
            <c:ext xmlns:c16="http://schemas.microsoft.com/office/drawing/2014/chart" uri="{C3380CC4-5D6E-409C-BE32-E72D297353CC}">
              <c16:uniqueId val="{00000000-1312-4B5A-9C2E-C7ACE027466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N=9</c:v>
                </c:pt>
                <c:pt idx="2">
                  <c:v>Delinquent Findings, total N=257</c:v>
                </c:pt>
                <c:pt idx="3">
                  <c:v>Petitions, total N=623</c:v>
                </c:pt>
                <c:pt idx="4">
                  <c:v>Detentions, total N=319</c:v>
                </c:pt>
                <c:pt idx="5">
                  <c:v>Referrals, total N=1346</c:v>
                </c:pt>
                <c:pt idx="6">
                  <c:v>Arrests, total N=498</c:v>
                </c:pt>
                <c:pt idx="7">
                  <c:v>Population, total N=25401</c:v>
                </c:pt>
              </c:strCache>
            </c:strRef>
          </c:cat>
          <c:val>
            <c:numRef>
              <c:f>'Stacked 100%'!$C$7:$C$14</c:f>
              <c:numCache>
                <c:formatCode>0%</c:formatCode>
                <c:ptCount val="8"/>
                <c:pt idx="0">
                  <c:v>0</c:v>
                </c:pt>
                <c:pt idx="1">
                  <c:v>0.1111111111111111</c:v>
                </c:pt>
                <c:pt idx="2">
                  <c:v>0</c:v>
                </c:pt>
                <c:pt idx="3">
                  <c:v>0</c:v>
                </c:pt>
                <c:pt idx="4">
                  <c:v>0</c:v>
                </c:pt>
                <c:pt idx="5">
                  <c:v>2.2288261515601782E-3</c:v>
                </c:pt>
                <c:pt idx="6">
                  <c:v>0</c:v>
                </c:pt>
                <c:pt idx="7">
                  <c:v>8.69650801149561E-2</c:v>
                </c:pt>
              </c:numCache>
            </c:numRef>
          </c:val>
          <c:extLst>
            <c:ext xmlns:c16="http://schemas.microsoft.com/office/drawing/2014/chart" uri="{C3380CC4-5D6E-409C-BE32-E72D297353CC}">
              <c16:uniqueId val="{00000001-1312-4B5A-9C2E-C7ACE027466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N=2</c:v>
                </c:pt>
                <c:pt idx="1">
                  <c:v>Confinement, total N=9</c:v>
                </c:pt>
                <c:pt idx="2">
                  <c:v>Delinquent Findings, total N=257</c:v>
                </c:pt>
                <c:pt idx="3">
                  <c:v>Petitions, total N=623</c:v>
                </c:pt>
                <c:pt idx="4">
                  <c:v>Detentions, total N=319</c:v>
                </c:pt>
                <c:pt idx="5">
                  <c:v>Referrals, total N=1346</c:v>
                </c:pt>
                <c:pt idx="6">
                  <c:v>Arrests, total N=498</c:v>
                </c:pt>
                <c:pt idx="7">
                  <c:v>Population, total N=25401</c:v>
                </c:pt>
              </c:strCache>
            </c:strRef>
          </c:cat>
          <c:val>
            <c:numRef>
              <c:f>'Stacked 100%'!$H$7:$H$14</c:f>
              <c:numCache>
                <c:formatCode>0%</c:formatCode>
                <c:ptCount val="8"/>
                <c:pt idx="0">
                  <c:v>0</c:v>
                </c:pt>
                <c:pt idx="1">
                  <c:v>0</c:v>
                </c:pt>
                <c:pt idx="2">
                  <c:v>5.9047071113869996E-4</c:v>
                </c:pt>
                <c:pt idx="3">
                  <c:v>2.2157581628788367E-4</c:v>
                </c:pt>
                <c:pt idx="4">
                  <c:v>3.0463537111467066E-4</c:v>
                </c:pt>
                <c:pt idx="5">
                  <c:v>6.6235546851714063E-5</c:v>
                </c:pt>
                <c:pt idx="6">
                  <c:v>0</c:v>
                </c:pt>
                <c:pt idx="7">
                  <c:v>1.4227908128276978E-6</c:v>
                </c:pt>
              </c:numCache>
            </c:numRef>
          </c:val>
          <c:extLst>
            <c:ext xmlns:c16="http://schemas.microsoft.com/office/drawing/2014/chart" uri="{C3380CC4-5D6E-409C-BE32-E72D297353CC}">
              <c16:uniqueId val="{00000002-1312-4B5A-9C2E-C7ACE027466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N=2</c:v>
                </c:pt>
                <c:pt idx="1">
                  <c:v>Confinement, total N=9</c:v>
                </c:pt>
                <c:pt idx="2">
                  <c:v>Delinquent Findings, total N=257</c:v>
                </c:pt>
                <c:pt idx="3">
                  <c:v>Petitions, total N=623</c:v>
                </c:pt>
                <c:pt idx="4">
                  <c:v>Detentions, total N=319</c:v>
                </c:pt>
                <c:pt idx="5">
                  <c:v>Referrals, total N=1346</c:v>
                </c:pt>
                <c:pt idx="6">
                  <c:v>Arrests, total N=498</c:v>
                </c:pt>
                <c:pt idx="7">
                  <c:v>Population, total N=25401</c:v>
                </c:pt>
              </c:strCache>
            </c:strRef>
          </c:cat>
          <c:val>
            <c:numRef>
              <c:f>'Stacked 100%'!$I$7:$I$14</c:f>
              <c:numCache>
                <c:formatCode>0%</c:formatCode>
                <c:ptCount val="8"/>
                <c:pt idx="0">
                  <c:v>0</c:v>
                </c:pt>
                <c:pt idx="1">
                  <c:v>0</c:v>
                </c:pt>
                <c:pt idx="2">
                  <c:v>0.13229571984435798</c:v>
                </c:pt>
                <c:pt idx="3">
                  <c:v>0.11717495987158909</c:v>
                </c:pt>
                <c:pt idx="4">
                  <c:v>0.10031347962382445</c:v>
                </c:pt>
                <c:pt idx="5">
                  <c:v>0.18796433878157504</c:v>
                </c:pt>
                <c:pt idx="6">
                  <c:v>0.2289156626506024</c:v>
                </c:pt>
                <c:pt idx="7">
                  <c:v>0.69347663477815835</c:v>
                </c:pt>
              </c:numCache>
            </c:numRef>
          </c:val>
          <c:extLst>
            <c:ext xmlns:c16="http://schemas.microsoft.com/office/drawing/2014/chart" uri="{C3380CC4-5D6E-409C-BE32-E72D297353CC}">
              <c16:uniqueId val="{00000003-1312-4B5A-9C2E-C7ACE027466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N=2</c:v>
                </c:pt>
                <c:pt idx="1">
                  <c:v>Confinement, total N=9</c:v>
                </c:pt>
                <c:pt idx="2">
                  <c:v>Delinquent Findings, total N=257</c:v>
                </c:pt>
                <c:pt idx="3">
                  <c:v>Petitions, total N=623</c:v>
                </c:pt>
                <c:pt idx="4">
                  <c:v>Detentions, total N=319</c:v>
                </c:pt>
                <c:pt idx="5">
                  <c:v>Referrals, total N=1346</c:v>
                </c:pt>
                <c:pt idx="6">
                  <c:v>Arrests, total N=498</c:v>
                </c:pt>
                <c:pt idx="7">
                  <c:v>Population, total N=25401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312-4B5A-9C2E-C7ACE027466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25401</v>
      </c>
      <c r="C6" s="11">
        <v>17615</v>
      </c>
      <c r="D6" s="11">
        <v>4659</v>
      </c>
      <c r="E6" s="11">
        <v>2209</v>
      </c>
      <c r="F6" s="11">
        <v>793</v>
      </c>
      <c r="G6" s="11"/>
      <c r="H6" s="11">
        <v>125</v>
      </c>
      <c r="I6" s="11"/>
      <c r="J6" s="91">
        <f>SUM(D6:I6)</f>
        <v>7786</v>
      </c>
      <c r="K6" s="92"/>
    </row>
    <row r="7" spans="1:11" ht="15.75" customHeight="1" thickBot="1">
      <c r="A7" s="10" t="s">
        <v>8</v>
      </c>
      <c r="B7" s="11">
        <f t="shared" ref="B7:B15" si="0">SUM(C7:I7)+K7</f>
        <v>498</v>
      </c>
      <c r="C7" s="11">
        <v>114</v>
      </c>
      <c r="D7" s="11">
        <v>339</v>
      </c>
      <c r="E7" s="11"/>
      <c r="F7" s="11"/>
      <c r="G7" s="11"/>
      <c r="H7" s="11"/>
      <c r="I7" s="11"/>
      <c r="J7" s="91">
        <f t="shared" ref="J7:J15" si="1">SUM(D7:I7)</f>
        <v>339</v>
      </c>
      <c r="K7" s="92">
        <v>45</v>
      </c>
    </row>
    <row r="8" spans="1:11" ht="15.75" customHeight="1" thickBot="1">
      <c r="A8" s="10" t="s">
        <v>9</v>
      </c>
      <c r="B8" s="11">
        <f t="shared" si="0"/>
        <v>1346</v>
      </c>
      <c r="C8" s="11">
        <v>253</v>
      </c>
      <c r="D8" s="11">
        <v>905</v>
      </c>
      <c r="E8" s="11">
        <v>3</v>
      </c>
      <c r="F8" s="11">
        <v>2</v>
      </c>
      <c r="G8" s="11"/>
      <c r="H8" s="11">
        <v>9</v>
      </c>
      <c r="I8" s="11">
        <v>109</v>
      </c>
      <c r="J8" s="91">
        <f t="shared" si="1"/>
        <v>1028</v>
      </c>
      <c r="K8" s="92">
        <v>65</v>
      </c>
    </row>
    <row r="9" spans="1:11" ht="15.75" customHeight="1" thickBot="1">
      <c r="A9" s="10" t="s">
        <v>10</v>
      </c>
      <c r="B9" s="11">
        <f t="shared" si="0"/>
        <v>644</v>
      </c>
      <c r="C9" s="11">
        <v>148</v>
      </c>
      <c r="D9" s="11">
        <v>400</v>
      </c>
      <c r="E9" s="11">
        <v>3</v>
      </c>
      <c r="F9" s="11"/>
      <c r="G9" s="11"/>
      <c r="H9" s="11">
        <v>8</v>
      </c>
      <c r="I9" s="11">
        <v>43</v>
      </c>
      <c r="J9" s="91">
        <f t="shared" si="1"/>
        <v>454</v>
      </c>
      <c r="K9" s="92">
        <v>42</v>
      </c>
    </row>
    <row r="10" spans="1:11" ht="15.75" customHeight="1" thickBot="1">
      <c r="A10" s="10" t="s">
        <v>11</v>
      </c>
      <c r="B10" s="11">
        <f t="shared" si="0"/>
        <v>319</v>
      </c>
      <c r="C10" s="11">
        <v>32</v>
      </c>
      <c r="D10" s="11">
        <v>251</v>
      </c>
      <c r="E10" s="11"/>
      <c r="F10" s="11">
        <v>2</v>
      </c>
      <c r="G10" s="11"/>
      <c r="H10" s="11"/>
      <c r="I10" s="11">
        <v>29</v>
      </c>
      <c r="J10" s="91">
        <f t="shared" si="1"/>
        <v>282</v>
      </c>
      <c r="K10" s="92">
        <v>5</v>
      </c>
    </row>
    <row r="11" spans="1:11" ht="15.75" customHeight="1" thickBot="1">
      <c r="A11" s="10" t="s">
        <v>12</v>
      </c>
      <c r="B11" s="11">
        <f t="shared" si="0"/>
        <v>623</v>
      </c>
      <c r="C11" s="11">
        <v>73</v>
      </c>
      <c r="D11" s="11">
        <v>449</v>
      </c>
      <c r="E11" s="11"/>
      <c r="F11" s="11">
        <v>2</v>
      </c>
      <c r="G11" s="11"/>
      <c r="H11" s="11"/>
      <c r="I11" s="11">
        <v>84</v>
      </c>
      <c r="J11" s="91">
        <f t="shared" si="1"/>
        <v>535</v>
      </c>
      <c r="K11" s="92">
        <v>15</v>
      </c>
    </row>
    <row r="12" spans="1:11" ht="15.75" customHeight="1" thickBot="1">
      <c r="A12" s="10" t="s">
        <v>13</v>
      </c>
      <c r="B12" s="11">
        <f t="shared" si="0"/>
        <v>257</v>
      </c>
      <c r="C12" s="11">
        <v>34</v>
      </c>
      <c r="D12" s="11">
        <v>182</v>
      </c>
      <c r="E12" s="11"/>
      <c r="F12" s="11">
        <v>2</v>
      </c>
      <c r="G12" s="11"/>
      <c r="H12" s="11"/>
      <c r="I12" s="11">
        <v>37</v>
      </c>
      <c r="J12" s="91">
        <f t="shared" si="1"/>
        <v>221</v>
      </c>
      <c r="K12" s="92">
        <v>2</v>
      </c>
    </row>
    <row r="13" spans="1:11" ht="15.75" customHeight="1" thickBot="1">
      <c r="A13" s="10" t="s">
        <v>125</v>
      </c>
      <c r="B13" s="11">
        <f t="shared" si="0"/>
        <v>91</v>
      </c>
      <c r="C13" s="11">
        <v>19</v>
      </c>
      <c r="D13" s="11">
        <v>55</v>
      </c>
      <c r="E13" s="11"/>
      <c r="F13" s="11">
        <v>1</v>
      </c>
      <c r="G13" s="11">
        <v>1</v>
      </c>
      <c r="H13" s="11"/>
      <c r="I13" s="11">
        <v>14</v>
      </c>
      <c r="J13" s="91">
        <f t="shared" si="1"/>
        <v>71</v>
      </c>
      <c r="K13" s="92">
        <v>1</v>
      </c>
    </row>
    <row r="14" spans="1:11" ht="26.25" customHeight="1" thickBot="1">
      <c r="A14" s="10" t="s">
        <v>115</v>
      </c>
      <c r="B14" s="11">
        <f t="shared" si="0"/>
        <v>9</v>
      </c>
      <c r="C14" s="11"/>
      <c r="D14" s="11">
        <v>8</v>
      </c>
      <c r="E14" s="11">
        <v>1</v>
      </c>
      <c r="F14" s="11"/>
      <c r="G14" s="11"/>
      <c r="H14" s="11"/>
      <c r="I14" s="11"/>
      <c r="J14" s="91">
        <f t="shared" si="1"/>
        <v>9</v>
      </c>
      <c r="K14" s="92"/>
    </row>
    <row r="15" spans="1:11" ht="15.75" customHeight="1" thickBot="1">
      <c r="A15" s="10" t="s">
        <v>16</v>
      </c>
      <c r="B15" s="11">
        <f t="shared" si="0"/>
        <v>2</v>
      </c>
      <c r="C15" s="11"/>
      <c r="D15" s="11">
        <v>2</v>
      </c>
      <c r="E15" s="11"/>
      <c r="F15" s="11"/>
      <c r="G15" s="11"/>
      <c r="H15" s="11"/>
      <c r="I15" s="11"/>
      <c r="J15" s="91">
        <f t="shared" si="1"/>
        <v>2</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129</v>
      </c>
      <c r="B20" s="169"/>
      <c r="C20" s="8"/>
      <c r="D20" s="169" t="s">
        <v>130</v>
      </c>
      <c r="E20" s="169"/>
      <c r="F20" s="169"/>
      <c r="G20" s="169"/>
      <c r="H20" s="169"/>
      <c r="I20" s="169"/>
    </row>
    <row r="21" spans="1:9" ht="15" customHeight="1">
      <c r="A21" s="169" t="s">
        <v>131</v>
      </c>
      <c r="B21" s="169"/>
      <c r="C21" s="8"/>
      <c r="D21" s="169" t="s">
        <v>132</v>
      </c>
      <c r="E21" s="169"/>
      <c r="F21" s="169"/>
      <c r="G21" s="169"/>
      <c r="H21" s="169"/>
      <c r="I21" s="169"/>
    </row>
    <row r="22" spans="1:9" ht="15" customHeight="1">
      <c r="A22" s="169" t="s">
        <v>133</v>
      </c>
      <c r="B22" s="169"/>
      <c r="C22" s="8"/>
      <c r="D22" s="169" t="s">
        <v>134</v>
      </c>
      <c r="E22" s="169"/>
      <c r="F22" s="169"/>
      <c r="G22" s="169"/>
      <c r="H22" s="169"/>
      <c r="I22" s="169"/>
    </row>
    <row r="23" spans="1:9" ht="15" customHeight="1">
      <c r="A23" s="169" t="s">
        <v>135</v>
      </c>
      <c r="B23" s="169"/>
      <c r="C23" s="8"/>
      <c r="D23" s="169" t="s">
        <v>136</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17615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114</v>
      </c>
      <c r="D7" s="34">
        <f>IF((AND(C66&gt;0,C7&gt;0)),(C7/C66),0)</f>
        <v>6.4717570252625611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114</v>
      </c>
      <c r="Q7" s="42">
        <f>C6-C7</f>
        <v>17501</v>
      </c>
      <c r="R7" s="42">
        <f t="shared" ref="R7:R15" si="5">SUM(N7:Q7)</f>
        <v>17615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253</v>
      </c>
      <c r="D8" s="34">
        <f>IF((AND(C67&gt;0,C8&gt;0)),(C8/C67),0)</f>
        <v>221.92982456140354</v>
      </c>
      <c r="E8" s="33">
        <f>'Data Entry'!I8</f>
        <v>109</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109</v>
      </c>
      <c r="O8" s="42">
        <f>((D67*L67)-E8)+0.05</f>
        <v>-108.95</v>
      </c>
      <c r="P8" s="42">
        <f t="shared" si="4"/>
        <v>253</v>
      </c>
      <c r="Q8" s="42">
        <f>(C$67*L67)-C8</f>
        <v>-139</v>
      </c>
      <c r="R8" s="42">
        <f t="shared" si="5"/>
        <v>114.05000000000001</v>
      </c>
      <c r="S8" s="30">
        <f t="shared" si="6"/>
        <v>17574108000.276134</v>
      </c>
      <c r="T8" s="30">
        <f t="shared" si="7"/>
        <v>-511620.02999997092</v>
      </c>
      <c r="U8" s="31">
        <f t="shared" si="8"/>
        <v>-34349.921757905242</v>
      </c>
    </row>
    <row r="9" spans="2:21" ht="18" customHeight="1">
      <c r="B9" s="32" t="str">
        <f>'Data Entry'!A9</f>
        <v xml:space="preserve">4. Cases Diverted </v>
      </c>
      <c r="C9" s="33">
        <f>'Data Entry'!C9</f>
        <v>148</v>
      </c>
      <c r="D9" s="34">
        <f>IF((AND(C68&gt;0,C9&gt;0)),((C9/C68)),0)</f>
        <v>58.498023715415023</v>
      </c>
      <c r="E9" s="33">
        <f>'Data Entry'!I9</f>
        <v>43</v>
      </c>
      <c r="F9" s="34">
        <f>IF((AND($E$9&gt;0,$D$68&gt;0)),(($E$9/$D$68)),0)</f>
        <v>39.449541284403665</v>
      </c>
      <c r="G9" s="39" t="str">
        <f t="shared" si="0"/>
        <v>*</v>
      </c>
      <c r="H9" s="40"/>
      <c r="I9" s="41"/>
      <c r="J9" s="40">
        <f>IF((ABS($U9)&gt;Defaults!D$7),1,2)</f>
        <v>1</v>
      </c>
      <c r="K9" s="39">
        <f>IF((AND(N9&gt;Defaults!B$12,(N9+O9)&gt;Defaults!B$13, P9 &gt; Defaults!B$12, (P9+Q9) &gt; Defaults!B$13)),1,20)</f>
        <v>1</v>
      </c>
      <c r="L9" s="1">
        <f t="shared" si="1"/>
        <v>100</v>
      </c>
      <c r="M9" s="1" t="b">
        <f t="shared" si="2"/>
        <v>1</v>
      </c>
      <c r="N9" s="42">
        <f t="shared" si="3"/>
        <v>43</v>
      </c>
      <c r="O9" s="42">
        <f>(D$68*L68)-E9</f>
        <v>66.000000000000014</v>
      </c>
      <c r="P9" s="42">
        <f t="shared" si="4"/>
        <v>148</v>
      </c>
      <c r="Q9" s="42">
        <f>(C$68*L68)-C9</f>
        <v>104.99999999999997</v>
      </c>
      <c r="R9" s="42">
        <f t="shared" si="5"/>
        <v>362</v>
      </c>
      <c r="S9" s="30">
        <f t="shared" si="6"/>
        <v>9989031258.0000114</v>
      </c>
      <c r="T9" s="30">
        <f t="shared" si="7"/>
        <v>900692397</v>
      </c>
      <c r="U9" s="31">
        <f t="shared" si="8"/>
        <v>11.090391449146441</v>
      </c>
    </row>
    <row r="10" spans="2:21" ht="18" customHeight="1">
      <c r="B10" s="32" t="str">
        <f>'Data Entry'!A10</f>
        <v>5. Cases Involving Secure Detention</v>
      </c>
      <c r="C10" s="33">
        <f>'Data Entry'!C10</f>
        <v>32</v>
      </c>
      <c r="D10" s="34">
        <f>IF(((AND(C68&gt;0,C10&gt;0))),(C10/(C68)),0)</f>
        <v>12.648221343873519</v>
      </c>
      <c r="E10" s="33">
        <f>'Data Entry'!I10</f>
        <v>29</v>
      </c>
      <c r="F10" s="34">
        <f>IF(((AND($E$10&gt;0,$D$68&gt;0))),($E$10/($D$68)),0)</f>
        <v>26.605504587155963</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29</v>
      </c>
      <c r="O10" s="42">
        <f>(D$68*L68)-E10</f>
        <v>80.000000000000014</v>
      </c>
      <c r="P10" s="42">
        <f t="shared" si="4"/>
        <v>32</v>
      </c>
      <c r="Q10" s="42">
        <f>(C$68*L68)-C10</f>
        <v>220.99999999999997</v>
      </c>
      <c r="R10" s="42">
        <f t="shared" si="5"/>
        <v>362</v>
      </c>
      <c r="S10" s="30">
        <f t="shared" si="6"/>
        <v>5362957961.9999962</v>
      </c>
      <c r="T10" s="30">
        <f t="shared" si="7"/>
        <v>506341297</v>
      </c>
      <c r="U10" s="31">
        <f t="shared" si="8"/>
        <v>10.591587124682023</v>
      </c>
    </row>
    <row r="11" spans="2:21" ht="18" customHeight="1">
      <c r="B11" s="32" t="str">
        <f>'Data Entry'!A11</f>
        <v>6. Cases Petitioned (Charge Filed)</v>
      </c>
      <c r="C11" s="33">
        <f>'Data Entry'!C11</f>
        <v>73</v>
      </c>
      <c r="D11" s="34">
        <f>IF(((AND(C68&gt;0,C11&gt;0))),(C11/(C68)),0)</f>
        <v>28.853754940711465</v>
      </c>
      <c r="E11" s="33">
        <f>'Data Entry'!I11</f>
        <v>84</v>
      </c>
      <c r="F11" s="34">
        <f>IF(((AND($E$11&gt;0,$D$68&gt;0))),($E$11/($D$68)),0)</f>
        <v>77.064220183486228</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84</v>
      </c>
      <c r="O11" s="42">
        <f>(D$68*L68)-E11</f>
        <v>25.000000000000014</v>
      </c>
      <c r="P11" s="42">
        <f t="shared" si="4"/>
        <v>73</v>
      </c>
      <c r="Q11" s="42">
        <f>(C$68*L68)-C11</f>
        <v>179.99999999999997</v>
      </c>
      <c r="R11" s="42">
        <f t="shared" si="5"/>
        <v>362</v>
      </c>
      <c r="S11" s="30">
        <f t="shared" si="6"/>
        <v>63986043049.999969</v>
      </c>
      <c r="T11" s="30">
        <f t="shared" si="7"/>
        <v>887565745</v>
      </c>
      <c r="U11" s="31">
        <f t="shared" si="8"/>
        <v>72.091609450294825</v>
      </c>
    </row>
    <row r="12" spans="2:21" ht="18" customHeight="1">
      <c r="B12" s="32" t="str">
        <f>'Data Entry'!A12</f>
        <v>7. Cases Resulting in Delinquent Findings</v>
      </c>
      <c r="C12" s="33">
        <f>'Data Entry'!C12</f>
        <v>34</v>
      </c>
      <c r="D12" s="34">
        <f>IF(((AND(C69&gt;0,C12&gt;0))),(C12/(C69)),0)</f>
        <v>46.575342465753423</v>
      </c>
      <c r="E12" s="33">
        <f>'Data Entry'!I12</f>
        <v>37</v>
      </c>
      <c r="F12" s="34">
        <f>IF(((AND($D$69&gt;0,$E$12&gt;0))),(E12/(D69)),0)</f>
        <v>44.047619047619051</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37</v>
      </c>
      <c r="O12" s="42">
        <f>(D69*L69)-E12</f>
        <v>47</v>
      </c>
      <c r="P12" s="42">
        <f t="shared" si="4"/>
        <v>34</v>
      </c>
      <c r="Q12" s="42">
        <f>(C69*L69)-C12</f>
        <v>39</v>
      </c>
      <c r="R12" s="42">
        <f t="shared" si="5"/>
        <v>157</v>
      </c>
      <c r="S12" s="30">
        <f t="shared" si="6"/>
        <v>3771925</v>
      </c>
      <c r="T12" s="30">
        <f t="shared" si="7"/>
        <v>37441992</v>
      </c>
      <c r="U12" s="31">
        <f t="shared" si="8"/>
        <v>0.10074050013151009</v>
      </c>
    </row>
    <row r="13" spans="2:21" ht="18" customHeight="1">
      <c r="B13" s="32" t="str">
        <f>'Data Entry'!A13</f>
        <v>8. Cases Resulting in Probation Placement</v>
      </c>
      <c r="C13" s="33">
        <f>'Data Entry'!C13</f>
        <v>19</v>
      </c>
      <c r="D13" s="34">
        <f>IF(((AND(C70&gt;0,C13&gt;0))),(C13/(C70)),0)</f>
        <v>55.882352941176464</v>
      </c>
      <c r="E13" s="33">
        <f>'Data Entry'!I13</f>
        <v>14</v>
      </c>
      <c r="F13" s="34">
        <f>IF(((AND($D$70&gt;0,$E$13&gt;0))),($E$13/($D$70)),0)</f>
        <v>37.837837837837839</v>
      </c>
      <c r="G13" s="39" t="str">
        <f t="shared" si="0"/>
        <v>*</v>
      </c>
      <c r="H13" s="40"/>
      <c r="I13" s="41"/>
      <c r="J13" s="40">
        <f>IF((ABS($U13)&gt;Defaults!D$7),1,2)</f>
        <v>2</v>
      </c>
      <c r="K13" s="39">
        <f>IF((AND(N13&gt;Defaults!B$12,(N13+O13)&gt;Defaults!B$13, P13 &gt; Defaults!B$12, (P13+Q13) &gt; Defaults!B$13)),1,20)</f>
        <v>1</v>
      </c>
      <c r="L13" s="1">
        <f t="shared" si="1"/>
        <v>101</v>
      </c>
      <c r="M13" s="1" t="b">
        <f t="shared" si="2"/>
        <v>1</v>
      </c>
      <c r="N13" s="42">
        <f t="shared" si="3"/>
        <v>14</v>
      </c>
      <c r="O13" s="42">
        <f>(D70*L70)-E13</f>
        <v>23</v>
      </c>
      <c r="P13" s="42">
        <f t="shared" si="4"/>
        <v>19</v>
      </c>
      <c r="Q13" s="42">
        <f>(C70*L70)-C13</f>
        <v>15</v>
      </c>
      <c r="R13" s="42">
        <f t="shared" si="5"/>
        <v>71</v>
      </c>
      <c r="S13" s="30">
        <f t="shared" si="6"/>
        <v>3658559</v>
      </c>
      <c r="T13" s="30">
        <f t="shared" si="7"/>
        <v>1577532</v>
      </c>
      <c r="U13" s="31">
        <f t="shared" si="8"/>
        <v>2.3191662673086824</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37</v>
      </c>
      <c r="P14" s="42">
        <f t="shared" si="4"/>
        <v>0</v>
      </c>
      <c r="Q14" s="42">
        <f>(C70*L70)-C14</f>
        <v>34</v>
      </c>
      <c r="R14" s="42">
        <f t="shared" si="5"/>
        <v>71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84</v>
      </c>
      <c r="P15" s="42">
        <f t="shared" si="4"/>
        <v>0</v>
      </c>
      <c r="Q15" s="42">
        <f>(C69*L69)-C15</f>
        <v>73</v>
      </c>
      <c r="R15" s="42">
        <f t="shared" si="5"/>
        <v>157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17.614999999999998</v>
      </c>
      <c r="D42" s="56">
        <f>E6/1000</f>
        <v>0</v>
      </c>
      <c r="E42" s="56">
        <f>MAX(C42:D42)</f>
        <v>17.614999999999998</v>
      </c>
      <c r="G42" s="1" t="str">
        <f>B42</f>
        <v>per 1000 youth</v>
      </c>
      <c r="L42" s="57">
        <v>1000</v>
      </c>
      <c r="M42" s="57"/>
      <c r="R42" s="49"/>
    </row>
    <row r="43" spans="2:18" ht="15" hidden="1" customHeight="1">
      <c r="B43" s="49" t="s">
        <v>87</v>
      </c>
      <c r="C43" s="56">
        <f>C7/100</f>
        <v>1.1399999999999999</v>
      </c>
      <c r="D43" s="56">
        <f>E7/100</f>
        <v>0</v>
      </c>
      <c r="E43" s="56">
        <f>MAX(C43:D43,0)</f>
        <v>1.1399999999999999</v>
      </c>
      <c r="G43" s="1" t="str">
        <f>B43</f>
        <v>per 100 arrests</v>
      </c>
      <c r="L43" s="57">
        <v>100</v>
      </c>
      <c r="M43" s="57"/>
      <c r="R43" s="49"/>
    </row>
    <row r="44" spans="2:18" ht="15" hidden="1" customHeight="1">
      <c r="B44" s="49" t="s">
        <v>88</v>
      </c>
      <c r="C44" s="56">
        <f>C8/100</f>
        <v>2.5299999999999998</v>
      </c>
      <c r="D44" s="56">
        <f>E8/100</f>
        <v>1.0900000000000001</v>
      </c>
      <c r="E44" s="56">
        <f>MAX(C44:D44,0)</f>
        <v>2.5299999999999998</v>
      </c>
      <c r="G44" s="1" t="str">
        <f>B44</f>
        <v>per 100 referrals</v>
      </c>
      <c r="L44" s="57">
        <v>100</v>
      </c>
      <c r="M44" s="57"/>
      <c r="R44" s="49"/>
    </row>
    <row r="45" spans="2:18" ht="15" hidden="1" customHeight="1">
      <c r="B45" s="49" t="s">
        <v>89</v>
      </c>
      <c r="C45" s="49">
        <f>C11/100</f>
        <v>0.73</v>
      </c>
      <c r="D45" s="49">
        <f>E11/100</f>
        <v>0.84</v>
      </c>
      <c r="E45" s="56">
        <f>MAX(C45:D45,0)</f>
        <v>0.84</v>
      </c>
      <c r="G45" s="1" t="str">
        <f>B45</f>
        <v>per 100 youth petitioned</v>
      </c>
      <c r="L45" s="57">
        <v>100</v>
      </c>
      <c r="M45" s="57"/>
      <c r="R45" s="49"/>
    </row>
    <row r="46" spans="2:18" ht="15" hidden="1" customHeight="1">
      <c r="B46" s="49" t="s">
        <v>90</v>
      </c>
      <c r="C46" s="49">
        <f>C12/100</f>
        <v>0.34</v>
      </c>
      <c r="D46" s="49">
        <f>E12/100</f>
        <v>0.37</v>
      </c>
      <c r="E46" s="56">
        <f>MAX(C46:D46)</f>
        <v>0.37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17.614999999999998</v>
      </c>
      <c r="D48" s="56">
        <f>D42</f>
        <v>0</v>
      </c>
      <c r="E48" s="56">
        <f>MAX(C48:D48)</f>
        <v>17.614999999999998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1.1399999999999999</v>
      </c>
      <c r="D49" s="49">
        <f t="shared" si="9"/>
        <v>0</v>
      </c>
      <c r="E49" s="49">
        <f>MAX(C49:D49)</f>
        <v>1.1399999999999999</v>
      </c>
      <c r="G49" s="1" t="str">
        <f>G43</f>
        <v>per 100 arrests</v>
      </c>
      <c r="L49" s="58">
        <f>IF(($E43&gt;0),L43,L42)</f>
        <v>100</v>
      </c>
      <c r="M49" s="58"/>
      <c r="N49" s="21"/>
      <c r="O49" s="21"/>
      <c r="P49" s="21"/>
      <c r="Q49" s="21"/>
      <c r="R49" s="21"/>
    </row>
    <row r="50" spans="2:18" ht="15" hidden="1" customHeight="1">
      <c r="B50" s="49" t="str">
        <f t="shared" si="9"/>
        <v>per 100 referrals</v>
      </c>
      <c r="C50" s="49">
        <f t="shared" si="9"/>
        <v>2.5299999999999998</v>
      </c>
      <c r="D50" s="49">
        <f t="shared" si="9"/>
        <v>1.0900000000000001</v>
      </c>
      <c r="E50" s="49">
        <f>MAX(C50:D50)</f>
        <v>2.5299999999999998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0.84</v>
      </c>
      <c r="E51" s="49">
        <f>MAX(C51:D51)</f>
        <v>0.84</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0.37</v>
      </c>
      <c r="E52" s="56">
        <f>MAX(C52:D52)</f>
        <v>0.37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17.614999999999998</v>
      </c>
      <c r="D54" s="56">
        <f>D48</f>
        <v>0</v>
      </c>
      <c r="E54" s="56">
        <f>MAX(C54:D54)</f>
        <v>17.614999999999998</v>
      </c>
      <c r="G54" s="1" t="str">
        <f>G48</f>
        <v>per 1000 youth</v>
      </c>
      <c r="L54" s="58">
        <f>L48</f>
        <v>1000</v>
      </c>
      <c r="M54" s="58"/>
    </row>
    <row r="55" spans="2:18" ht="15" hidden="1" customHeight="1">
      <c r="B55" s="49" t="str">
        <f t="shared" ref="B55:D56" si="10">IF(($E49&gt;0),B49,B48)</f>
        <v>per 100 arrests</v>
      </c>
      <c r="C55" s="49">
        <f t="shared" si="10"/>
        <v>1.1399999999999999</v>
      </c>
      <c r="D55" s="49">
        <f t="shared" si="10"/>
        <v>0</v>
      </c>
      <c r="E55" s="49">
        <f>MAX(C55:D55)</f>
        <v>1.1399999999999999</v>
      </c>
      <c r="G55" s="1" t="str">
        <f>G49</f>
        <v>per 100 arrests</v>
      </c>
      <c r="L55" s="58">
        <f>IF(($E49&gt;0),L49,L48)</f>
        <v>100</v>
      </c>
      <c r="M55" s="58"/>
    </row>
    <row r="56" spans="2:18" ht="15" hidden="1" customHeight="1">
      <c r="B56" s="49" t="str">
        <f t="shared" si="10"/>
        <v>per 100 referrals</v>
      </c>
      <c r="C56" s="49">
        <f t="shared" si="10"/>
        <v>2.5299999999999998</v>
      </c>
      <c r="D56" s="49">
        <f t="shared" si="10"/>
        <v>1.0900000000000001</v>
      </c>
      <c r="E56" s="49">
        <f>MAX(C56:D56)</f>
        <v>2.5299999999999998</v>
      </c>
      <c r="G56" s="1" t="str">
        <f>G50</f>
        <v>per 100 referrals</v>
      </c>
      <c r="L56" s="58">
        <f>IF(($E50&gt;0),L50,L49)</f>
        <v>100</v>
      </c>
      <c r="M56" s="58"/>
    </row>
    <row r="57" spans="2:18" ht="15" hidden="1" customHeight="1">
      <c r="B57" s="49" t="str">
        <f>IF(($E51&gt;0),B51,B49)</f>
        <v>per 100 youth petitioned</v>
      </c>
      <c r="C57" s="49">
        <f>IF(($E51&gt;0),C51,C50)</f>
        <v>0.73</v>
      </c>
      <c r="D57" s="49">
        <f>IF(($E51&gt;0),D51,D50)</f>
        <v>0.84</v>
      </c>
      <c r="E57" s="49">
        <f>MAX(C57:D57)</f>
        <v>0.84</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0.37</v>
      </c>
      <c r="E58" s="56">
        <f>MAX(C58:D58)</f>
        <v>0.37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17.614999999999998</v>
      </c>
      <c r="D60" s="56">
        <f>D54</f>
        <v>0</v>
      </c>
      <c r="E60" s="56">
        <f>MAX(C60:D60)</f>
        <v>17.614999999999998</v>
      </c>
      <c r="G60" s="1" t="str">
        <f>G54</f>
        <v>per 1000 youth</v>
      </c>
      <c r="L60" s="58">
        <f>L54</f>
        <v>1000</v>
      </c>
      <c r="M60" s="58"/>
    </row>
    <row r="61" spans="2:18" ht="15" hidden="1" customHeight="1">
      <c r="B61" s="49" t="str">
        <f t="shared" ref="B61:D62" si="11">IF(($E55&gt;0),B55,B54)</f>
        <v>per 100 arrests</v>
      </c>
      <c r="C61" s="49">
        <f t="shared" si="11"/>
        <v>1.1399999999999999</v>
      </c>
      <c r="D61" s="49">
        <f t="shared" si="11"/>
        <v>0</v>
      </c>
      <c r="E61" s="49">
        <f>MAX(C61:D61)</f>
        <v>1.1399999999999999</v>
      </c>
      <c r="G61" s="1" t="str">
        <f>G55</f>
        <v>per 100 arrests</v>
      </c>
      <c r="L61" s="58">
        <f>IF(($E55&gt;0),L55,L54)</f>
        <v>100</v>
      </c>
      <c r="M61" s="58"/>
    </row>
    <row r="62" spans="2:18" ht="15" hidden="1" customHeight="1">
      <c r="B62" s="49" t="str">
        <f t="shared" si="11"/>
        <v>per 100 referrals</v>
      </c>
      <c r="C62" s="49">
        <f t="shared" si="11"/>
        <v>2.5299999999999998</v>
      </c>
      <c r="D62" s="49">
        <f t="shared" si="11"/>
        <v>1.0900000000000001</v>
      </c>
      <c r="E62" s="49">
        <f>MAX(C62:D62)</f>
        <v>2.5299999999999998</v>
      </c>
      <c r="G62" s="1" t="str">
        <f>G56</f>
        <v>per 100 referrals</v>
      </c>
      <c r="L62" s="58">
        <f>IF(($E56&gt;0),L56,L55)</f>
        <v>100</v>
      </c>
      <c r="M62" s="58"/>
    </row>
    <row r="63" spans="2:18" ht="15" hidden="1" customHeight="1">
      <c r="B63" s="49" t="str">
        <f>IF(($E57&gt;0),B57,B55)</f>
        <v>per 100 youth petitioned</v>
      </c>
      <c r="C63" s="49">
        <f>IF(($E57&gt;0),C57,C56)</f>
        <v>0.73</v>
      </c>
      <c r="D63" s="49">
        <f>IF(($E57&gt;0),D57,D56)</f>
        <v>0.84</v>
      </c>
      <c r="E63" s="49">
        <f>MAX(C63:D63)</f>
        <v>0.84</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0.37</v>
      </c>
      <c r="E64" s="56">
        <f>MAX(C64:D64)</f>
        <v>0.37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17.614999999999998</v>
      </c>
      <c r="D66" s="56">
        <f>D60</f>
        <v>0</v>
      </c>
      <c r="E66" s="56">
        <f>MAX(C66:D66)</f>
        <v>17.614999999999998</v>
      </c>
      <c r="G66" s="1" t="str">
        <f>G60</f>
        <v>per 1000 youth</v>
      </c>
      <c r="L66" s="58">
        <f>L60</f>
        <v>1000</v>
      </c>
      <c r="M66" s="58">
        <f>IF((B66=G66),1,2)</f>
        <v>1</v>
      </c>
    </row>
    <row r="67" spans="2:13" ht="15" hidden="1" customHeight="1">
      <c r="B67" s="49" t="str">
        <f t="shared" ref="B67:D68" si="12">IF(($E61&gt;0),B61,B60)</f>
        <v>per 100 arrests</v>
      </c>
      <c r="C67" s="49">
        <f t="shared" si="12"/>
        <v>1.1399999999999999</v>
      </c>
      <c r="D67" s="49">
        <f t="shared" si="12"/>
        <v>0</v>
      </c>
      <c r="E67" s="49">
        <f>MAX(C67:D67)</f>
        <v>1.1399999999999999</v>
      </c>
      <c r="G67" s="1" t="str">
        <f>G61</f>
        <v>per 100 arrests</v>
      </c>
      <c r="L67" s="58">
        <f>IF(($E61&gt;0),L61,L60)</f>
        <v>100</v>
      </c>
      <c r="M67" s="58">
        <f>IF((B67=G67),1,2)</f>
        <v>1</v>
      </c>
    </row>
    <row r="68" spans="2:13" ht="15" hidden="1" customHeight="1">
      <c r="B68" s="49" t="str">
        <f t="shared" si="12"/>
        <v>per 100 referrals</v>
      </c>
      <c r="C68" s="49">
        <f t="shared" si="12"/>
        <v>2.5299999999999998</v>
      </c>
      <c r="D68" s="49">
        <f t="shared" si="12"/>
        <v>1.0900000000000001</v>
      </c>
      <c r="E68" s="49">
        <f>MAX(C68:D68)</f>
        <v>2.5299999999999998</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0.84</v>
      </c>
      <c r="E69" s="49">
        <f>MAX(C69:D69)</f>
        <v>0.84</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0.37</v>
      </c>
      <c r="E70" s="56">
        <f>MAX(C70:D70)</f>
        <v>0.37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17615</v>
      </c>
      <c r="D6" s="34"/>
      <c r="E6" s="33">
        <f>'Data Entry'!J6</f>
        <v>7786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114</v>
      </c>
      <c r="D7" s="34">
        <f>IF((AND(C66&gt;0,C7&gt;0)),(C7/C66),0)</f>
        <v>6.4717570252625611</v>
      </c>
      <c r="E7" s="33">
        <f>'Data Entry'!J7</f>
        <v>339</v>
      </c>
      <c r="F7" s="34">
        <f>IF((AND($E$7&gt;0,$D$66&gt;0)),($E$7/$D$66),0)</f>
        <v>43.539686617004882</v>
      </c>
      <c r="G7" s="39">
        <f t="shared" ref="G7:G15" si="0">IF(L$6=100,"*",IF(M7=FALSE,"--",IF(K7=20,"**",($F7/$D7))))</f>
        <v>6.7276454364784293</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339</v>
      </c>
      <c r="O7" s="42">
        <f>E6-E7</f>
        <v>7447</v>
      </c>
      <c r="P7" s="42">
        <f t="shared" ref="P7:P15" si="4">C7</f>
        <v>114</v>
      </c>
      <c r="Q7" s="42">
        <f>C6-C7</f>
        <v>17501</v>
      </c>
      <c r="R7" s="42">
        <f t="shared" ref="R7:R15" si="5">SUM(N7:Q7)</f>
        <v>25401</v>
      </c>
      <c r="S7" s="30">
        <f t="shared" ref="S7:S15" si="6">R7*((((N7*Q7)-(O7*P7))^2))</f>
        <v>6.5651033480891162E+17</v>
      </c>
      <c r="T7" s="30">
        <f t="shared" ref="T7:T15" si="7">(N7+O7)*(P7+Q7)*(N7+P7)*(O7+Q7)</f>
        <v>1549997452163160</v>
      </c>
      <c r="U7" s="31">
        <f t="shared" ref="U7:U15" si="8">IF((S7&gt;0),S7/T7,"- -")</f>
        <v>423.55575094184366</v>
      </c>
    </row>
    <row r="8" spans="2:21" ht="18" customHeight="1">
      <c r="B8" s="32" t="str">
        <f>'Data Entry'!A8</f>
        <v>3. Refer to Juvenile Court</v>
      </c>
      <c r="C8" s="33">
        <f>'Data Entry'!C8</f>
        <v>253</v>
      </c>
      <c r="D8" s="34">
        <f>IF((AND(C67&gt;0,C8&gt;0)),(C8/C67),0)</f>
        <v>221.92982456140354</v>
      </c>
      <c r="E8" s="33">
        <f>'Data Entry'!J8</f>
        <v>1028</v>
      </c>
      <c r="F8" s="34">
        <f>IF((AND($E$8&gt;0,$D$67&gt;0)),($E8/$D67),0)</f>
        <v>303.24483775811206</v>
      </c>
      <c r="G8" s="39">
        <f t="shared" si="0"/>
        <v>1.3663996642065126</v>
      </c>
      <c r="H8" s="40"/>
      <c r="I8" s="41"/>
      <c r="J8" s="40">
        <f>IF((ABS($U8)&gt;Defaults!D$7),1,2)</f>
        <v>1</v>
      </c>
      <c r="K8" s="39">
        <f>IF((AND(N8&gt;Defaults!B$12,(N8+O8)&gt;Defaults!B$13, P8 &gt; Defaults!B$12, (P8+Q8) &gt; Defaults!B$13)),1,20)</f>
        <v>1</v>
      </c>
      <c r="L8" s="1">
        <f t="shared" si="1"/>
        <v>1</v>
      </c>
      <c r="M8" s="1" t="b">
        <f t="shared" si="2"/>
        <v>1</v>
      </c>
      <c r="N8" s="42">
        <f t="shared" si="3"/>
        <v>1028</v>
      </c>
      <c r="O8" s="42">
        <f>((D67*L67)-E8)+0.05</f>
        <v>-688.95</v>
      </c>
      <c r="P8" s="42">
        <f t="shared" si="4"/>
        <v>253</v>
      </c>
      <c r="Q8" s="42">
        <f>(C$67*L67)-C8</f>
        <v>-139</v>
      </c>
      <c r="R8" s="42">
        <f t="shared" si="5"/>
        <v>453.04999999999995</v>
      </c>
      <c r="S8" s="30">
        <f t="shared" si="6"/>
        <v>447040623619.31879</v>
      </c>
      <c r="T8" s="30">
        <f t="shared" si="7"/>
        <v>-40994145694.214996</v>
      </c>
      <c r="U8" s="31">
        <f t="shared" si="8"/>
        <v>-10.904986945060406</v>
      </c>
    </row>
    <row r="9" spans="2:21" ht="18" customHeight="1">
      <c r="B9" s="32" t="str">
        <f>'Data Entry'!A9</f>
        <v xml:space="preserve">4. Cases Diverted </v>
      </c>
      <c r="C9" s="33">
        <f>'Data Entry'!C9</f>
        <v>148</v>
      </c>
      <c r="D9" s="34">
        <f>IF((AND(C68&gt;0,C9&gt;0)),((C9/C68)),0)</f>
        <v>58.498023715415023</v>
      </c>
      <c r="E9" s="33">
        <f>'Data Entry'!J9</f>
        <v>454</v>
      </c>
      <c r="F9" s="34">
        <f>IF((AND($E$9&gt;0,$D$68&gt;0)),(($E$9/$D$68)),0)</f>
        <v>44.163424124513618</v>
      </c>
      <c r="G9" s="39">
        <f t="shared" si="0"/>
        <v>0.75495583131769894</v>
      </c>
      <c r="H9" s="40"/>
      <c r="I9" s="41"/>
      <c r="J9" s="40">
        <f>IF((ABS($U9)&gt;Defaults!D$7),1,2)</f>
        <v>1</v>
      </c>
      <c r="K9" s="39">
        <f>IF((AND(N9&gt;Defaults!B$12,(N9+O9)&gt;Defaults!B$13, P9 &gt; Defaults!B$12, (P9+Q9) &gt; Defaults!B$13)),1,20)</f>
        <v>1</v>
      </c>
      <c r="L9" s="1">
        <f t="shared" si="1"/>
        <v>1</v>
      </c>
      <c r="M9" s="1" t="b">
        <f t="shared" si="2"/>
        <v>1</v>
      </c>
      <c r="N9" s="42">
        <f t="shared" si="3"/>
        <v>454</v>
      </c>
      <c r="O9" s="42">
        <f>(D$68*L68)-E9</f>
        <v>574</v>
      </c>
      <c r="P9" s="42">
        <f t="shared" si="4"/>
        <v>148</v>
      </c>
      <c r="Q9" s="42">
        <f>(C$68*L68)-C9</f>
        <v>104.99999999999997</v>
      </c>
      <c r="R9" s="42">
        <f t="shared" si="5"/>
        <v>1281</v>
      </c>
      <c r="S9" s="30">
        <f t="shared" si="6"/>
        <v>1780522778244.0015</v>
      </c>
      <c r="T9" s="30">
        <f t="shared" si="7"/>
        <v>106311415671.99998</v>
      </c>
      <c r="U9" s="31">
        <f t="shared" si="8"/>
        <v>16.748180493968821</v>
      </c>
    </row>
    <row r="10" spans="2:21" ht="18" customHeight="1">
      <c r="B10" s="32" t="str">
        <f>'Data Entry'!A10</f>
        <v>5. Cases Involving Secure Detention</v>
      </c>
      <c r="C10" s="33">
        <f>'Data Entry'!C10</f>
        <v>32</v>
      </c>
      <c r="D10" s="34">
        <f>IF(((AND(C68&gt;0,C10&gt;0))),(C10/(C68)),0)</f>
        <v>12.648221343873519</v>
      </c>
      <c r="E10" s="33">
        <f>'Data Entry'!J10</f>
        <v>282</v>
      </c>
      <c r="F10" s="34">
        <f>IF(((AND($E$10&gt;0,$D$68&gt;0))),($E$10/($D$68)),0)</f>
        <v>27.431906614785994</v>
      </c>
      <c r="G10" s="39">
        <f t="shared" si="0"/>
        <v>2.1688351167315174</v>
      </c>
      <c r="H10" s="40"/>
      <c r="I10" s="41"/>
      <c r="J10" s="40">
        <f>IF((ABS($U10)&gt;Defaults!D$7),1,2)</f>
        <v>1</v>
      </c>
      <c r="K10" s="39">
        <f>IF((AND(N10&gt;Defaults!B$12,(N10+O10)&gt;Defaults!B$13, P10 &gt; Defaults!B$12, (P10+Q10) &gt; Defaults!B$13)),1,20)</f>
        <v>1</v>
      </c>
      <c r="L10" s="1">
        <f t="shared" si="1"/>
        <v>1</v>
      </c>
      <c r="M10" s="1" t="b">
        <f t="shared" si="2"/>
        <v>1</v>
      </c>
      <c r="N10" s="42">
        <f t="shared" si="3"/>
        <v>282</v>
      </c>
      <c r="O10" s="42">
        <f>(D$68*L68)-E10</f>
        <v>746</v>
      </c>
      <c r="P10" s="42">
        <f t="shared" si="4"/>
        <v>32</v>
      </c>
      <c r="Q10" s="42">
        <f>(C$68*L68)-C10</f>
        <v>220.99999999999997</v>
      </c>
      <c r="R10" s="42">
        <f t="shared" si="5"/>
        <v>1281</v>
      </c>
      <c r="S10" s="30">
        <f t="shared" si="6"/>
        <v>1893833602499.9993</v>
      </c>
      <c r="T10" s="30">
        <f t="shared" si="7"/>
        <v>78971385591.999985</v>
      </c>
      <c r="U10" s="31">
        <f t="shared" si="8"/>
        <v>23.981263445019884</v>
      </c>
    </row>
    <row r="11" spans="2:21" ht="18" customHeight="1">
      <c r="B11" s="32" t="str">
        <f>'Data Entry'!A11</f>
        <v>6. Cases Petitioned (Charge Filed)</v>
      </c>
      <c r="C11" s="33">
        <f>'Data Entry'!C11</f>
        <v>73</v>
      </c>
      <c r="D11" s="34">
        <f>IF(((AND(C68&gt;0,C11&gt;0))),(C11/(C68)),0)</f>
        <v>28.853754940711465</v>
      </c>
      <c r="E11" s="33">
        <f>'Data Entry'!J11</f>
        <v>535</v>
      </c>
      <c r="F11" s="34">
        <f>IF(((AND($E$11&gt;0,$D$68&gt;0))),($E$11/($D$68)),0)</f>
        <v>52.042801556420237</v>
      </c>
      <c r="G11" s="39">
        <f t="shared" si="0"/>
        <v>1.8036751772293587</v>
      </c>
      <c r="H11" s="40"/>
      <c r="I11" s="41"/>
      <c r="J11" s="40">
        <f>IF((ABS($U11)&gt;Defaults!D$7),1,2)</f>
        <v>1</v>
      </c>
      <c r="K11" s="39">
        <f>IF((AND(N11&gt;Defaults!B$12,(N11+O11)&gt;Defaults!B$13, P11 &gt; Defaults!B$12, (P11+Q11) &gt; Defaults!B$13)),1,20)</f>
        <v>1</v>
      </c>
      <c r="L11" s="1">
        <f t="shared" si="1"/>
        <v>1</v>
      </c>
      <c r="M11" s="1" t="b">
        <f t="shared" si="2"/>
        <v>1</v>
      </c>
      <c r="N11" s="42">
        <f t="shared" si="3"/>
        <v>535</v>
      </c>
      <c r="O11" s="42">
        <f>(D$68*L68)-E11</f>
        <v>493</v>
      </c>
      <c r="P11" s="42">
        <f t="shared" si="4"/>
        <v>73</v>
      </c>
      <c r="Q11" s="42">
        <f>(C$68*L68)-C11</f>
        <v>179.99999999999997</v>
      </c>
      <c r="R11" s="42">
        <f t="shared" si="5"/>
        <v>1281</v>
      </c>
      <c r="S11" s="30">
        <f t="shared" si="6"/>
        <v>4659530819600.9971</v>
      </c>
      <c r="T11" s="30">
        <f t="shared" si="7"/>
        <v>106422211455.99998</v>
      </c>
      <c r="U11" s="31">
        <f t="shared" si="8"/>
        <v>43.783442909636108</v>
      </c>
    </row>
    <row r="12" spans="2:21" ht="18" customHeight="1">
      <c r="B12" s="32" t="str">
        <f>'Data Entry'!A12</f>
        <v>7. Cases Resulting in Delinquent Findings</v>
      </c>
      <c r="C12" s="33">
        <f>'Data Entry'!C12</f>
        <v>34</v>
      </c>
      <c r="D12" s="34">
        <f>IF(((AND(C69&gt;0,C12&gt;0))),(C12/(C69)),0)</f>
        <v>46.575342465753423</v>
      </c>
      <c r="E12" s="33">
        <f>'Data Entry'!J12</f>
        <v>221</v>
      </c>
      <c r="F12" s="34">
        <f>IF(((AND($D$69&gt;0,$E$12&gt;0))),(E12/(D69)),0)</f>
        <v>41.308411214953274</v>
      </c>
      <c r="G12" s="39">
        <f t="shared" si="0"/>
        <v>0.88691588785046738</v>
      </c>
      <c r="H12" s="40"/>
      <c r="I12" s="41"/>
      <c r="J12" s="40">
        <f>IF((ABS($U12)&gt;Defaults!D$7),1,2)</f>
        <v>2</v>
      </c>
      <c r="K12" s="39">
        <f>IF((AND(N12&gt;Defaults!B$12,(N12+O12)&gt;Defaults!B$13, P12 &gt; Defaults!B$12, (P12+Q12) &gt; Defaults!B$13)),1,20)</f>
        <v>1</v>
      </c>
      <c r="L12" s="1">
        <f t="shared" si="1"/>
        <v>2</v>
      </c>
      <c r="M12" s="1" t="b">
        <f t="shared" si="2"/>
        <v>1</v>
      </c>
      <c r="N12" s="42">
        <f t="shared" si="3"/>
        <v>221</v>
      </c>
      <c r="O12" s="42">
        <f>(D69*L69)-E12</f>
        <v>314</v>
      </c>
      <c r="P12" s="42">
        <f t="shared" si="4"/>
        <v>34</v>
      </c>
      <c r="Q12" s="42">
        <f>(C69*L69)-C12</f>
        <v>39</v>
      </c>
      <c r="R12" s="42">
        <f t="shared" si="5"/>
        <v>608</v>
      </c>
      <c r="S12" s="30">
        <f t="shared" si="6"/>
        <v>2572599392</v>
      </c>
      <c r="T12" s="30">
        <f t="shared" si="7"/>
        <v>3515535825</v>
      </c>
      <c r="U12" s="31">
        <f t="shared" si="8"/>
        <v>0.73178016668341017</v>
      </c>
    </row>
    <row r="13" spans="2:21" ht="18" customHeight="1">
      <c r="B13" s="32" t="str">
        <f>'Data Entry'!A13</f>
        <v>8. Cases Resulting in Probation Placement</v>
      </c>
      <c r="C13" s="33">
        <f>'Data Entry'!C13</f>
        <v>19</v>
      </c>
      <c r="D13" s="34">
        <f>IF(((AND(C70&gt;0,C13&gt;0))),(C13/(C70)),0)</f>
        <v>55.882352941176464</v>
      </c>
      <c r="E13" s="33">
        <f>'Data Entry'!J13</f>
        <v>71</v>
      </c>
      <c r="F13" s="34">
        <f>IF(((AND($D$70&gt;0,$E$13&gt;0))),($E$13/($D$70)),0)</f>
        <v>32.126696832579185</v>
      </c>
      <c r="G13" s="39">
        <f t="shared" si="0"/>
        <v>0.57489878542510131</v>
      </c>
      <c r="H13" s="40"/>
      <c r="I13" s="41"/>
      <c r="J13" s="40">
        <f>IF((ABS($U13)&gt;Defaults!D$7),1,2)</f>
        <v>1</v>
      </c>
      <c r="K13" s="39">
        <f>IF((AND(N13&gt;Defaults!B$12,(N13+O13)&gt;Defaults!B$13, P13 &gt; Defaults!B$12, (P13+Q13) &gt; Defaults!B$13)),1,20)</f>
        <v>1</v>
      </c>
      <c r="L13" s="1">
        <f t="shared" si="1"/>
        <v>1</v>
      </c>
      <c r="M13" s="1" t="b">
        <f t="shared" si="2"/>
        <v>1</v>
      </c>
      <c r="N13" s="42">
        <f t="shared" si="3"/>
        <v>71</v>
      </c>
      <c r="O13" s="42">
        <f>(D70*L70)-E13</f>
        <v>150</v>
      </c>
      <c r="P13" s="42">
        <f t="shared" si="4"/>
        <v>19</v>
      </c>
      <c r="Q13" s="42">
        <f>(C70*L70)-C13</f>
        <v>15</v>
      </c>
      <c r="R13" s="42">
        <f t="shared" si="5"/>
        <v>255</v>
      </c>
      <c r="S13" s="30">
        <f t="shared" si="6"/>
        <v>812487375</v>
      </c>
      <c r="T13" s="30">
        <f t="shared" si="7"/>
        <v>111582900</v>
      </c>
      <c r="U13" s="31">
        <f t="shared" si="8"/>
        <v>7.2814685314685317</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9</v>
      </c>
      <c r="F14" s="34">
        <f>IF(((AND($D$70&gt;0,$E$14&gt;0))), (($E$14/($D$70))),0)</f>
        <v>4.0723981900452486</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9</v>
      </c>
      <c r="O14" s="42">
        <f>(D70*L70)-E14</f>
        <v>212</v>
      </c>
      <c r="P14" s="42">
        <f t="shared" si="4"/>
        <v>0</v>
      </c>
      <c r="Q14" s="42">
        <f>(C70*L70)-C14</f>
        <v>34</v>
      </c>
      <c r="R14" s="42">
        <f t="shared" si="5"/>
        <v>255</v>
      </c>
      <c r="S14" s="30">
        <f t="shared" si="6"/>
        <v>23877180</v>
      </c>
      <c r="T14" s="30">
        <f t="shared" si="7"/>
        <v>16635996</v>
      </c>
      <c r="U14" s="31">
        <f t="shared" si="8"/>
        <v>1.4352720450281427</v>
      </c>
    </row>
    <row r="15" spans="2:21" ht="15.75" customHeight="1">
      <c r="B15" s="32" t="str">
        <f>'Data Entry'!A15</f>
        <v xml:space="preserve">10. Cases Transferred to Adult Court </v>
      </c>
      <c r="C15" s="33">
        <f>'Data Entry'!C15</f>
        <v>0</v>
      </c>
      <c r="D15" s="34">
        <f>IF(((AND(C69&gt;0,C15&gt;0))),((C15/(C69))),0)</f>
        <v>0</v>
      </c>
      <c r="E15" s="33">
        <f>'Data Entry'!J15</f>
        <v>2</v>
      </c>
      <c r="F15" s="34">
        <f>IF(((AND($D$69&gt;0,$E$15&gt;0))),(($E$15/($D$69))),0)</f>
        <v>0.37383177570093462</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2</v>
      </c>
      <c r="O15" s="42">
        <f>(D69*L69)-E15</f>
        <v>533</v>
      </c>
      <c r="P15" s="42">
        <f t="shared" si="4"/>
        <v>0</v>
      </c>
      <c r="Q15" s="42">
        <f>(C69*L69)-C15</f>
        <v>73</v>
      </c>
      <c r="R15" s="42">
        <f t="shared" si="5"/>
        <v>608</v>
      </c>
      <c r="S15" s="30">
        <f t="shared" si="6"/>
        <v>12960128</v>
      </c>
      <c r="T15" s="30">
        <f t="shared" si="7"/>
        <v>47334660</v>
      </c>
      <c r="U15" s="31">
        <f t="shared" si="8"/>
        <v>0.27379784707442706</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17.614999999999998</v>
      </c>
      <c r="D42" s="56">
        <f>E6/1000</f>
        <v>7.7859999999999996</v>
      </c>
      <c r="E42" s="56">
        <f>MAX(C42:D42)</f>
        <v>17.614999999999998</v>
      </c>
      <c r="G42" s="1" t="str">
        <f>B42</f>
        <v>per 1000 youth</v>
      </c>
      <c r="L42" s="57">
        <v>1000</v>
      </c>
      <c r="M42" s="57"/>
      <c r="R42" s="49"/>
    </row>
    <row r="43" spans="2:18" ht="15" hidden="1" customHeight="1">
      <c r="B43" s="49" t="s">
        <v>87</v>
      </c>
      <c r="C43" s="56">
        <f>C7/100</f>
        <v>1.1399999999999999</v>
      </c>
      <c r="D43" s="56">
        <f>E7/100</f>
        <v>3.39</v>
      </c>
      <c r="E43" s="56">
        <f>MAX(C43:D43,0)</f>
        <v>3.39</v>
      </c>
      <c r="G43" s="1" t="str">
        <f>B43</f>
        <v>per 100 arrests</v>
      </c>
      <c r="L43" s="57">
        <v>100</v>
      </c>
      <c r="M43" s="57"/>
      <c r="R43" s="49"/>
    </row>
    <row r="44" spans="2:18" ht="15" hidden="1" customHeight="1">
      <c r="B44" s="49" t="s">
        <v>88</v>
      </c>
      <c r="C44" s="56">
        <f>C8/100</f>
        <v>2.5299999999999998</v>
      </c>
      <c r="D44" s="56">
        <f>E8/100</f>
        <v>10.28</v>
      </c>
      <c r="E44" s="56">
        <f>MAX(C44:D44,0)</f>
        <v>10.28</v>
      </c>
      <c r="G44" s="1" t="str">
        <f>B44</f>
        <v>per 100 referrals</v>
      </c>
      <c r="L44" s="57">
        <v>100</v>
      </c>
      <c r="M44" s="57"/>
      <c r="R44" s="49"/>
    </row>
    <row r="45" spans="2:18" ht="15" hidden="1" customHeight="1">
      <c r="B45" s="49" t="s">
        <v>89</v>
      </c>
      <c r="C45" s="49">
        <f>C11/100</f>
        <v>0.73</v>
      </c>
      <c r="D45" s="49">
        <f>E11/100</f>
        <v>5.35</v>
      </c>
      <c r="E45" s="56">
        <f>MAX(C45:D45,0)</f>
        <v>5.35</v>
      </c>
      <c r="G45" s="1" t="str">
        <f>B45</f>
        <v>per 100 youth petitioned</v>
      </c>
      <c r="L45" s="57">
        <v>100</v>
      </c>
      <c r="M45" s="57"/>
      <c r="R45" s="49"/>
    </row>
    <row r="46" spans="2:18" ht="15" hidden="1" customHeight="1">
      <c r="B46" s="49" t="s">
        <v>90</v>
      </c>
      <c r="C46" s="49">
        <f>C12/100</f>
        <v>0.34</v>
      </c>
      <c r="D46" s="49">
        <f>E12/100</f>
        <v>2.21</v>
      </c>
      <c r="E46" s="56">
        <f>MAX(C46:D46)</f>
        <v>2.21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17.614999999999998</v>
      </c>
      <c r="D48" s="56">
        <f>D42</f>
        <v>7.7859999999999996</v>
      </c>
      <c r="E48" s="56">
        <f>MAX(C48:D48)</f>
        <v>17.614999999999998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1.1399999999999999</v>
      </c>
      <c r="D49" s="49">
        <f t="shared" si="9"/>
        <v>3.39</v>
      </c>
      <c r="E49" s="49">
        <f>MAX(C49:D49)</f>
        <v>3.39</v>
      </c>
      <c r="G49" s="1" t="str">
        <f>G43</f>
        <v>per 100 arrests</v>
      </c>
      <c r="L49" s="58">
        <f>IF(($E43&gt;0),L43,L42)</f>
        <v>100</v>
      </c>
      <c r="M49" s="58"/>
      <c r="N49" s="21"/>
      <c r="O49" s="21"/>
      <c r="P49" s="21"/>
      <c r="Q49" s="21"/>
      <c r="R49" s="21"/>
    </row>
    <row r="50" spans="2:18" ht="15" hidden="1" customHeight="1">
      <c r="B50" s="49" t="str">
        <f t="shared" si="9"/>
        <v>per 100 referrals</v>
      </c>
      <c r="C50" s="49">
        <f t="shared" si="9"/>
        <v>2.5299999999999998</v>
      </c>
      <c r="D50" s="49">
        <f t="shared" si="9"/>
        <v>10.28</v>
      </c>
      <c r="E50" s="49">
        <f>MAX(C50:D50)</f>
        <v>10.28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5.35</v>
      </c>
      <c r="E51" s="49">
        <f>MAX(C51:D51)</f>
        <v>5.35</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2.21</v>
      </c>
      <c r="E52" s="56">
        <f>MAX(C52:D52)</f>
        <v>2.21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17.614999999999998</v>
      </c>
      <c r="D54" s="56">
        <f>D48</f>
        <v>7.7859999999999996</v>
      </c>
      <c r="E54" s="56">
        <f>MAX(C54:D54)</f>
        <v>17.614999999999998</v>
      </c>
      <c r="G54" s="1" t="str">
        <f>G48</f>
        <v>per 1000 youth</v>
      </c>
      <c r="L54" s="58">
        <f>L48</f>
        <v>1000</v>
      </c>
      <c r="M54" s="58"/>
    </row>
    <row r="55" spans="2:18" ht="15" hidden="1" customHeight="1">
      <c r="B55" s="49" t="str">
        <f t="shared" ref="B55:D56" si="10">IF(($E49&gt;0),B49,B48)</f>
        <v>per 100 arrests</v>
      </c>
      <c r="C55" s="49">
        <f t="shared" si="10"/>
        <v>1.1399999999999999</v>
      </c>
      <c r="D55" s="49">
        <f t="shared" si="10"/>
        <v>3.39</v>
      </c>
      <c r="E55" s="49">
        <f>MAX(C55:D55)</f>
        <v>3.39</v>
      </c>
      <c r="G55" s="1" t="str">
        <f>G49</f>
        <v>per 100 arrests</v>
      </c>
      <c r="L55" s="58">
        <f>IF(($E49&gt;0),L49,L48)</f>
        <v>100</v>
      </c>
      <c r="M55" s="58"/>
    </row>
    <row r="56" spans="2:18" ht="15" hidden="1" customHeight="1">
      <c r="B56" s="49" t="str">
        <f t="shared" si="10"/>
        <v>per 100 referrals</v>
      </c>
      <c r="C56" s="49">
        <f t="shared" si="10"/>
        <v>2.5299999999999998</v>
      </c>
      <c r="D56" s="49">
        <f t="shared" si="10"/>
        <v>10.28</v>
      </c>
      <c r="E56" s="49">
        <f>MAX(C56:D56)</f>
        <v>10.28</v>
      </c>
      <c r="G56" s="1" t="str">
        <f>G50</f>
        <v>per 100 referrals</v>
      </c>
      <c r="L56" s="58">
        <f>IF(($E50&gt;0),L50,L49)</f>
        <v>100</v>
      </c>
      <c r="M56" s="58"/>
    </row>
    <row r="57" spans="2:18" ht="15" hidden="1" customHeight="1">
      <c r="B57" s="49" t="str">
        <f>IF(($E51&gt;0),B51,B49)</f>
        <v>per 100 youth petitioned</v>
      </c>
      <c r="C57" s="49">
        <f>IF(($E51&gt;0),C51,C50)</f>
        <v>0.73</v>
      </c>
      <c r="D57" s="49">
        <f>IF(($E51&gt;0),D51,D50)</f>
        <v>5.35</v>
      </c>
      <c r="E57" s="49">
        <f>MAX(C57:D57)</f>
        <v>5.35</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2.21</v>
      </c>
      <c r="E58" s="56">
        <f>MAX(C58:D58)</f>
        <v>2.21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17.614999999999998</v>
      </c>
      <c r="D60" s="56">
        <f>D54</f>
        <v>7.7859999999999996</v>
      </c>
      <c r="E60" s="56">
        <f>MAX(C60:D60)</f>
        <v>17.614999999999998</v>
      </c>
      <c r="G60" s="1" t="str">
        <f>G54</f>
        <v>per 1000 youth</v>
      </c>
      <c r="L60" s="58">
        <f>L54</f>
        <v>1000</v>
      </c>
      <c r="M60" s="58"/>
    </row>
    <row r="61" spans="2:18" ht="15" hidden="1" customHeight="1">
      <c r="B61" s="49" t="str">
        <f t="shared" ref="B61:D62" si="11">IF(($E55&gt;0),B55,B54)</f>
        <v>per 100 arrests</v>
      </c>
      <c r="C61" s="49">
        <f t="shared" si="11"/>
        <v>1.1399999999999999</v>
      </c>
      <c r="D61" s="49">
        <f t="shared" si="11"/>
        <v>3.39</v>
      </c>
      <c r="E61" s="49">
        <f>MAX(C61:D61)</f>
        <v>3.39</v>
      </c>
      <c r="G61" s="1" t="str">
        <f>G55</f>
        <v>per 100 arrests</v>
      </c>
      <c r="L61" s="58">
        <f>IF(($E55&gt;0),L55,L54)</f>
        <v>100</v>
      </c>
      <c r="M61" s="58"/>
    </row>
    <row r="62" spans="2:18" ht="15" hidden="1" customHeight="1">
      <c r="B62" s="49" t="str">
        <f t="shared" si="11"/>
        <v>per 100 referrals</v>
      </c>
      <c r="C62" s="49">
        <f t="shared" si="11"/>
        <v>2.5299999999999998</v>
      </c>
      <c r="D62" s="49">
        <f t="shared" si="11"/>
        <v>10.28</v>
      </c>
      <c r="E62" s="49">
        <f>MAX(C62:D62)</f>
        <v>10.28</v>
      </c>
      <c r="G62" s="1" t="str">
        <f>G56</f>
        <v>per 100 referrals</v>
      </c>
      <c r="L62" s="58">
        <f>IF(($E56&gt;0),L56,L55)</f>
        <v>100</v>
      </c>
      <c r="M62" s="58"/>
    </row>
    <row r="63" spans="2:18" ht="15" hidden="1" customHeight="1">
      <c r="B63" s="49" t="str">
        <f>IF(($E57&gt;0),B57,B55)</f>
        <v>per 100 youth petitioned</v>
      </c>
      <c r="C63" s="49">
        <f>IF(($E57&gt;0),C57,C56)</f>
        <v>0.73</v>
      </c>
      <c r="D63" s="49">
        <f>IF(($E57&gt;0),D57,D56)</f>
        <v>5.35</v>
      </c>
      <c r="E63" s="49">
        <f>MAX(C63:D63)</f>
        <v>5.35</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2.21</v>
      </c>
      <c r="E64" s="56">
        <f>MAX(C64:D64)</f>
        <v>2.21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17.614999999999998</v>
      </c>
      <c r="D66" s="56">
        <f>D60</f>
        <v>7.7859999999999996</v>
      </c>
      <c r="E66" s="56">
        <f>MAX(C66:D66)</f>
        <v>17.614999999999998</v>
      </c>
      <c r="G66" s="1" t="str">
        <f>G60</f>
        <v>per 1000 youth</v>
      </c>
      <c r="L66" s="58">
        <f>L60</f>
        <v>1000</v>
      </c>
      <c r="M66" s="58">
        <f>IF((B66=G66),1,2)</f>
        <v>1</v>
      </c>
    </row>
    <row r="67" spans="2:13" ht="15" hidden="1" customHeight="1">
      <c r="B67" s="49" t="str">
        <f t="shared" ref="B67:D68" si="12">IF(($E61&gt;0),B61,B60)</f>
        <v>per 100 arrests</v>
      </c>
      <c r="C67" s="49">
        <f t="shared" si="12"/>
        <v>1.1399999999999999</v>
      </c>
      <c r="D67" s="49">
        <f t="shared" si="12"/>
        <v>3.39</v>
      </c>
      <c r="E67" s="49">
        <f>MAX(C67:D67)</f>
        <v>3.39</v>
      </c>
      <c r="G67" s="1" t="str">
        <f>G61</f>
        <v>per 100 arrests</v>
      </c>
      <c r="L67" s="58">
        <f>IF(($E61&gt;0),L61,L60)</f>
        <v>100</v>
      </c>
      <c r="M67" s="58">
        <f>IF((B67=G67),1,2)</f>
        <v>1</v>
      </c>
    </row>
    <row r="68" spans="2:13" ht="15" hidden="1" customHeight="1">
      <c r="B68" s="49" t="str">
        <f t="shared" si="12"/>
        <v>per 100 referrals</v>
      </c>
      <c r="C68" s="49">
        <f t="shared" si="12"/>
        <v>2.5299999999999998</v>
      </c>
      <c r="D68" s="49">
        <f t="shared" si="12"/>
        <v>10.28</v>
      </c>
      <c r="E68" s="49">
        <f>MAX(C68:D68)</f>
        <v>10.28</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5.35</v>
      </c>
      <c r="E69" s="49">
        <f>MAX(C69:D69)</f>
        <v>5.35</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2.21</v>
      </c>
      <c r="E70" s="56">
        <f>MAX(C70:D70)</f>
        <v>2.21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Kalamazoo</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11.243066616960945</v>
      </c>
      <c r="D7" s="72" t="str">
        <f>Hispanic!G7</f>
        <v>**</v>
      </c>
      <c r="E7" s="72" t="str">
        <f>Asian!G7</f>
        <v>**</v>
      </c>
      <c r="F7" s="72" t="str">
        <f>Hawaiian!G7</f>
        <v>*</v>
      </c>
      <c r="G7" s="72" t="str">
        <f>'Am Indian'!G7</f>
        <v>*</v>
      </c>
      <c r="H7" s="72" t="str">
        <f>'Other - Mixed'!G7</f>
        <v>*</v>
      </c>
      <c r="I7" s="73">
        <f>'All Minorities'!G7</f>
        <v>6.7276454364784293</v>
      </c>
      <c r="L7" s="1">
        <f>'Black or African-American'!L7</f>
        <v>1</v>
      </c>
      <c r="M7" s="1">
        <f>Hispanic!L7</f>
        <v>20</v>
      </c>
      <c r="N7" s="1">
        <f>Asian!L7</f>
        <v>20</v>
      </c>
      <c r="O7" s="1" t="e">
        <f>Hawaiian!L7</f>
        <v>#VALUE!</v>
      </c>
      <c r="P7" s="1">
        <f>'Am Indian'!L7</f>
        <v>139</v>
      </c>
      <c r="Q7" s="1" t="e">
        <f>'Other - Mixed'!L7</f>
        <v>#VALUE!</v>
      </c>
      <c r="R7" s="1">
        <f>'All Minorities'!L7</f>
        <v>1</v>
      </c>
    </row>
    <row r="8" spans="2:18" ht="15" customHeight="1">
      <c r="B8" s="71" t="s">
        <v>9</v>
      </c>
      <c r="C8" s="72">
        <f>'Black or African-American'!$G8</f>
        <v>1.2029102102207141</v>
      </c>
      <c r="D8" s="72" t="str">
        <f>Hispanic!G8</f>
        <v>**</v>
      </c>
      <c r="E8" s="72" t="str">
        <f>Asian!G8</f>
        <v>**</v>
      </c>
      <c r="F8" s="72" t="str">
        <f>Hawaiian!G8</f>
        <v>*</v>
      </c>
      <c r="G8" s="72" t="str">
        <f>'Am Indian'!G8</f>
        <v>*</v>
      </c>
      <c r="H8" s="72" t="str">
        <f>'Other - Mixed'!G8</f>
        <v>*</v>
      </c>
      <c r="I8" s="73">
        <f>'All Minorities'!G8</f>
        <v>1.3663996642065126</v>
      </c>
      <c r="L8" s="1">
        <f>'Black or African-American'!L8</f>
        <v>1</v>
      </c>
      <c r="M8" s="1">
        <f>Hispanic!L8</f>
        <v>20</v>
      </c>
      <c r="N8" s="1">
        <f>Asian!L8</f>
        <v>20</v>
      </c>
      <c r="O8" s="1">
        <f>Hawaiian!L8</f>
        <v>139</v>
      </c>
      <c r="P8" s="1">
        <f>'Am Indian'!L8</f>
        <v>119</v>
      </c>
      <c r="Q8" s="1">
        <f>'Other - Mixed'!L8</f>
        <v>119</v>
      </c>
      <c r="R8" s="1">
        <f>'All Minorities'!L8</f>
        <v>1</v>
      </c>
    </row>
    <row r="9" spans="2:18" ht="15" customHeight="1">
      <c r="B9" s="71" t="s">
        <v>10</v>
      </c>
      <c r="C9" s="72">
        <f>'Black or African-American'!$G9</f>
        <v>0.75556219202628028</v>
      </c>
      <c r="D9" s="72" t="str">
        <f>Hispanic!G9</f>
        <v>**</v>
      </c>
      <c r="E9" s="72" t="str">
        <f>Asian!G9</f>
        <v>**</v>
      </c>
      <c r="F9" s="72" t="str">
        <f>Hawaiian!G9</f>
        <v>*</v>
      </c>
      <c r="G9" s="72" t="str">
        <f>'Am Indian'!G9</f>
        <v>*</v>
      </c>
      <c r="H9" s="72" t="str">
        <f>'Other - Mixed'!G9</f>
        <v>*</v>
      </c>
      <c r="I9" s="73">
        <f>'All Minorities'!G9</f>
        <v>0.75495583131769894</v>
      </c>
      <c r="L9" s="1">
        <f>'Black or African-American'!L9</f>
        <v>1</v>
      </c>
      <c r="M9" s="1">
        <f>Hispanic!L9</f>
        <v>40</v>
      </c>
      <c r="N9" s="1">
        <f>Asian!L9</f>
        <v>40</v>
      </c>
      <c r="O9" s="1" t="e">
        <f>Hawaiian!L9</f>
        <v>#VALUE!</v>
      </c>
      <c r="P9" s="1">
        <f>'Am Indian'!L9</f>
        <v>139</v>
      </c>
      <c r="Q9" s="1">
        <f>'Other - Mixed'!L9</f>
        <v>100</v>
      </c>
      <c r="R9" s="1">
        <f>'All Minorities'!L9</f>
        <v>1</v>
      </c>
    </row>
    <row r="10" spans="2:18" ht="15" customHeight="1">
      <c r="B10" s="71" t="s">
        <v>11</v>
      </c>
      <c r="C10" s="72">
        <f>'Black or African-American'!$G10</f>
        <v>2.1927831491712704</v>
      </c>
      <c r="D10" s="72" t="str">
        <f>Hispanic!G10</f>
        <v>**</v>
      </c>
      <c r="E10" s="72" t="str">
        <f>Asian!G10</f>
        <v>**</v>
      </c>
      <c r="F10" s="72" t="str">
        <f>Hawaiian!G10</f>
        <v>*</v>
      </c>
      <c r="G10" s="72" t="str">
        <f>'Am Indian'!G10</f>
        <v>*</v>
      </c>
      <c r="H10" s="72" t="str">
        <f>'Other - Mixed'!G10</f>
        <v>*</v>
      </c>
      <c r="I10" s="73">
        <f>'All Minorities'!G10</f>
        <v>2.1688351167315174</v>
      </c>
      <c r="L10" s="1">
        <f>'Black or African-American'!L10</f>
        <v>1</v>
      </c>
      <c r="M10" s="1">
        <f>Hispanic!L10</f>
        <v>40</v>
      </c>
      <c r="N10" s="1">
        <f>Asian!L10</f>
        <v>20</v>
      </c>
      <c r="O10" s="1" t="e">
        <f>Hawaiian!L10</f>
        <v>#VALUE!</v>
      </c>
      <c r="P10" s="1">
        <f>'Am Indian'!L10</f>
        <v>139</v>
      </c>
      <c r="Q10" s="1">
        <f>'Other - Mixed'!L10</f>
        <v>100</v>
      </c>
      <c r="R10" s="1">
        <f>'All Minorities'!L10</f>
        <v>1</v>
      </c>
    </row>
    <row r="11" spans="2:18" ht="15" customHeight="1">
      <c r="B11" s="71" t="s">
        <v>95</v>
      </c>
      <c r="C11" s="72">
        <f>'Black or African-American'!$G11</f>
        <v>1.7194732460455611</v>
      </c>
      <c r="D11" s="72" t="str">
        <f>Hispanic!G11</f>
        <v>**</v>
      </c>
      <c r="E11" s="72" t="str">
        <f>Asian!G11</f>
        <v>**</v>
      </c>
      <c r="F11" s="72" t="str">
        <f>Hawaiian!G11</f>
        <v>*</v>
      </c>
      <c r="G11" s="72" t="str">
        <f>'Am Indian'!G11</f>
        <v>*</v>
      </c>
      <c r="H11" s="72" t="str">
        <f>'Other - Mixed'!G11</f>
        <v>*</v>
      </c>
      <c r="I11" s="73">
        <f>'All Minorities'!G11</f>
        <v>1.8036751772293587</v>
      </c>
      <c r="L11" s="1">
        <f>'Black or African-American'!L11</f>
        <v>1</v>
      </c>
      <c r="M11" s="1">
        <f>Hispanic!L11</f>
        <v>40</v>
      </c>
      <c r="N11" s="1">
        <f>Asian!L11</f>
        <v>20</v>
      </c>
      <c r="O11" s="1" t="e">
        <f>Hawaiian!L11</f>
        <v>#VALUE!</v>
      </c>
      <c r="P11" s="1">
        <f>'Am Indian'!L11</f>
        <v>139</v>
      </c>
      <c r="Q11" s="1">
        <f>'Other - Mixed'!L11</f>
        <v>100</v>
      </c>
      <c r="R11" s="1">
        <f>'All Minorities'!L11</f>
        <v>1</v>
      </c>
    </row>
    <row r="12" spans="2:18" ht="15" customHeight="1">
      <c r="B12" s="71" t="s">
        <v>13</v>
      </c>
      <c r="C12" s="72">
        <f>'Black or African-American'!$G12</f>
        <v>0.8703000131010088</v>
      </c>
      <c r="D12" s="72" t="str">
        <f>Hispanic!G12</f>
        <v>--</v>
      </c>
      <c r="E12" s="72" t="str">
        <f>Asian!G12</f>
        <v>**</v>
      </c>
      <c r="F12" s="72" t="str">
        <f>Hawaiian!G12</f>
        <v>*</v>
      </c>
      <c r="G12" s="72" t="str">
        <f>'Am Indian'!G12</f>
        <v>*</v>
      </c>
      <c r="H12" s="72" t="str">
        <f>'Other - Mixed'!G12</f>
        <v>*</v>
      </c>
      <c r="I12" s="73">
        <f>'All Minorities'!G12</f>
        <v>0.88691588785046738</v>
      </c>
      <c r="L12" s="1">
        <f>'Black or African-American'!L12</f>
        <v>2</v>
      </c>
      <c r="M12" s="1" t="e">
        <f>Hispanic!L12</f>
        <v>#VALUE!</v>
      </c>
      <c r="N12" s="1">
        <f>Asian!L12</f>
        <v>40</v>
      </c>
      <c r="O12" s="1" t="e">
        <f>Hawaiian!L12</f>
        <v>#VALUE!</v>
      </c>
      <c r="P12" s="1" t="e">
        <f>'Am Indian'!L12</f>
        <v>#VALUE!</v>
      </c>
      <c r="Q12" s="1">
        <f>'Other - Mixed'!L12</f>
        <v>101</v>
      </c>
      <c r="R12" s="1">
        <f>'All Minorities'!L12</f>
        <v>2</v>
      </c>
    </row>
    <row r="13" spans="2:18" ht="15" customHeight="1">
      <c r="B13" s="71" t="s">
        <v>14</v>
      </c>
      <c r="C13" s="72">
        <f>'Black or African-American'!$G13</f>
        <v>0.54077501445922505</v>
      </c>
      <c r="D13" s="72" t="str">
        <f>Hispanic!G13</f>
        <v>--</v>
      </c>
      <c r="E13" s="72" t="str">
        <f>Asian!G13</f>
        <v>**</v>
      </c>
      <c r="F13" s="72" t="str">
        <f>Hawaiian!G13</f>
        <v>*</v>
      </c>
      <c r="G13" s="72" t="str">
        <f>'Am Indian'!G13</f>
        <v>*</v>
      </c>
      <c r="H13" s="72" t="str">
        <f>'Other - Mixed'!G13</f>
        <v>*</v>
      </c>
      <c r="I13" s="73">
        <f>'All Minorities'!G13</f>
        <v>0.57489878542510131</v>
      </c>
      <c r="L13" s="1">
        <f>'Black or African-American'!L13</f>
        <v>1</v>
      </c>
      <c r="M13" s="1" t="e">
        <f>Hispanic!L13</f>
        <v>#VALUE!</v>
      </c>
      <c r="N13" s="1">
        <f>Asian!L13</f>
        <v>40</v>
      </c>
      <c r="O13" s="1" t="e">
        <f>Hawaiian!L13</f>
        <v>#DIV/0!</v>
      </c>
      <c r="P13" s="1" t="e">
        <f>'Am Indian'!L13</f>
        <v>#VALUE!</v>
      </c>
      <c r="Q13" s="1">
        <f>'Other - Mixed'!L13</f>
        <v>101</v>
      </c>
      <c r="R13" s="1">
        <f>'All Minorities'!L13</f>
        <v>1</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#DIV/0!</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t="e">
        <f>Hispanic!L15</f>
        <v>#VALUE!</v>
      </c>
      <c r="N15" s="1" t="e">
        <f>Asian!L15</f>
        <v>#VALUE!</v>
      </c>
      <c r="O15" s="1" t="e">
        <f>Hawaiian!L15</f>
        <v>#VALUE!</v>
      </c>
      <c r="P15" s="1" t="e">
        <f>'Am Indian'!L15</f>
        <v>#VALUE!</v>
      </c>
      <c r="Q15" s="1" t="e">
        <f>'Other - Mixed'!L15</f>
        <v>#VALUE!</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25401</v>
      </c>
      <c r="D3" s="57">
        <f>'Data Entry'!C6</f>
        <v>17615</v>
      </c>
      <c r="E3" s="57">
        <f>'Data Entry'!D6</f>
        <v>4659</v>
      </c>
      <c r="F3" s="57">
        <f>'Data Entry'!E6</f>
        <v>2209</v>
      </c>
      <c r="G3" s="57">
        <f>'Data Entry'!F6</f>
        <v>793</v>
      </c>
      <c r="H3" s="57">
        <f>'Data Entry'!G6</f>
        <v>0</v>
      </c>
      <c r="I3" s="57">
        <f>'Data Entry'!H6</f>
        <v>125</v>
      </c>
      <c r="J3" s="57">
        <f>'Data Entry'!I6</f>
        <v>0</v>
      </c>
      <c r="K3" s="57">
        <f>'Data Entry'!J6</f>
        <v>7786</v>
      </c>
    </row>
    <row r="4" spans="2:11" ht="15" customHeight="1">
      <c r="B4" s="16" t="s">
        <v>8</v>
      </c>
      <c r="C4" s="1">
        <f>IF((C$3&gt;0),(1000*('Data Entry'!B7/'Data Entry'!B$6)), 0)</f>
        <v>19.605527341443249</v>
      </c>
      <c r="D4" s="1">
        <f>IF((D$3&gt;0),(1000*('Data Entry'!C7/'Data Entry'!C$6)), 0)</f>
        <v>6.4717570252625602</v>
      </c>
      <c r="E4" s="1">
        <f>IF((E$3&gt;0),(1000*('Data Entry'!D7/'Data Entry'!D$6)), 0)</f>
        <v>72.762395363811976</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43.539686617004875</v>
      </c>
    </row>
    <row r="5" spans="2:11" ht="15" customHeight="1">
      <c r="B5" s="16" t="s">
        <v>9</v>
      </c>
      <c r="C5" s="1">
        <f>IF((C$3&gt;0),(1000*('Data Entry'!B8/'Data Entry'!B$6)), 0)</f>
        <v>52.990039762214089</v>
      </c>
      <c r="D5" s="1">
        <f>IF((D$3&gt;0),(1000*('Data Entry'!C8/'Data Entry'!C$6)), 0)</f>
        <v>14.362759012205506</v>
      </c>
      <c r="E5" s="1">
        <f>IF((E$3&gt;0),(1000*('Data Entry'!D8/'Data Entry'!D$6)), 0)</f>
        <v>194.24769263790512</v>
      </c>
      <c r="F5" s="1">
        <f>IF((F$3&gt;0),(1000*('Data Entry'!E8/'Data Entry'!E$6)), 0)</f>
        <v>1.358080579447714</v>
      </c>
      <c r="G5" s="1">
        <f>IF((G$3&gt;0),(1000*('Data Entry'!F8/'Data Entry'!F$6)), 0)</f>
        <v>2.5220680958385877</v>
      </c>
      <c r="H5" s="1">
        <f>IF((H$3&gt;0),(1000*('Data Entry'!G8/'Data Entry'!G$6)), 0)</f>
        <v>0</v>
      </c>
      <c r="I5" s="1">
        <f>IF((I$3&gt;0),(1000*('Data Entry'!H8/'Data Entry'!H$6)), 0)</f>
        <v>72</v>
      </c>
      <c r="J5" s="1">
        <f>IF((J$3&gt;0),(1000*('Data Entry'!I8/'Data Entry'!I$6)), 0)</f>
        <v>0</v>
      </c>
      <c r="K5" s="1">
        <f>IF((K$3&gt;0),(1000*('Data Entry'!J8/'Data Entry'!J$6)), 0)</f>
        <v>132.0318520421269</v>
      </c>
    </row>
    <row r="6" spans="2:11" ht="15" customHeight="1">
      <c r="B6" s="16" t="s">
        <v>10</v>
      </c>
      <c r="C6" s="1">
        <f>IF((C$3&gt;0),(1000*('Data Entry'!B9/'Data Entry'!B$6)), 0)</f>
        <v>25.353332545962758</v>
      </c>
      <c r="D6" s="1">
        <f>IF((D$3&gt;0),(1000*('Data Entry'!C9/'Data Entry'!C$6)), 0)</f>
        <v>8.4019301731478855</v>
      </c>
      <c r="E6" s="1">
        <f>IF((E$3&gt;0),(1000*('Data Entry'!D9/'Data Entry'!D$6)), 0)</f>
        <v>85.855333762610002</v>
      </c>
      <c r="F6" s="1">
        <f>IF((F$3&gt;0),(1000*('Data Entry'!E9/'Data Entry'!E$6)), 0)</f>
        <v>1.358080579447714</v>
      </c>
      <c r="G6" s="1">
        <f>IF((G$3&gt;0),(1000*('Data Entry'!F9/'Data Entry'!F$6)), 0)</f>
        <v>0</v>
      </c>
      <c r="H6" s="1">
        <f>IF((H$3&gt;0),(1000*('Data Entry'!G9/'Data Entry'!G$6)), 0)</f>
        <v>0</v>
      </c>
      <c r="I6" s="1">
        <f>IF((I$3&gt;0),(1000*('Data Entry'!H9/'Data Entry'!H$6)), 0)</f>
        <v>64</v>
      </c>
      <c r="J6" s="1">
        <f>IF((J$3&gt;0),(1000*('Data Entry'!I9/'Data Entry'!I$6)), 0)</f>
        <v>0</v>
      </c>
      <c r="K6" s="1">
        <f>IF((K$3&gt;0),(1000*('Data Entry'!J9/'Data Entry'!J$6)), 0)</f>
        <v>58.309786796814798</v>
      </c>
    </row>
    <row r="7" spans="2:11" ht="15" customHeight="1">
      <c r="B7" s="16" t="s">
        <v>11</v>
      </c>
      <c r="C7" s="1">
        <f>IF((C$3&gt;0),(1000*('Data Entry'!B10/'Data Entry'!B$6)), 0)</f>
        <v>12.558560686587143</v>
      </c>
      <c r="D7" s="1">
        <f>IF((D$3&gt;0),(1000*('Data Entry'!C10/'Data Entry'!C$6)), 0)</f>
        <v>1.8166335509508942</v>
      </c>
      <c r="E7" s="1">
        <f>IF((E$3&gt;0),(1000*('Data Entry'!D10/'Data Entry'!D$6)), 0)</f>
        <v>53.874221936037777</v>
      </c>
      <c r="F7" s="1">
        <f>IF((F$3&gt;0),(1000*('Data Entry'!E10/'Data Entry'!E$6)), 0)</f>
        <v>0</v>
      </c>
      <c r="G7" s="1">
        <f>IF((G$3&gt;0),(1000*('Data Entry'!F10/'Data Entry'!F$6)), 0)</f>
        <v>2.5220680958385877</v>
      </c>
      <c r="H7" s="1">
        <f>IF((H$3&gt;0),(1000*('Data Entry'!G10/'Data Entry'!G$6)), 0)</f>
        <v>0</v>
      </c>
      <c r="I7" s="1">
        <f>IF((I$3&gt;0),(1000*('Data Entry'!H10/'Data Entry'!H$6)), 0)</f>
        <v>0</v>
      </c>
      <c r="J7" s="1">
        <f>IF((J$3&gt;0),(1000*('Data Entry'!I10/'Data Entry'!I$6)), 0)</f>
        <v>0</v>
      </c>
      <c r="K7" s="1">
        <f>IF((K$3&gt;0),(1000*('Data Entry'!J10/'Data Entry'!J$6)), 0)</f>
        <v>36.218854353968659</v>
      </c>
    </row>
    <row r="8" spans="2:11" ht="15" customHeight="1">
      <c r="B8" s="16" t="s">
        <v>95</v>
      </c>
      <c r="C8" s="1">
        <f>IF((C$3&gt;0),(1000*('Data Entry'!B11/'Data Entry'!B$6)), 0)</f>
        <v>24.526593441203101</v>
      </c>
      <c r="D8" s="1">
        <f>IF((D$3&gt;0),(1000*('Data Entry'!C11/'Data Entry'!C$6)), 0)</f>
        <v>4.1441952881067277</v>
      </c>
      <c r="E8" s="1">
        <f>IF((E$3&gt;0),(1000*('Data Entry'!D11/'Data Entry'!D$6)), 0)</f>
        <v>96.372612148529726</v>
      </c>
      <c r="F8" s="1">
        <f>IF((F$3&gt;0),(1000*('Data Entry'!E11/'Data Entry'!E$6)), 0)</f>
        <v>0</v>
      </c>
      <c r="G8" s="1">
        <f>IF((G$3&gt;0),(1000*('Data Entry'!F11/'Data Entry'!F$6)), 0)</f>
        <v>2.5220680958385877</v>
      </c>
      <c r="H8" s="1">
        <f>IF((H$3&gt;0),(1000*('Data Entry'!G11/'Data Entry'!G$6)), 0)</f>
        <v>0</v>
      </c>
      <c r="I8" s="1">
        <f>IF((I$3&gt;0),(1000*('Data Entry'!H11/'Data Entry'!H$6)), 0)</f>
        <v>0</v>
      </c>
      <c r="J8" s="1">
        <f>IF((J$3&gt;0),(1000*('Data Entry'!I11/'Data Entry'!I$6)), 0)</f>
        <v>0</v>
      </c>
      <c r="K8" s="1">
        <f>IF((K$3&gt;0),(1000*('Data Entry'!J11/'Data Entry'!J$6)), 0)</f>
        <v>68.713074749550472</v>
      </c>
    </row>
    <row r="9" spans="2:11" ht="15" customHeight="1">
      <c r="B9" s="16" t="s">
        <v>13</v>
      </c>
      <c r="C9" s="1">
        <f>IF((C$3&gt;0),(1000*('Data Entry'!B12/'Data Entry'!B$6)), 0)</f>
        <v>10.117711901106256</v>
      </c>
      <c r="D9" s="1">
        <f>IF((D$3&gt;0),(1000*('Data Entry'!C12/'Data Entry'!C$6)), 0)</f>
        <v>1.930173147885325</v>
      </c>
      <c r="E9" s="1">
        <f>IF((E$3&gt;0),(1000*('Data Entry'!D12/'Data Entry'!D$6)), 0)</f>
        <v>39.064176861987548</v>
      </c>
      <c r="F9" s="1">
        <f>IF((F$3&gt;0),(1000*('Data Entry'!E12/'Data Entry'!E$6)), 0)</f>
        <v>0</v>
      </c>
      <c r="G9" s="1">
        <f>IF((G$3&gt;0),(1000*('Data Entry'!F12/'Data Entry'!F$6)), 0)</f>
        <v>2.5220680958385877</v>
      </c>
      <c r="H9" s="1">
        <f>IF((H$3&gt;0),(1000*('Data Entry'!G12/'Data Entry'!G$6)), 0)</f>
        <v>0</v>
      </c>
      <c r="I9" s="1">
        <f>IF((I$3&gt;0),(1000*('Data Entry'!H12/'Data Entry'!H$6)), 0)</f>
        <v>0</v>
      </c>
      <c r="J9" s="1">
        <f>IF((J$3&gt;0),(1000*('Data Entry'!I12/'Data Entry'!I$6)), 0)</f>
        <v>0</v>
      </c>
      <c r="K9" s="1">
        <f>IF((K$3&gt;0),(1000*('Data Entry'!J12/'Data Entry'!J$6)), 0)</f>
        <v>28.384279475982535</v>
      </c>
    </row>
    <row r="10" spans="2:11" ht="15" customHeight="1">
      <c r="B10" s="16" t="s">
        <v>14</v>
      </c>
      <c r="C10" s="1">
        <f>IF((C$3&gt;0),(1000*('Data Entry'!B13/'Data Entry'!B$6)), 0)</f>
        <v>3.5825361206251722</v>
      </c>
      <c r="D10" s="1">
        <f>IF((D$3&gt;0),(1000*('Data Entry'!C13/'Data Entry'!C$6)), 0)</f>
        <v>1.0786261708770934</v>
      </c>
      <c r="E10" s="1">
        <f>IF((E$3&gt;0),(1000*('Data Entry'!D13/'Data Entry'!D$6)), 0)</f>
        <v>11.805108392358875</v>
      </c>
      <c r="F10" s="1">
        <f>IF((F$3&gt;0),(1000*('Data Entry'!E13/'Data Entry'!E$6)), 0)</f>
        <v>0</v>
      </c>
      <c r="G10" s="1">
        <f>IF((G$3&gt;0),(1000*('Data Entry'!F13/'Data Entry'!F$6)), 0)</f>
        <v>1.2610340479192939</v>
      </c>
      <c r="H10" s="1">
        <f>IF((H$3&gt;0),(1000*('Data Entry'!G13/'Data Entry'!G$6)), 0)</f>
        <v>0</v>
      </c>
      <c r="I10" s="1">
        <f>IF((I$3&gt;0),(1000*('Data Entry'!H13/'Data Entry'!H$6)), 0)</f>
        <v>0</v>
      </c>
      <c r="J10" s="1">
        <f>IF((J$3&gt;0),(1000*('Data Entry'!I13/'Data Entry'!I$6)), 0)</f>
        <v>0</v>
      </c>
      <c r="K10" s="1">
        <f>IF((K$3&gt;0),(1000*('Data Entry'!J13/'Data Entry'!J$6)), 0)</f>
        <v>9.1189314153609047</v>
      </c>
    </row>
    <row r="11" spans="2:11" ht="25.5" customHeight="1">
      <c r="B11" s="16" t="s">
        <v>15</v>
      </c>
      <c r="C11" s="1">
        <f>IF((C$3&gt;0),(1000*('Data Entry'!B14/'Data Entry'!B$6)), 0)</f>
        <v>0.35431675918270933</v>
      </c>
      <c r="D11" s="1">
        <f>IF((D$3&gt;0),(1000*('Data Entry'!C14/'Data Entry'!C$6)), 0)</f>
        <v>0</v>
      </c>
      <c r="E11" s="1">
        <f>IF((E$3&gt;0),(1000*('Data Entry'!D14/'Data Entry'!D$6)), 0)</f>
        <v>1.7171066752522</v>
      </c>
      <c r="F11" s="1">
        <f>IF((F$3&gt;0),(1000*('Data Entry'!E14/'Data Entry'!E$6)), 0)</f>
        <v>0.45269352648257127</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1.1559208836372976</v>
      </c>
    </row>
    <row r="12" spans="2:11" ht="15" customHeight="1">
      <c r="B12" s="16" t="s">
        <v>16</v>
      </c>
      <c r="C12" s="1">
        <f>IF((C$3&gt;0),(1000*('Data Entry'!B15/'Data Entry'!B$6)), 0)</f>
        <v>7.8737057596157636E-2</v>
      </c>
      <c r="D12" s="1">
        <f>IF((D$3&gt;0),(1000*('Data Entry'!C15/'Data Entry'!C$6)), 0)</f>
        <v>0</v>
      </c>
      <c r="E12" s="1">
        <f>IF((E$3&gt;0),(1000*('Data Entry'!D15/'Data Entry'!D$6)), 0)</f>
        <v>0.42927666881304999</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0.25687130747495507</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Kalamazoo</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11.243066616960947</v>
      </c>
      <c r="E19" s="72" t="str">
        <f t="shared" si="1"/>
        <v>--</v>
      </c>
      <c r="F19" s="72" t="str">
        <f t="shared" si="1"/>
        <v>--</v>
      </c>
      <c r="G19" s="72" t="str">
        <f t="shared" si="1"/>
        <v>--</v>
      </c>
      <c r="H19" s="72" t="str">
        <f t="shared" si="1"/>
        <v>--</v>
      </c>
      <c r="I19" s="72" t="str">
        <f t="shared" si="1"/>
        <v>--</v>
      </c>
      <c r="J19" s="73">
        <f t="shared" si="1"/>
        <v>6.7276454364784293</v>
      </c>
    </row>
    <row r="20" spans="2:10" ht="15" customHeight="1">
      <c r="B20" s="71" t="s">
        <v>9</v>
      </c>
      <c r="C20" s="72">
        <f t="shared" ref="C20:J27" si="2">IF(AND(($D5&gt;0),(D5&gt;0)), (D5/$D5),"--")</f>
        <v>1</v>
      </c>
      <c r="D20" s="72">
        <f t="shared" si="2"/>
        <v>13.524399627733986</v>
      </c>
      <c r="E20" s="72">
        <f t="shared" si="2"/>
        <v>9.4555689355618505E-2</v>
      </c>
      <c r="F20" s="72">
        <f t="shared" si="2"/>
        <v>0.17559774509168666</v>
      </c>
      <c r="G20" s="72" t="str">
        <f t="shared" si="2"/>
        <v>--</v>
      </c>
      <c r="H20" s="72">
        <f t="shared" si="2"/>
        <v>5.0129644268774705</v>
      </c>
      <c r="I20" s="72" t="str">
        <f t="shared" si="2"/>
        <v>--</v>
      </c>
      <c r="J20" s="73">
        <f t="shared" si="2"/>
        <v>9.1926524653046062</v>
      </c>
    </row>
    <row r="21" spans="2:10" ht="15" customHeight="1">
      <c r="B21" s="71" t="s">
        <v>10</v>
      </c>
      <c r="C21" s="72">
        <f t="shared" si="2"/>
        <v>1</v>
      </c>
      <c r="D21" s="72">
        <f t="shared" si="2"/>
        <v>10.218525028570102</v>
      </c>
      <c r="E21" s="72">
        <f t="shared" si="2"/>
        <v>0.16163911761467217</v>
      </c>
      <c r="F21" s="72" t="str">
        <f t="shared" si="2"/>
        <v>--</v>
      </c>
      <c r="G21" s="72" t="str">
        <f t="shared" si="2"/>
        <v>--</v>
      </c>
      <c r="H21" s="72">
        <f t="shared" si="2"/>
        <v>7.6172972972972968</v>
      </c>
      <c r="I21" s="72" t="str">
        <f t="shared" si="2"/>
        <v>--</v>
      </c>
      <c r="J21" s="73">
        <f t="shared" si="2"/>
        <v>6.9400465839587344</v>
      </c>
    </row>
    <row r="22" spans="2:10" ht="15" customHeight="1">
      <c r="B22" s="71" t="s">
        <v>11</v>
      </c>
      <c r="C22" s="72">
        <f t="shared" si="2"/>
        <v>1</v>
      </c>
      <c r="D22" s="72">
        <f t="shared" si="2"/>
        <v>29.656075606353294</v>
      </c>
      <c r="E22" s="72" t="str">
        <f t="shared" si="2"/>
        <v>--</v>
      </c>
      <c r="F22" s="72">
        <f t="shared" si="2"/>
        <v>1.3883196721311475</v>
      </c>
      <c r="G22" s="72" t="str">
        <f t="shared" si="2"/>
        <v>--</v>
      </c>
      <c r="H22" s="72" t="str">
        <f t="shared" si="2"/>
        <v>--</v>
      </c>
      <c r="I22" s="72" t="str">
        <f t="shared" si="2"/>
        <v>--</v>
      </c>
      <c r="J22" s="73">
        <f t="shared" si="2"/>
        <v>19.937347482661185</v>
      </c>
    </row>
    <row r="23" spans="2:10" ht="15" customHeight="1">
      <c r="B23" s="71" t="s">
        <v>95</v>
      </c>
      <c r="C23" s="72">
        <f t="shared" si="2"/>
        <v>1</v>
      </c>
      <c r="D23" s="72">
        <f t="shared" si="2"/>
        <v>23.254843328717136</v>
      </c>
      <c r="E23" s="72" t="str">
        <f t="shared" si="2"/>
        <v>--</v>
      </c>
      <c r="F23" s="72">
        <f t="shared" si="2"/>
        <v>0.60857848641365364</v>
      </c>
      <c r="G23" s="72" t="str">
        <f t="shared" si="2"/>
        <v>--</v>
      </c>
      <c r="H23" s="72" t="str">
        <f t="shared" si="2"/>
        <v>--</v>
      </c>
      <c r="I23" s="72" t="str">
        <f t="shared" si="2"/>
        <v>--</v>
      </c>
      <c r="J23" s="73">
        <f t="shared" si="2"/>
        <v>16.580559064566184</v>
      </c>
    </row>
    <row r="24" spans="2:10" ht="15" customHeight="1">
      <c r="B24" s="71" t="s">
        <v>13</v>
      </c>
      <c r="C24" s="72">
        <f t="shared" si="2"/>
        <v>1</v>
      </c>
      <c r="D24" s="72">
        <f t="shared" si="2"/>
        <v>20.238690453644431</v>
      </c>
      <c r="E24" s="72" t="str">
        <f t="shared" si="2"/>
        <v>--</v>
      </c>
      <c r="F24" s="72">
        <f t="shared" si="2"/>
        <v>1.3066538090646094</v>
      </c>
      <c r="G24" s="72" t="str">
        <f t="shared" si="2"/>
        <v>--</v>
      </c>
      <c r="H24" s="72" t="str">
        <f t="shared" si="2"/>
        <v>--</v>
      </c>
      <c r="I24" s="72" t="str">
        <f t="shared" si="2"/>
        <v>--</v>
      </c>
      <c r="J24" s="73">
        <f t="shared" si="2"/>
        <v>14.705561263806834</v>
      </c>
    </row>
    <row r="25" spans="2:10" ht="15" customHeight="1">
      <c r="B25" s="71" t="s">
        <v>14</v>
      </c>
      <c r="C25" s="72">
        <f t="shared" si="2"/>
        <v>1</v>
      </c>
      <c r="D25" s="72">
        <f t="shared" si="2"/>
        <v>10.944578122705346</v>
      </c>
      <c r="E25" s="72" t="str">
        <f t="shared" si="2"/>
        <v>--</v>
      </c>
      <c r="F25" s="72">
        <f t="shared" si="2"/>
        <v>1.1691113028472822</v>
      </c>
      <c r="G25" s="72" t="str">
        <f t="shared" si="2"/>
        <v>--</v>
      </c>
      <c r="H25" s="72" t="str">
        <f t="shared" si="2"/>
        <v>--</v>
      </c>
      <c r="I25" s="72" t="str">
        <f t="shared" si="2"/>
        <v>--</v>
      </c>
      <c r="J25" s="73">
        <f t="shared" si="2"/>
        <v>8.4542093095569637</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Kalamazoo</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17615</v>
      </c>
      <c r="D7" s="104">
        <f>'Data Entry'!D6</f>
        <v>4659</v>
      </c>
      <c r="E7" s="105"/>
      <c r="F7" s="106">
        <f>'Data Entry'!E6</f>
        <v>2209</v>
      </c>
      <c r="G7" s="105"/>
      <c r="H7" s="106">
        <f>'Data Entry'!F6</f>
        <v>793</v>
      </c>
      <c r="I7" s="105"/>
      <c r="J7" s="106">
        <f>'Data Entry'!G6</f>
        <v>0</v>
      </c>
      <c r="K7" s="105"/>
      <c r="L7" s="106">
        <f>'Data Entry'!H6</f>
        <v>125</v>
      </c>
      <c r="M7" s="105"/>
      <c r="N7" s="106">
        <f>'Data Entry'!I6</f>
        <v>0</v>
      </c>
      <c r="O7" s="105"/>
      <c r="P7" s="106">
        <f>'Data Entry'!J6</f>
        <v>7786</v>
      </c>
      <c r="Q7" s="107"/>
    </row>
    <row r="8" spans="2:26" s="1" customFormat="1" ht="15" customHeight="1">
      <c r="B8" s="142" t="s">
        <v>8</v>
      </c>
      <c r="C8" s="103">
        <f>'Data Entry'!C7</f>
        <v>114</v>
      </c>
      <c r="D8" s="104">
        <f>'Data Entry'!D7</f>
        <v>339</v>
      </c>
      <c r="E8" s="105">
        <f>'Black or African-American'!$G7</f>
        <v>11.243066616960945</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339</v>
      </c>
      <c r="Q8" s="107">
        <f>'All Minorities'!G7</f>
        <v>6.7276454364784293</v>
      </c>
      <c r="R8"/>
      <c r="T8" s="1">
        <f>'Black or African-American'!L7</f>
        <v>1</v>
      </c>
      <c r="U8" s="1">
        <f>Hispanic!L7</f>
        <v>20</v>
      </c>
      <c r="V8" s="1">
        <f>Asian!L7</f>
        <v>20</v>
      </c>
      <c r="W8" s="1" t="e">
        <f>Hawaiian!L7</f>
        <v>#VALUE!</v>
      </c>
      <c r="X8" s="1">
        <f>'Am Indian'!L7</f>
        <v>139</v>
      </c>
      <c r="Y8" s="1" t="e">
        <f>'Other - Mixed'!L7</f>
        <v>#VALUE!</v>
      </c>
      <c r="Z8" s="1">
        <f>'All Minorities'!L7</f>
        <v>1</v>
      </c>
    </row>
    <row r="9" spans="2:26" s="1" customFormat="1" ht="15" customHeight="1">
      <c r="B9" s="142" t="s">
        <v>126</v>
      </c>
      <c r="C9" s="103">
        <f>'Data Entry'!C8</f>
        <v>253</v>
      </c>
      <c r="D9" s="108">
        <f>'Data Entry'!D8</f>
        <v>905</v>
      </c>
      <c r="E9" s="109">
        <f>'Black or African-American'!$G8</f>
        <v>1.2029102102207141</v>
      </c>
      <c r="F9" s="110">
        <f>'Data Entry'!E8</f>
        <v>3</v>
      </c>
      <c r="G9" s="109" t="str">
        <f>Hispanic!G8</f>
        <v>**</v>
      </c>
      <c r="H9" s="110">
        <f>'Data Entry'!F8</f>
        <v>2</v>
      </c>
      <c r="I9" s="109" t="str">
        <f>Asian!G8</f>
        <v>**</v>
      </c>
      <c r="J9" s="110">
        <f>'Data Entry'!G8</f>
        <v>0</v>
      </c>
      <c r="K9" s="109" t="str">
        <f>Hawaiian!G8</f>
        <v>*</v>
      </c>
      <c r="L9" s="110">
        <f>'Data Entry'!H8</f>
        <v>9</v>
      </c>
      <c r="M9" s="109" t="str">
        <f>'Am Indian'!G8</f>
        <v>*</v>
      </c>
      <c r="N9" s="110">
        <f>'Data Entry'!I8</f>
        <v>109</v>
      </c>
      <c r="O9" s="109" t="str">
        <f>'Other - Mixed'!G8</f>
        <v>*</v>
      </c>
      <c r="P9" s="110">
        <f>'Data Entry'!J8</f>
        <v>1028</v>
      </c>
      <c r="Q9" s="111">
        <f>'All Minorities'!G8</f>
        <v>1.3663996642065126</v>
      </c>
      <c r="R9"/>
      <c r="T9" s="1">
        <f>'Black or African-American'!L8</f>
        <v>1</v>
      </c>
      <c r="U9" s="1">
        <f>Hispanic!L8</f>
        <v>20</v>
      </c>
      <c r="V9" s="1">
        <f>Asian!L8</f>
        <v>20</v>
      </c>
      <c r="W9" s="1">
        <f>Hawaiian!L8</f>
        <v>139</v>
      </c>
      <c r="X9" s="1">
        <f>'Am Indian'!L8</f>
        <v>119</v>
      </c>
      <c r="Y9" s="1">
        <f>'Other - Mixed'!L8</f>
        <v>119</v>
      </c>
      <c r="Z9" s="1">
        <f>'All Minorities'!L8</f>
        <v>1</v>
      </c>
    </row>
    <row r="10" spans="2:26" s="1" customFormat="1" ht="15" customHeight="1">
      <c r="B10" s="142" t="s">
        <v>10</v>
      </c>
      <c r="C10" s="103">
        <f>'Data Entry'!C9</f>
        <v>148</v>
      </c>
      <c r="D10" s="112">
        <f>'Data Entry'!D9</f>
        <v>400</v>
      </c>
      <c r="E10" s="113">
        <f>'Black or African-American'!$G9</f>
        <v>0.75556219202628028</v>
      </c>
      <c r="F10" s="114">
        <f>'Data Entry'!E9</f>
        <v>3</v>
      </c>
      <c r="G10" s="113" t="str">
        <f>Hispanic!G9</f>
        <v>**</v>
      </c>
      <c r="H10" s="114">
        <f>'Data Entry'!F9</f>
        <v>0</v>
      </c>
      <c r="I10" s="113" t="str">
        <f>Asian!G9</f>
        <v>**</v>
      </c>
      <c r="J10" s="114">
        <f>'Data Entry'!G9</f>
        <v>0</v>
      </c>
      <c r="K10" s="113" t="str">
        <f>Hawaiian!G9</f>
        <v>*</v>
      </c>
      <c r="L10" s="114">
        <f>'Data Entry'!H9</f>
        <v>8</v>
      </c>
      <c r="M10" s="113" t="str">
        <f>'Am Indian'!G9</f>
        <v>*</v>
      </c>
      <c r="N10" s="114">
        <f>'Data Entry'!I9</f>
        <v>43</v>
      </c>
      <c r="O10" s="113" t="str">
        <f>'Other - Mixed'!G9</f>
        <v>*</v>
      </c>
      <c r="P10" s="114">
        <f>'Data Entry'!J9</f>
        <v>454</v>
      </c>
      <c r="Q10" s="115">
        <f>'All Minorities'!G9</f>
        <v>0.75495583131769894</v>
      </c>
      <c r="R10"/>
      <c r="T10" s="1">
        <f>'Black or African-American'!L9</f>
        <v>1</v>
      </c>
      <c r="U10" s="1">
        <f>Hispanic!L9</f>
        <v>40</v>
      </c>
      <c r="V10" s="1">
        <f>Asian!L9</f>
        <v>40</v>
      </c>
      <c r="W10" s="1" t="e">
        <f>Hawaiian!L9</f>
        <v>#VALUE!</v>
      </c>
      <c r="X10" s="1">
        <f>'Am Indian'!L9</f>
        <v>139</v>
      </c>
      <c r="Y10" s="1">
        <f>'Other - Mixed'!L9</f>
        <v>100</v>
      </c>
      <c r="Z10" s="1">
        <f>'All Minorities'!L9</f>
        <v>1</v>
      </c>
    </row>
    <row r="11" spans="2:26" s="1" customFormat="1" ht="15" customHeight="1">
      <c r="B11" s="142" t="s">
        <v>11</v>
      </c>
      <c r="C11" s="103">
        <f>'Data Entry'!C10</f>
        <v>32</v>
      </c>
      <c r="D11" s="108">
        <f>'Data Entry'!D10</f>
        <v>251</v>
      </c>
      <c r="E11" s="109">
        <f>'Black or African-American'!$G10</f>
        <v>2.1927831491712704</v>
      </c>
      <c r="F11" s="110">
        <f>'Data Entry'!E10</f>
        <v>0</v>
      </c>
      <c r="G11" s="109" t="str">
        <f>Hispanic!G10</f>
        <v>**</v>
      </c>
      <c r="H11" s="110">
        <f>'Data Entry'!F10</f>
        <v>2</v>
      </c>
      <c r="I11" s="109" t="str">
        <f>Asian!G10</f>
        <v>**</v>
      </c>
      <c r="J11" s="110">
        <f>'Data Entry'!G10</f>
        <v>0</v>
      </c>
      <c r="K11" s="109" t="str">
        <f>Hawaiian!G10</f>
        <v>*</v>
      </c>
      <c r="L11" s="110">
        <f>'Data Entry'!H10</f>
        <v>0</v>
      </c>
      <c r="M11" s="109" t="str">
        <f>'Am Indian'!G10</f>
        <v>*</v>
      </c>
      <c r="N11" s="110">
        <f>'Data Entry'!I10</f>
        <v>29</v>
      </c>
      <c r="O11" s="109" t="str">
        <f>'Other - Mixed'!G10</f>
        <v>*</v>
      </c>
      <c r="P11" s="110">
        <f>'Data Entry'!J10</f>
        <v>282</v>
      </c>
      <c r="Q11" s="111">
        <f>'All Minorities'!G10</f>
        <v>2.1688351167315174</v>
      </c>
      <c r="R11"/>
      <c r="T11" s="1">
        <f>'Black or African-American'!L10</f>
        <v>1</v>
      </c>
      <c r="U11" s="1">
        <f>Hispanic!L10</f>
        <v>40</v>
      </c>
      <c r="V11" s="1">
        <f>Asian!L10</f>
        <v>20</v>
      </c>
      <c r="W11" s="1" t="e">
        <f>Hawaiian!L10</f>
        <v>#VALUE!</v>
      </c>
      <c r="X11" s="1">
        <f>'Am Indian'!L10</f>
        <v>139</v>
      </c>
      <c r="Y11" s="1">
        <f>'Other - Mixed'!L10</f>
        <v>100</v>
      </c>
      <c r="Z11" s="1">
        <f>'All Minorities'!L10</f>
        <v>1</v>
      </c>
    </row>
    <row r="12" spans="2:26" s="1" customFormat="1" ht="15" customHeight="1">
      <c r="B12" s="142" t="s">
        <v>95</v>
      </c>
      <c r="C12" s="103">
        <f>'Data Entry'!C11</f>
        <v>73</v>
      </c>
      <c r="D12" s="112">
        <f>'Data Entry'!D11</f>
        <v>449</v>
      </c>
      <c r="E12" s="113">
        <f>'Black or African-American'!$G11</f>
        <v>1.7194732460455611</v>
      </c>
      <c r="F12" s="114">
        <f>'Data Entry'!E11</f>
        <v>0</v>
      </c>
      <c r="G12" s="113" t="str">
        <f>Hispanic!G11</f>
        <v>**</v>
      </c>
      <c r="H12" s="114">
        <f>'Data Entry'!F11</f>
        <v>2</v>
      </c>
      <c r="I12" s="113" t="str">
        <f>Asian!G11</f>
        <v>**</v>
      </c>
      <c r="J12" s="114">
        <f>'Data Entry'!G11</f>
        <v>0</v>
      </c>
      <c r="K12" s="113" t="str">
        <f>Hawaiian!G11</f>
        <v>*</v>
      </c>
      <c r="L12" s="114">
        <f>'Data Entry'!H11</f>
        <v>0</v>
      </c>
      <c r="M12" s="113" t="str">
        <f>'Am Indian'!G11</f>
        <v>*</v>
      </c>
      <c r="N12" s="114">
        <f>'Data Entry'!I11</f>
        <v>84</v>
      </c>
      <c r="O12" s="113" t="str">
        <f>'Other - Mixed'!G11</f>
        <v>*</v>
      </c>
      <c r="P12" s="114">
        <f>'Data Entry'!J11</f>
        <v>535</v>
      </c>
      <c r="Q12" s="115">
        <f>'All Minorities'!G11</f>
        <v>1.8036751772293587</v>
      </c>
      <c r="R12"/>
      <c r="T12" s="1">
        <f>'Black or African-American'!L11</f>
        <v>1</v>
      </c>
      <c r="U12" s="1">
        <f>Hispanic!L11</f>
        <v>40</v>
      </c>
      <c r="V12" s="1">
        <f>Asian!L11</f>
        <v>20</v>
      </c>
      <c r="W12" s="1" t="e">
        <f>Hawaiian!L11</f>
        <v>#VALUE!</v>
      </c>
      <c r="X12" s="1">
        <f>'Am Indian'!L11</f>
        <v>139</v>
      </c>
      <c r="Y12" s="1">
        <f>'Other - Mixed'!L11</f>
        <v>100</v>
      </c>
      <c r="Z12" s="1">
        <f>'All Minorities'!L11</f>
        <v>1</v>
      </c>
    </row>
    <row r="13" spans="2:26" s="1" customFormat="1" ht="15" customHeight="1">
      <c r="B13" s="142" t="s">
        <v>13</v>
      </c>
      <c r="C13" s="103">
        <f>'Data Entry'!C12</f>
        <v>34</v>
      </c>
      <c r="D13" s="108">
        <f>'Data Entry'!D12</f>
        <v>182</v>
      </c>
      <c r="E13" s="109">
        <f>'Black or African-American'!$G12</f>
        <v>0.8703000131010088</v>
      </c>
      <c r="F13" s="110">
        <f>'Data Entry'!E12</f>
        <v>0</v>
      </c>
      <c r="G13" s="109" t="str">
        <f>Hispanic!G12</f>
        <v>--</v>
      </c>
      <c r="H13" s="110">
        <f>'Data Entry'!F12</f>
        <v>2</v>
      </c>
      <c r="I13" s="109" t="str">
        <f>Asian!G12</f>
        <v>**</v>
      </c>
      <c r="J13" s="110">
        <f>'Data Entry'!G12</f>
        <v>0</v>
      </c>
      <c r="K13" s="109" t="str">
        <f>Hawaiian!G12</f>
        <v>*</v>
      </c>
      <c r="L13" s="110">
        <f>'Data Entry'!H12</f>
        <v>0</v>
      </c>
      <c r="M13" s="109" t="str">
        <f>'Am Indian'!G12</f>
        <v>*</v>
      </c>
      <c r="N13" s="110">
        <f>'Data Entry'!I12</f>
        <v>37</v>
      </c>
      <c r="O13" s="109" t="str">
        <f>'Other - Mixed'!G12</f>
        <v>*</v>
      </c>
      <c r="P13" s="110">
        <f>'Data Entry'!J12</f>
        <v>221</v>
      </c>
      <c r="Q13" s="111">
        <f>'All Minorities'!G12</f>
        <v>0.88691588785046738</v>
      </c>
      <c r="R13"/>
      <c r="T13" s="1">
        <f>'Black or African-American'!L12</f>
        <v>2</v>
      </c>
      <c r="U13" s="1" t="e">
        <f>Hispanic!L12</f>
        <v>#VALUE!</v>
      </c>
      <c r="V13" s="1">
        <f>Asian!L12</f>
        <v>40</v>
      </c>
      <c r="W13" s="1" t="e">
        <f>Hawaiian!L12</f>
        <v>#VALUE!</v>
      </c>
      <c r="X13" s="1" t="e">
        <f>'Am Indian'!L12</f>
        <v>#VALUE!</v>
      </c>
      <c r="Y13" s="1">
        <f>'Other - Mixed'!L12</f>
        <v>101</v>
      </c>
      <c r="Z13" s="1">
        <f>'All Minorities'!L12</f>
        <v>2</v>
      </c>
    </row>
    <row r="14" spans="2:26" s="1" customFormat="1" ht="15" customHeight="1">
      <c r="B14" s="142" t="s">
        <v>125</v>
      </c>
      <c r="C14" s="103">
        <f>'Data Entry'!C13</f>
        <v>19</v>
      </c>
      <c r="D14" s="112">
        <f>'Data Entry'!D13</f>
        <v>55</v>
      </c>
      <c r="E14" s="113">
        <f>'Black or African-American'!$G13</f>
        <v>0.54077501445922505</v>
      </c>
      <c r="F14" s="114">
        <f>'Data Entry'!E13</f>
        <v>0</v>
      </c>
      <c r="G14" s="113" t="str">
        <f>Hispanic!G13</f>
        <v>--</v>
      </c>
      <c r="H14" s="114">
        <f>'Data Entry'!F13</f>
        <v>1</v>
      </c>
      <c r="I14" s="113" t="str">
        <f>Asian!G13</f>
        <v>**</v>
      </c>
      <c r="J14" s="114">
        <f>'Data Entry'!G13</f>
        <v>1</v>
      </c>
      <c r="K14" s="113" t="str">
        <f>Hawaiian!G13</f>
        <v>*</v>
      </c>
      <c r="L14" s="114">
        <f>'Data Entry'!H13</f>
        <v>0</v>
      </c>
      <c r="M14" s="113" t="str">
        <f>'Am Indian'!G13</f>
        <v>*</v>
      </c>
      <c r="N14" s="114">
        <f>'Data Entry'!I13</f>
        <v>14</v>
      </c>
      <c r="O14" s="113" t="str">
        <f>'Other - Mixed'!G13</f>
        <v>*</v>
      </c>
      <c r="P14" s="114">
        <f>'Data Entry'!J13</f>
        <v>71</v>
      </c>
      <c r="Q14" s="115">
        <f>'All Minorities'!G13</f>
        <v>0.57489878542510131</v>
      </c>
      <c r="R14"/>
      <c r="T14" s="1">
        <f>'Black or African-American'!L13</f>
        <v>1</v>
      </c>
      <c r="U14" s="1" t="e">
        <f>Hispanic!L13</f>
        <v>#VALUE!</v>
      </c>
      <c r="V14" s="1">
        <f>Asian!L13</f>
        <v>40</v>
      </c>
      <c r="W14" s="1" t="e">
        <f>Hawaiian!L13</f>
        <v>#DIV/0!</v>
      </c>
      <c r="X14" s="1" t="e">
        <f>'Am Indian'!L13</f>
        <v>#VALUE!</v>
      </c>
      <c r="Y14" s="1">
        <f>'Other - Mixed'!L13</f>
        <v>101</v>
      </c>
      <c r="Z14" s="1">
        <f>'All Minorities'!L13</f>
        <v>1</v>
      </c>
    </row>
    <row r="15" spans="2:26" s="1" customFormat="1" ht="33">
      <c r="B15" s="144" t="s">
        <v>115</v>
      </c>
      <c r="C15" s="103">
        <f>'Data Entry'!C14</f>
        <v>0</v>
      </c>
      <c r="D15" s="108">
        <f>'Data Entry'!D14</f>
        <v>8</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9</v>
      </c>
      <c r="Q15" s="111" t="str">
        <f>'All Minorities'!G14</f>
        <v>**</v>
      </c>
      <c r="R15"/>
      <c r="T15" s="1">
        <f>'Black or African-American'!L14</f>
        <v>40</v>
      </c>
      <c r="U15" s="1" t="e">
        <f>Hispanic!L14</f>
        <v>#DIV/0!</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2</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2</v>
      </c>
      <c r="Q16" s="119" t="str">
        <f>'All Minorities'!G15</f>
        <v>**</v>
      </c>
      <c r="R16"/>
      <c r="T16" s="1">
        <f>'Black or African-American'!L15</f>
        <v>40</v>
      </c>
      <c r="U16" s="1" t="e">
        <f>Hispanic!L15</f>
        <v>#VALUE!</v>
      </c>
      <c r="V16" s="1" t="e">
        <f>Asian!L15</f>
        <v>#VALUE!</v>
      </c>
      <c r="W16" s="1" t="e">
        <f>Hawaiian!L15</f>
        <v>#VALUE!</v>
      </c>
      <c r="X16" s="1" t="e">
        <f>'Am Indian'!L15</f>
        <v>#VALUE!</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Kalamazoo County Juvenile Court</v>
      </c>
      <c r="E27" s="1" t="str">
        <f>'Data Entry'!D20</f>
        <v>Item 4.Diversion: Kalamazoo County Juvenile Court</v>
      </c>
      <c r="I27" s="96"/>
      <c r="J27" s="96"/>
    </row>
    <row r="28" spans="2:18" ht="12.75" customHeight="1">
      <c r="B28" s="1" t="str">
        <f>'Data Entry'!A21</f>
        <v>Item 5.Detention: Kalamazoo County Juvenile Court</v>
      </c>
      <c r="E28" s="1" t="str">
        <f>'Data Entry'!D21</f>
        <v>Item 6.Petitioned: Kalamazoo County Juvenile Court</v>
      </c>
      <c r="I28" s="96"/>
      <c r="J28" s="96"/>
    </row>
    <row r="29" spans="2:18" ht="12.75" customHeight="1">
      <c r="B29" s="1" t="str">
        <f>'Data Entry'!A22</f>
        <v>Item 7.Delinquent: Kalamazoo County Juvenile Court</v>
      </c>
      <c r="E29" s="1" t="str">
        <f>'Data Entry'!D22</f>
        <v>Item 8.Probation: Kalamazoo County Juvenile Court</v>
      </c>
      <c r="I29" s="96"/>
      <c r="J29" s="96"/>
    </row>
    <row r="30" spans="2:18" ht="12.75" customHeight="1">
      <c r="B30" s="1" t="str">
        <f>'Data Entry'!A23</f>
        <v>Item 9.Confinement: Kalamazoo County Juvenile Court</v>
      </c>
      <c r="E30" s="1" t="str">
        <f>'Data Entry'!D23</f>
        <v>Item 10.Transferred: Kalamazoo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Kalamazoo</v>
      </c>
    </row>
    <row r="6" spans="1:12">
      <c r="A6" s="135" t="str">
        <f>CONCATENATE("Percentage of Minorities at Stages of the Juvenile Justice System, ", A5, " 2022")</f>
        <v>Percentage of Minorities at Stages of the Juvenile Justice System, County: Kalamazoo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N=2</v>
      </c>
      <c r="B7" s="150">
        <f>'Data Entry'!D15/'Data Entry'!B15</f>
        <v>1</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N=2</v>
      </c>
      <c r="L7">
        <f>I14/(SUM(B14:G14))</f>
        <v>2.2623940405856673</v>
      </c>
    </row>
    <row r="8" spans="1:12" ht="25.5" customHeight="1">
      <c r="A8" s="151" t="str">
        <f>CONCATENATE("Confinement, total N=", 'Data Entry'!B14)</f>
        <v>Confinement, total N=9</v>
      </c>
      <c r="B8" s="150">
        <f>'Data Entry'!D14/'Data Entry'!B14</f>
        <v>0.88888888888888884</v>
      </c>
      <c r="C8" s="150">
        <f>'Data Entry'!E14/'Data Entry'!B14</f>
        <v>0.1111111111111111</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N=9</v>
      </c>
      <c r="L8">
        <f>I14/(SUM(B14:G14))</f>
        <v>2.2623940405856673</v>
      </c>
    </row>
    <row r="9" spans="1:12">
      <c r="A9" s="128" t="str">
        <f>CONCATENATE("Delinquent Findings, total N=", 'Data Entry'!B12)</f>
        <v>Delinquent Findings, total N=257</v>
      </c>
      <c r="B9" s="150">
        <f>'Data Entry'!D12/'Data Entry'!B12</f>
        <v>0.70817120622568097</v>
      </c>
      <c r="C9" s="150">
        <f>'Data Entry'!E12/'Data Entry'!B12</f>
        <v>0</v>
      </c>
      <c r="D9" s="150">
        <f>'Data Entry'!F12/'Data Entry'!B12</f>
        <v>7.7821011673151752E-3</v>
      </c>
      <c r="E9" s="150">
        <f>'Data Entry'!G12/'Data Entry'!B12</f>
        <v>0</v>
      </c>
      <c r="F9" s="150">
        <f>'Data Entry'!H12/'Data Entry'!B12</f>
        <v>0</v>
      </c>
      <c r="G9" s="150">
        <f>'Data Entry'!I12/'Data Entry'!B12</f>
        <v>0.14396887159533073</v>
      </c>
      <c r="H9" s="150">
        <f>SUM(D9:G9)/'Data Entry'!B12</f>
        <v>5.9047071113869996E-4</v>
      </c>
      <c r="I9" s="150">
        <f>'Data Entry'!C12/'Data Entry'!B12</f>
        <v>0.13229571984435798</v>
      </c>
      <c r="K9" s="96" t="str">
        <f t="shared" si="0"/>
        <v>Delinquent Findings, total N=257</v>
      </c>
      <c r="L9">
        <f>I14/(SUM(B14:G14))</f>
        <v>2.2623940405856673</v>
      </c>
    </row>
    <row r="10" spans="1:12">
      <c r="A10" s="128" t="str">
        <f>CONCATENATE("Petitions, total N=", 'Data Entry'!B11)</f>
        <v>Petitions, total N=623</v>
      </c>
      <c r="B10" s="150">
        <f>'Data Entry'!D11/'Data Entry'!B11</f>
        <v>0.7207062600321027</v>
      </c>
      <c r="C10" s="150">
        <f>'Data Entry'!E11/'Data Entry'!B11</f>
        <v>0</v>
      </c>
      <c r="D10" s="150">
        <f>'Data Entry'!F11/'Data Entry'!B11</f>
        <v>3.2102728731942215E-3</v>
      </c>
      <c r="E10" s="150">
        <f>'Data Entry'!G11/'Data Entry'!B11</f>
        <v>0</v>
      </c>
      <c r="F10" s="150">
        <f>'Data Entry'!H11/'Data Entry'!B11</f>
        <v>0</v>
      </c>
      <c r="G10" s="150">
        <f>'Data Entry'!I11/'Data Entry'!B11</f>
        <v>0.1348314606741573</v>
      </c>
      <c r="H10" s="150">
        <f>SUM(D10:G10)/'Data Entry'!B11</f>
        <v>2.2157581628788367E-4</v>
      </c>
      <c r="I10" s="150">
        <f>'Data Entry'!C11/'Data Entry'!B11</f>
        <v>0.11717495987158909</v>
      </c>
      <c r="K10" s="96" t="str">
        <f t="shared" si="0"/>
        <v>Petitions, total N=623</v>
      </c>
      <c r="L10">
        <f>I14/(SUM(B14:G14))</f>
        <v>2.2623940405856673</v>
      </c>
    </row>
    <row r="11" spans="1:12">
      <c r="A11" s="128" t="str">
        <f>CONCATENATE("Detentions, total N=", 'Data Entry'!B10)</f>
        <v>Detentions, total N=319</v>
      </c>
      <c r="B11" s="150">
        <f>'Data Entry'!D10/'Data Entry'!B10</f>
        <v>0.78683385579937304</v>
      </c>
      <c r="C11" s="150">
        <f>'Data Entry'!E10/'Data Entry'!B10</f>
        <v>0</v>
      </c>
      <c r="D11" s="150">
        <f>'Data Entry'!F10/'Data Entry'!B10</f>
        <v>6.269592476489028E-3</v>
      </c>
      <c r="E11" s="150">
        <f>'Data Entry'!G10/'Data Entry'!B10</f>
        <v>0</v>
      </c>
      <c r="F11" s="150">
        <f>'Data Entry'!H10/'Data Entry'!B10</f>
        <v>0</v>
      </c>
      <c r="G11" s="150">
        <f>'Data Entry'!I10/'Data Entry'!B10</f>
        <v>9.0909090909090912E-2</v>
      </c>
      <c r="H11" s="150">
        <f>SUM(D11:G11)/'Data Entry'!B10</f>
        <v>3.0463537111467066E-4</v>
      </c>
      <c r="I11" s="150">
        <f>'Data Entry'!C10/'Data Entry'!B10</f>
        <v>0.10031347962382445</v>
      </c>
      <c r="K11" s="96" t="str">
        <f t="shared" si="0"/>
        <v>Detentions, total N=319</v>
      </c>
      <c r="L11">
        <f>I14/(SUM(B14:G14))</f>
        <v>2.2623940405856673</v>
      </c>
    </row>
    <row r="12" spans="1:12">
      <c r="A12" s="128" t="str">
        <f>CONCATENATE("Referrals, total N=", 'Data Entry'!B8)</f>
        <v>Referrals, total N=1346</v>
      </c>
      <c r="B12" s="150">
        <f>'Data Entry'!D8/'Data Entry'!B8</f>
        <v>0.67236255572065384</v>
      </c>
      <c r="C12" s="150">
        <f>'Data Entry'!E8/'Data Entry'!B8</f>
        <v>2.2288261515601782E-3</v>
      </c>
      <c r="D12" s="150">
        <f>'Data Entry'!F8/'Data Entry'!B8</f>
        <v>1.4858841010401188E-3</v>
      </c>
      <c r="E12" s="150">
        <f>'Data Entry'!G8/'Data Entry'!B8</f>
        <v>0</v>
      </c>
      <c r="F12" s="150">
        <f>'Data Entry'!H8/'Data Entry'!B8</f>
        <v>6.6864784546805346E-3</v>
      </c>
      <c r="G12" s="150">
        <f>'Data Entry'!I8/'Data Entry'!B8</f>
        <v>8.0980683506686482E-2</v>
      </c>
      <c r="H12" s="150">
        <f>SUM(D12:G12)/'Data Entry'!B8</f>
        <v>6.6235546851714063E-5</v>
      </c>
      <c r="I12" s="150">
        <f>'Data Entry'!C8/'Data Entry'!B8</f>
        <v>0.18796433878157504</v>
      </c>
      <c r="K12" s="96" t="str">
        <f t="shared" si="0"/>
        <v>Referrals, total N=1346</v>
      </c>
      <c r="L12">
        <f>I14/(SUM(B14:G14))</f>
        <v>2.2623940405856673</v>
      </c>
    </row>
    <row r="13" spans="1:12">
      <c r="A13" s="128" t="str">
        <f>CONCATENATE("Arrests, total N=", 'Data Entry'!B7)</f>
        <v>Arrests, total N=498</v>
      </c>
      <c r="B13" s="150">
        <f>'Data Entry'!D7/'Data Entry'!B7</f>
        <v>0.68072289156626509</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0.2289156626506024</v>
      </c>
      <c r="K13" s="96" t="str">
        <f t="shared" si="0"/>
        <v>Arrests, total N=498</v>
      </c>
      <c r="L13">
        <f>I14/(SUM(B14:G14))</f>
        <v>2.2623940405856673</v>
      </c>
    </row>
    <row r="14" spans="1:12">
      <c r="A14" s="128" t="str">
        <f>CONCATENATE("Population, total N=", 'Data Entry'!B6)</f>
        <v>Population, total N=25401</v>
      </c>
      <c r="B14" s="150">
        <f>'Data Entry'!D6/'Data Entry'!B6</f>
        <v>0.1834179756702492</v>
      </c>
      <c r="C14" s="150">
        <f>'Data Entry'!E6/'Data Entry'!B6</f>
        <v>8.69650801149561E-2</v>
      </c>
      <c r="D14" s="150">
        <f>'Data Entry'!F6/'Data Entry'!B6</f>
        <v>3.12192433368765E-2</v>
      </c>
      <c r="E14" s="150">
        <f>'Data Entry'!G6/'Data Entry'!B6</f>
        <v>0</v>
      </c>
      <c r="F14" s="150">
        <f>'Data Entry'!H6/'Data Entry'!B6</f>
        <v>4.9210660997598523E-3</v>
      </c>
      <c r="G14" s="150">
        <f>'Data Entry'!I6/'Data Entry'!B6</f>
        <v>0</v>
      </c>
      <c r="H14" s="150">
        <f>SUM(D14:G14)/'Data Entry'!B6</f>
        <v>1.4227908128276978E-6</v>
      </c>
      <c r="I14" s="150">
        <f>'Data Entry'!C6/'Data Entry'!B6</f>
        <v>0.69347663477815835</v>
      </c>
      <c r="K14" s="96" t="str">
        <f t="shared" si="0"/>
        <v>Population, total N=25401</v>
      </c>
      <c r="L14">
        <f>I14/(SUM(B14:G14))</f>
        <v>2.2623940405856673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Kalamazoo</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17615</v>
      </c>
      <c r="D7" s="104">
        <f>'Data Entry'!D6</f>
        <v>4659</v>
      </c>
      <c r="E7" s="105"/>
      <c r="F7" s="106">
        <f>'Data Entry'!E6</f>
        <v>2209</v>
      </c>
      <c r="G7" s="105"/>
      <c r="H7" s="106">
        <f>'Data Entry'!F6</f>
        <v>793</v>
      </c>
      <c r="I7" s="105"/>
      <c r="J7" s="106">
        <f>'Data Entry'!J6</f>
        <v>7786</v>
      </c>
      <c r="K7" s="107"/>
    </row>
    <row r="8" spans="2:30" s="1" customFormat="1" ht="15" customHeight="1">
      <c r="B8" s="121" t="s">
        <v>8</v>
      </c>
      <c r="C8" s="103">
        <f>'Data Entry'!C7</f>
        <v>114</v>
      </c>
      <c r="D8" s="104">
        <f>'Data Entry'!D7</f>
        <v>339</v>
      </c>
      <c r="E8" s="105">
        <f>'Black or African-American'!$G7</f>
        <v>11.243066616960945</v>
      </c>
      <c r="F8" s="106">
        <f>'Data Entry'!E7</f>
        <v>0</v>
      </c>
      <c r="G8" s="105" t="str">
        <f>Hispanic!G7</f>
        <v>**</v>
      </c>
      <c r="H8" s="106">
        <f>'Data Entry'!F7</f>
        <v>0</v>
      </c>
      <c r="I8" s="105" t="str">
        <f>Asian!G7</f>
        <v>**</v>
      </c>
      <c r="J8" s="106">
        <f>'Data Entry'!J7</f>
        <v>339</v>
      </c>
      <c r="K8" s="107">
        <f>'All Minorities'!G7</f>
        <v>6.7276454364784293</v>
      </c>
      <c r="L8"/>
      <c r="N8" s="1">
        <f>'Black or African-American'!L7</f>
        <v>1</v>
      </c>
      <c r="O8" s="1">
        <f>Hispanic!L7</f>
        <v>20</v>
      </c>
      <c r="P8" s="1">
        <f>Asian!L7</f>
        <v>20</v>
      </c>
      <c r="Q8" s="1" t="e">
        <f>Hawaiian!L7</f>
        <v>#VALUE!</v>
      </c>
      <c r="R8" s="1">
        <f>'Am Indian'!L7</f>
        <v>139</v>
      </c>
      <c r="S8" s="1" t="e">
        <f>'Other - Mixed'!L7</f>
        <v>#VALUE!</v>
      </c>
      <c r="T8" s="1">
        <f>'All Minorities'!L7</f>
        <v>1</v>
      </c>
    </row>
    <row r="9" spans="2:30" s="1" customFormat="1" ht="15" customHeight="1">
      <c r="B9" s="121" t="s">
        <v>126</v>
      </c>
      <c r="C9" s="103">
        <f>'Data Entry'!C8</f>
        <v>253</v>
      </c>
      <c r="D9" s="108">
        <f>'Data Entry'!D8</f>
        <v>905</v>
      </c>
      <c r="E9" s="109">
        <f>'Black or African-American'!$G8</f>
        <v>1.2029102102207141</v>
      </c>
      <c r="F9" s="110">
        <f>'Data Entry'!E8</f>
        <v>3</v>
      </c>
      <c r="G9" s="109" t="str">
        <f>Hispanic!G8</f>
        <v>**</v>
      </c>
      <c r="H9" s="110">
        <f>'Data Entry'!F8</f>
        <v>2</v>
      </c>
      <c r="I9" s="109" t="str">
        <f>Asian!G8</f>
        <v>**</v>
      </c>
      <c r="J9" s="110">
        <f>'Data Entry'!J8</f>
        <v>1028</v>
      </c>
      <c r="K9" s="111">
        <f>'All Minorities'!G8</f>
        <v>1.3663996642065126</v>
      </c>
      <c r="L9"/>
      <c r="N9" s="1">
        <f>'Black or African-American'!L8</f>
        <v>1</v>
      </c>
      <c r="O9" s="1">
        <f>Hispanic!L8</f>
        <v>20</v>
      </c>
      <c r="P9" s="1">
        <f>Asian!L8</f>
        <v>20</v>
      </c>
      <c r="Q9" s="1">
        <f>Hawaiian!L8</f>
        <v>139</v>
      </c>
      <c r="R9" s="1">
        <f>'Am Indian'!L8</f>
        <v>119</v>
      </c>
      <c r="S9" s="1">
        <f>'Other - Mixed'!L8</f>
        <v>119</v>
      </c>
      <c r="T9" s="1">
        <f>'All Minorities'!L8</f>
        <v>1</v>
      </c>
    </row>
    <row r="10" spans="2:30" s="1" customFormat="1" ht="15" customHeight="1">
      <c r="B10" s="121" t="s">
        <v>10</v>
      </c>
      <c r="C10" s="103">
        <f>'Data Entry'!C9</f>
        <v>148</v>
      </c>
      <c r="D10" s="112">
        <f>'Data Entry'!D9</f>
        <v>400</v>
      </c>
      <c r="E10" s="113">
        <f>'Black or African-American'!$G9</f>
        <v>0.75556219202628028</v>
      </c>
      <c r="F10" s="114">
        <f>'Data Entry'!E9</f>
        <v>3</v>
      </c>
      <c r="G10" s="113" t="str">
        <f>Hispanic!G9</f>
        <v>**</v>
      </c>
      <c r="H10" s="114">
        <f>'Data Entry'!F9</f>
        <v>0</v>
      </c>
      <c r="I10" s="113" t="str">
        <f>Asian!G9</f>
        <v>**</v>
      </c>
      <c r="J10" s="114">
        <f>'Data Entry'!J9</f>
        <v>454</v>
      </c>
      <c r="K10" s="115">
        <f>'All Minorities'!G9</f>
        <v>0.75495583131769894</v>
      </c>
      <c r="L10"/>
      <c r="N10" s="1">
        <f>'Black or African-American'!L9</f>
        <v>1</v>
      </c>
      <c r="O10" s="1">
        <f>Hispanic!L9</f>
        <v>40</v>
      </c>
      <c r="P10" s="1">
        <f>Asian!L9</f>
        <v>40</v>
      </c>
      <c r="Q10" s="1" t="e">
        <f>Hawaiian!L9</f>
        <v>#VALUE!</v>
      </c>
      <c r="R10" s="1">
        <f>'Am Indian'!L9</f>
        <v>139</v>
      </c>
      <c r="S10" s="1">
        <f>'Other - Mixed'!L9</f>
        <v>100</v>
      </c>
      <c r="T10" s="1">
        <f>'All Minorities'!L9</f>
        <v>1</v>
      </c>
    </row>
    <row r="11" spans="2:30" s="1" customFormat="1" ht="15" customHeight="1">
      <c r="B11" s="121" t="s">
        <v>11</v>
      </c>
      <c r="C11" s="103">
        <f>'Data Entry'!C10</f>
        <v>32</v>
      </c>
      <c r="D11" s="108">
        <f>'Data Entry'!D10</f>
        <v>251</v>
      </c>
      <c r="E11" s="109">
        <f>'Black or African-American'!$G10</f>
        <v>2.1927831491712704</v>
      </c>
      <c r="F11" s="110">
        <f>'Data Entry'!E10</f>
        <v>0</v>
      </c>
      <c r="G11" s="109" t="str">
        <f>Hispanic!G10</f>
        <v>**</v>
      </c>
      <c r="H11" s="110">
        <f>'Data Entry'!F10</f>
        <v>2</v>
      </c>
      <c r="I11" s="109" t="str">
        <f>Asian!G10</f>
        <v>**</v>
      </c>
      <c r="J11" s="110">
        <f>'Data Entry'!J10</f>
        <v>282</v>
      </c>
      <c r="K11" s="111">
        <f>'All Minorities'!G10</f>
        <v>2.1688351167315174</v>
      </c>
      <c r="L11"/>
      <c r="N11" s="1">
        <f>'Black or African-American'!L10</f>
        <v>1</v>
      </c>
      <c r="O11" s="1">
        <f>Hispanic!L10</f>
        <v>40</v>
      </c>
      <c r="P11" s="1">
        <f>Asian!L10</f>
        <v>20</v>
      </c>
      <c r="Q11" s="1" t="e">
        <f>Hawaiian!L10</f>
        <v>#VALUE!</v>
      </c>
      <c r="R11" s="1">
        <f>'Am Indian'!L10</f>
        <v>139</v>
      </c>
      <c r="S11" s="1">
        <f>'Other - Mixed'!L10</f>
        <v>100</v>
      </c>
      <c r="T11" s="1">
        <f>'All Minorities'!L10</f>
        <v>1</v>
      </c>
    </row>
    <row r="12" spans="2:30" s="1" customFormat="1" ht="15" customHeight="1">
      <c r="B12" s="121" t="s">
        <v>95</v>
      </c>
      <c r="C12" s="103">
        <f>'Data Entry'!C11</f>
        <v>73</v>
      </c>
      <c r="D12" s="112">
        <f>'Data Entry'!D11</f>
        <v>449</v>
      </c>
      <c r="E12" s="113">
        <f>'Black or African-American'!$G11</f>
        <v>1.7194732460455611</v>
      </c>
      <c r="F12" s="114">
        <f>'Data Entry'!E11</f>
        <v>0</v>
      </c>
      <c r="G12" s="113" t="str">
        <f>Hispanic!G11</f>
        <v>**</v>
      </c>
      <c r="H12" s="114">
        <f>'Data Entry'!F11</f>
        <v>2</v>
      </c>
      <c r="I12" s="113" t="str">
        <f>Asian!G11</f>
        <v>**</v>
      </c>
      <c r="J12" s="114">
        <f>'Data Entry'!J11</f>
        <v>535</v>
      </c>
      <c r="K12" s="115">
        <f>'All Minorities'!G11</f>
        <v>1.8036751772293587</v>
      </c>
      <c r="L12"/>
      <c r="N12" s="1">
        <f>'Black or African-American'!L11</f>
        <v>1</v>
      </c>
      <c r="O12" s="1">
        <f>Hispanic!L11</f>
        <v>40</v>
      </c>
      <c r="P12" s="1">
        <f>Asian!L11</f>
        <v>20</v>
      </c>
      <c r="Q12" s="1" t="e">
        <f>Hawaiian!L11</f>
        <v>#VALUE!</v>
      </c>
      <c r="R12" s="1">
        <f>'Am Indian'!L11</f>
        <v>139</v>
      </c>
      <c r="S12" s="1">
        <f>'Other - Mixed'!L11</f>
        <v>100</v>
      </c>
      <c r="T12" s="1">
        <f>'All Minorities'!L11</f>
        <v>1</v>
      </c>
    </row>
    <row r="13" spans="2:30" s="1" customFormat="1" ht="15" customHeight="1">
      <c r="B13" s="121" t="s">
        <v>13</v>
      </c>
      <c r="C13" s="103">
        <f>'Data Entry'!C12</f>
        <v>34</v>
      </c>
      <c r="D13" s="108">
        <f>'Data Entry'!D12</f>
        <v>182</v>
      </c>
      <c r="E13" s="109">
        <f>'Black or African-American'!$G12</f>
        <v>0.8703000131010088</v>
      </c>
      <c r="F13" s="110">
        <f>'Data Entry'!E12</f>
        <v>0</v>
      </c>
      <c r="G13" s="109" t="str">
        <f>Hispanic!G12</f>
        <v>--</v>
      </c>
      <c r="H13" s="110">
        <f>'Data Entry'!F12</f>
        <v>2</v>
      </c>
      <c r="I13" s="109" t="str">
        <f>Asian!G12</f>
        <v>**</v>
      </c>
      <c r="J13" s="110">
        <f>'Data Entry'!J12</f>
        <v>221</v>
      </c>
      <c r="K13" s="111">
        <f>'All Minorities'!G12</f>
        <v>0.88691588785046738</v>
      </c>
      <c r="L13"/>
      <c r="N13" s="1">
        <f>'Black or African-American'!L12</f>
        <v>2</v>
      </c>
      <c r="O13" s="1" t="e">
        <f>Hispanic!L12</f>
        <v>#VALUE!</v>
      </c>
      <c r="P13" s="1">
        <f>Asian!L12</f>
        <v>40</v>
      </c>
      <c r="Q13" s="1" t="e">
        <f>Hawaiian!L12</f>
        <v>#VALUE!</v>
      </c>
      <c r="R13" s="1" t="e">
        <f>'Am Indian'!L12</f>
        <v>#VALUE!</v>
      </c>
      <c r="S13" s="1">
        <f>'Other - Mixed'!L12</f>
        <v>101</v>
      </c>
      <c r="T13" s="1">
        <f>'All Minorities'!L12</f>
        <v>2</v>
      </c>
      <c r="W13" s="8"/>
      <c r="X13" s="8"/>
      <c r="Y13" s="8"/>
      <c r="Z13" s="8"/>
      <c r="AA13" s="8"/>
      <c r="AB13" s="8"/>
      <c r="AC13" s="8"/>
      <c r="AD13" s="8"/>
    </row>
    <row r="14" spans="2:30" s="1" customFormat="1" ht="15" customHeight="1">
      <c r="B14" s="121" t="s">
        <v>14</v>
      </c>
      <c r="C14" s="103">
        <f>'Data Entry'!C13</f>
        <v>19</v>
      </c>
      <c r="D14" s="112">
        <f>'Data Entry'!D13</f>
        <v>55</v>
      </c>
      <c r="E14" s="113">
        <f>'Black or African-American'!$G13</f>
        <v>0.54077501445922505</v>
      </c>
      <c r="F14" s="114">
        <f>'Data Entry'!E13</f>
        <v>0</v>
      </c>
      <c r="G14" s="113" t="str">
        <f>Hispanic!G13</f>
        <v>--</v>
      </c>
      <c r="H14" s="114">
        <f>'Data Entry'!F13</f>
        <v>1</v>
      </c>
      <c r="I14" s="113" t="str">
        <f>Asian!G13</f>
        <v>**</v>
      </c>
      <c r="J14" s="114">
        <f>'Data Entry'!J13</f>
        <v>71</v>
      </c>
      <c r="K14" s="115">
        <f>'All Minorities'!G13</f>
        <v>0.57489878542510131</v>
      </c>
      <c r="L14"/>
      <c r="N14" s="1">
        <f>'Black or African-American'!L13</f>
        <v>1</v>
      </c>
      <c r="O14" s="1" t="e">
        <f>Hispanic!L13</f>
        <v>#VALUE!</v>
      </c>
      <c r="P14" s="1">
        <f>Asian!L13</f>
        <v>40</v>
      </c>
      <c r="Q14" s="1" t="e">
        <f>Hawaiian!L13</f>
        <v>#DIV/0!</v>
      </c>
      <c r="R14" s="1" t="e">
        <f>'Am Indian'!L13</f>
        <v>#VALUE!</v>
      </c>
      <c r="S14" s="1">
        <f>'Other - Mixed'!L13</f>
        <v>101</v>
      </c>
      <c r="T14" s="1">
        <f>'All Minorities'!L13</f>
        <v>1</v>
      </c>
      <c r="W14" s="8"/>
      <c r="X14" s="8"/>
      <c r="Y14" s="8"/>
      <c r="Z14" s="8"/>
      <c r="AA14" s="8"/>
      <c r="AB14" s="8"/>
      <c r="AC14" s="8"/>
      <c r="AD14" s="8"/>
    </row>
    <row r="15" spans="2:30" s="1" customFormat="1" ht="33">
      <c r="B15" s="126" t="s">
        <v>115</v>
      </c>
      <c r="C15" s="103">
        <f>'Data Entry'!C14</f>
        <v>0</v>
      </c>
      <c r="D15" s="108">
        <f>'Data Entry'!D14</f>
        <v>8</v>
      </c>
      <c r="E15" s="109" t="str">
        <f>'Black or African-American'!$G14</f>
        <v>**</v>
      </c>
      <c r="F15" s="110">
        <f>'Data Entry'!E14</f>
        <v>1</v>
      </c>
      <c r="G15" s="109" t="str">
        <f>Hispanic!G14</f>
        <v>--</v>
      </c>
      <c r="H15" s="110">
        <f>'Data Entry'!F14</f>
        <v>0</v>
      </c>
      <c r="I15" s="109" t="str">
        <f>Asian!G14</f>
        <v>--</v>
      </c>
      <c r="J15" s="110">
        <f>'Data Entry'!J14</f>
        <v>9</v>
      </c>
      <c r="K15" s="111" t="str">
        <f>'All Minorities'!G14</f>
        <v>**</v>
      </c>
      <c r="L15"/>
      <c r="N15" s="1">
        <f>'Black or African-American'!L14</f>
        <v>40</v>
      </c>
      <c r="O15" s="1" t="e">
        <f>Hispanic!L14</f>
        <v>#DIV/0!</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2</v>
      </c>
      <c r="E16" s="117" t="str">
        <f>'Black or African-American'!$G15</f>
        <v>**</v>
      </c>
      <c r="F16" s="118">
        <f>'Data Entry'!E15</f>
        <v>0</v>
      </c>
      <c r="G16" s="117" t="str">
        <f>Hispanic!G15</f>
        <v>--</v>
      </c>
      <c r="H16" s="118">
        <f>'Data Entry'!F15</f>
        <v>0</v>
      </c>
      <c r="I16" s="117" t="str">
        <f>Asian!G15</f>
        <v>--</v>
      </c>
      <c r="J16" s="118">
        <f>'Data Entry'!J15</f>
        <v>2</v>
      </c>
      <c r="K16" s="119" t="str">
        <f>'All Minorities'!G15</f>
        <v>**</v>
      </c>
      <c r="L16"/>
      <c r="N16" s="1">
        <f>'Black or African-American'!L15</f>
        <v>40</v>
      </c>
      <c r="O16" s="1" t="e">
        <f>Hispanic!L15</f>
        <v>#VALUE!</v>
      </c>
      <c r="P16" s="1" t="e">
        <f>Asian!L15</f>
        <v>#VALUE!</v>
      </c>
      <c r="Q16" s="1" t="e">
        <f>Hawaiian!L15</f>
        <v>#VALUE!</v>
      </c>
      <c r="R16" s="1" t="e">
        <f>'Am Indian'!L15</f>
        <v>#VALUE!</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112</v>
      </c>
      <c r="C19" s="193"/>
      <c r="D19" s="193"/>
      <c r="E19" s="193"/>
      <c r="F19" s="193"/>
      <c r="G19" s="193"/>
      <c r="H19" s="193"/>
      <c r="I19" s="194"/>
      <c r="J19" s="195"/>
      <c r="K19" s="196"/>
    </row>
    <row r="20" spans="2:30" ht="15.75">
      <c r="B20" s="153" t="s">
        <v>117</v>
      </c>
      <c r="C20" s="200" t="s">
        <v>53</v>
      </c>
      <c r="D20" s="201"/>
      <c r="E20" s="184" t="s">
        <v>56</v>
      </c>
      <c r="F20" s="185"/>
      <c r="G20" s="185"/>
      <c r="H20" s="185"/>
      <c r="I20" s="185"/>
      <c r="J20" s="185"/>
      <c r="K20" s="154" t="s">
        <v>57</v>
      </c>
    </row>
    <row r="21" spans="2:30" ht="15" customHeight="1">
      <c r="B21" s="155" t="s">
        <v>118</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Kalamazoo County Juvenile Court</v>
      </c>
      <c r="E27" s="1" t="str">
        <f>'Data Entry'!D20</f>
        <v>Item 4.Diversion: Kalamazoo County Juvenile Court</v>
      </c>
      <c r="I27" s="96"/>
    </row>
    <row r="28" spans="2:30" ht="12.75" customHeight="1">
      <c r="B28" s="1" t="str">
        <f>'Data Entry'!A21</f>
        <v>Item 5.Detention: Kalamazoo County Juvenile Court</v>
      </c>
      <c r="E28" s="1" t="str">
        <f>'Data Entry'!D21</f>
        <v>Item 6.Petitioned: Kalamazoo County Juvenile Court</v>
      </c>
      <c r="I28" s="96"/>
    </row>
    <row r="29" spans="2:30" ht="12.75" customHeight="1">
      <c r="B29" s="1" t="str">
        <f>'Data Entry'!A22</f>
        <v>Item 7.Delinquent: Kalamazoo County Juvenile Court</v>
      </c>
      <c r="E29" s="1" t="str">
        <f>'Data Entry'!D22</f>
        <v>Item 8.Probation: Kalamazoo County Juvenile Court</v>
      </c>
      <c r="I29" s="96"/>
    </row>
    <row r="30" spans="2:30" ht="12.75" customHeight="1">
      <c r="B30" s="1" t="str">
        <f>'Data Entry'!A23</f>
        <v>Item 9.Confinement: Kalamazoo County Juvenile Court</v>
      </c>
      <c r="E30" s="1" t="str">
        <f>'Data Entry'!D23</f>
        <v>Item 10.Transferred: Kalamazoo County Juvenile Court</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17615</v>
      </c>
      <c r="D6" s="34"/>
      <c r="E6" s="33">
        <f>'Data Entry'!D6</f>
        <v>4659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114</v>
      </c>
      <c r="D7" s="34">
        <f>IF((AND(C66&gt;0,C7&gt;0)),(C7/C66),0)</f>
        <v>6.4717570252625611</v>
      </c>
      <c r="E7" s="33">
        <f>'Data Entry'!D7</f>
        <v>339</v>
      </c>
      <c r="F7" s="34">
        <f>IF((AND($E$7&gt;0,$D$66&gt;0)),($E$7/$D$66),0)</f>
        <v>72.762395363811976</v>
      </c>
      <c r="G7" s="39">
        <f>IF(L$6=100,"*",IF(M7=FALSE,"--",IF(K7=20,"**",($F7/$D7))))</f>
        <v>11.243066616960945</v>
      </c>
      <c r="H7" s="40"/>
      <c r="I7" s="41"/>
      <c r="J7" s="40">
        <f>IF((ABS($U7)&gt;Defaults!D$7),1,2)</f>
        <v>1</v>
      </c>
      <c r="K7" s="39">
        <f>IF((AND(N7&gt;Defaults!B$12,(N7+O7)&gt;Defaults!B$13, P7 &gt; Defaults!B$12, (P7+Q7) &gt; Defaults!B$13)),1,20)</f>
        <v>1</v>
      </c>
      <c r="L7" s="1">
        <f>(J7*K7+L$6)-1</f>
        <v>1</v>
      </c>
      <c r="M7" s="1" t="b">
        <f t="shared" ref="M7:M15" si="0">(ISNUMBER(J7))</f>
        <v>1</v>
      </c>
      <c r="N7" s="42">
        <f t="shared" ref="N7:N15" si="1">E7</f>
        <v>339</v>
      </c>
      <c r="O7" s="42">
        <f>E6-E7</f>
        <v>4320</v>
      </c>
      <c r="P7" s="42">
        <f t="shared" ref="P7:P15" si="2">C7</f>
        <v>114</v>
      </c>
      <c r="Q7" s="42">
        <f>C6-C7</f>
        <v>17501</v>
      </c>
      <c r="R7" s="42">
        <f t="shared" ref="R7:R15" si="3">SUM(N7:Q7)</f>
        <v>22274</v>
      </c>
      <c r="S7" s="30">
        <f t="shared" ref="S7:S15" si="4">R7*((((N7*Q7)-(O7*P7))^2))</f>
        <v>6.5925484973277542E+17</v>
      </c>
      <c r="T7" s="30">
        <f t="shared" ref="T7:T15" si="5">(N7+O7)*(P7+Q7)*(N7+P7)*(O7+Q7)</f>
        <v>811237857284205</v>
      </c>
      <c r="U7" s="31">
        <f t="shared" ref="U7:U15" si="6">IF((S7&gt;0),S7/T7,"- -")</f>
        <v>812.65296461850812</v>
      </c>
    </row>
    <row r="8" spans="2:21" ht="18" customHeight="1">
      <c r="B8" s="32" t="str">
        <f>'Data Entry'!A8</f>
        <v>3. Refer to Juvenile Court</v>
      </c>
      <c r="C8" s="33">
        <f>'Data Entry'!C8</f>
        <v>253</v>
      </c>
      <c r="D8" s="34">
        <f>IF((AND(C67&gt;0,C8&gt;0)),(C8/C67),0)</f>
        <v>221.92982456140354</v>
      </c>
      <c r="E8" s="33">
        <f>'Data Entry'!D8</f>
        <v>905</v>
      </c>
      <c r="F8" s="34">
        <f>IF((AND($E$8&gt;0,$D$67&gt;0)),($E8/$D67),0)</f>
        <v>266.96165191740414</v>
      </c>
      <c r="G8" s="39">
        <f t="shared" ref="G8:G15" si="7">IF(L$6=100,"*",IF(M8=FALSE,"--",IF(K8=20,"**",($F8/$D8))))</f>
        <v>1.2029102102207141</v>
      </c>
      <c r="H8" s="40"/>
      <c r="I8" s="41"/>
      <c r="J8" s="40">
        <f>IF((ABS($U8)&gt;Defaults!D$7),1,2)</f>
        <v>1</v>
      </c>
      <c r="K8" s="39">
        <f>IF((AND(N8&gt;Defaults!B$12,(N8+O8)&gt;Defaults!B$13, P8 &gt; Defaults!B$12, (P8+Q8) &gt; Defaults!B$13)),1,20)</f>
        <v>1</v>
      </c>
      <c r="L8" s="1">
        <f t="shared" ref="L8:L15" si="8">(J8*K8+L$6)-1</f>
        <v>1</v>
      </c>
      <c r="M8" s="1" t="b">
        <f t="shared" si="0"/>
        <v>1</v>
      </c>
      <c r="N8" s="42">
        <f t="shared" si="1"/>
        <v>905</v>
      </c>
      <c r="O8" s="42">
        <f>((D67*L67)-E8)+0.05</f>
        <v>-565.95000000000005</v>
      </c>
      <c r="P8" s="42">
        <f t="shared" si="2"/>
        <v>253</v>
      </c>
      <c r="Q8" s="42">
        <f>(C$67*L67)-C8</f>
        <v>-139</v>
      </c>
      <c r="R8" s="42">
        <f t="shared" si="3"/>
        <v>453.04999999999995</v>
      </c>
      <c r="S8" s="30">
        <f t="shared" si="4"/>
        <v>137013316938.1487</v>
      </c>
      <c r="T8" s="30">
        <f t="shared" si="5"/>
        <v>-31552623429.57</v>
      </c>
      <c r="U8" s="31">
        <f t="shared" si="6"/>
        <v>-4.3423748026525324</v>
      </c>
    </row>
    <row r="9" spans="2:21" ht="18" customHeight="1">
      <c r="B9" s="32" t="str">
        <f>'Data Entry'!A9</f>
        <v xml:space="preserve">4. Cases Diverted </v>
      </c>
      <c r="C9" s="33">
        <f>'Data Entry'!C9</f>
        <v>148</v>
      </c>
      <c r="D9" s="34">
        <f>IF((AND(C68&gt;0,C9&gt;0)),((C9/C68)),0)</f>
        <v>58.498023715415023</v>
      </c>
      <c r="E9" s="33">
        <f>'Data Entry'!D9</f>
        <v>400</v>
      </c>
      <c r="F9" s="34">
        <f>IF((AND($E$9&gt;0,$D$68&gt;0)),(($E$9/$D$68)),0)</f>
        <v>44.198895027624303</v>
      </c>
      <c r="G9" s="39">
        <f t="shared" si="7"/>
        <v>0.75556219202628028</v>
      </c>
      <c r="H9" s="40"/>
      <c r="I9" s="41"/>
      <c r="J9" s="40">
        <f>IF((ABS($U9)&gt;Defaults!D$7),1,2)</f>
        <v>1</v>
      </c>
      <c r="K9" s="39">
        <f>IF((AND(N9&gt;Defaults!B$12,(N9+O9)&gt;Defaults!B$13, P9 &gt; Defaults!B$12, (P9+Q9) &gt; Defaults!B$13)),1,20)</f>
        <v>1</v>
      </c>
      <c r="L9" s="1">
        <f t="shared" si="8"/>
        <v>1</v>
      </c>
      <c r="M9" s="1" t="b">
        <f t="shared" si="0"/>
        <v>1</v>
      </c>
      <c r="N9" s="42">
        <f t="shared" si="1"/>
        <v>400</v>
      </c>
      <c r="O9" s="42">
        <f>(D$68*L68)-E9</f>
        <v>505.00000000000011</v>
      </c>
      <c r="P9" s="42">
        <f t="shared" si="2"/>
        <v>148</v>
      </c>
      <c r="Q9" s="42">
        <f>(C$68*L68)-C9</f>
        <v>104.99999999999997</v>
      </c>
      <c r="R9" s="42">
        <f t="shared" si="3"/>
        <v>1158</v>
      </c>
      <c r="S9" s="30">
        <f t="shared" si="4"/>
        <v>1241269000800.0022</v>
      </c>
      <c r="T9" s="30">
        <f t="shared" si="5"/>
        <v>76538420200.000015</v>
      </c>
      <c r="U9" s="31">
        <f t="shared" si="6"/>
        <v>16.217593694205906</v>
      </c>
    </row>
    <row r="10" spans="2:21" ht="18" customHeight="1">
      <c r="B10" s="32" t="str">
        <f>'Data Entry'!A10</f>
        <v>5. Cases Involving Secure Detention</v>
      </c>
      <c r="C10" s="33">
        <f>'Data Entry'!C10</f>
        <v>32</v>
      </c>
      <c r="D10" s="34">
        <f>IF(((AND(C68&gt;0,C10&gt;0))),(C10/(C68)),0)</f>
        <v>12.648221343873519</v>
      </c>
      <c r="E10" s="33">
        <f>'Data Entry'!D10</f>
        <v>251</v>
      </c>
      <c r="F10" s="34">
        <f>IF(((AND($E$10&gt;0,$D$68&gt;0))),($E$10/($D$68)),0)</f>
        <v>27.734806629834253</v>
      </c>
      <c r="G10" s="39">
        <f t="shared" si="7"/>
        <v>2.1927831491712704</v>
      </c>
      <c r="H10" s="40"/>
      <c r="I10" s="41"/>
      <c r="J10" s="40">
        <f>IF((ABS($U10)&gt;Defaults!D$7),1,2)</f>
        <v>1</v>
      </c>
      <c r="K10" s="39">
        <f>IF((AND(N10&gt;Defaults!B$12,(N10+O10)&gt;Defaults!B$13, P10 &gt; Defaults!B$12, (P10+Q10) &gt; Defaults!B$13)),1,20)</f>
        <v>1</v>
      </c>
      <c r="L10" s="1">
        <f t="shared" si="8"/>
        <v>1</v>
      </c>
      <c r="M10" s="1" t="b">
        <f t="shared" si="0"/>
        <v>1</v>
      </c>
      <c r="N10" s="42">
        <f t="shared" si="1"/>
        <v>251</v>
      </c>
      <c r="O10" s="42">
        <f>(D$68*L68)-E10</f>
        <v>654.00000000000011</v>
      </c>
      <c r="P10" s="42">
        <f t="shared" si="2"/>
        <v>32</v>
      </c>
      <c r="Q10" s="42">
        <f>(C$68*L68)-C10</f>
        <v>220.99999999999997</v>
      </c>
      <c r="R10" s="42">
        <f t="shared" si="3"/>
        <v>1158</v>
      </c>
      <c r="S10" s="30">
        <f t="shared" si="4"/>
        <v>1381747427141.9988</v>
      </c>
      <c r="T10" s="30">
        <f t="shared" si="5"/>
        <v>56697458125.000008</v>
      </c>
      <c r="U10" s="31">
        <f t="shared" si="6"/>
        <v>24.370535696603568</v>
      </c>
    </row>
    <row r="11" spans="2:21" ht="18" customHeight="1">
      <c r="B11" s="32" t="str">
        <f>'Data Entry'!A11</f>
        <v>6. Cases Petitioned (Charge Filed)</v>
      </c>
      <c r="C11" s="33">
        <f>'Data Entry'!C11</f>
        <v>73</v>
      </c>
      <c r="D11" s="34">
        <f>IF(((AND(C68&gt;0,C11&gt;0))),(C11/(C68)),0)</f>
        <v>28.853754940711465</v>
      </c>
      <c r="E11" s="33">
        <f>'Data Entry'!D11</f>
        <v>449</v>
      </c>
      <c r="F11" s="34">
        <f>IF(((AND($E$11&gt;0,$D$68&gt;0))),($E$11/($D$68)),0)</f>
        <v>49.613259668508285</v>
      </c>
      <c r="G11" s="39">
        <f t="shared" si="7"/>
        <v>1.7194732460455611</v>
      </c>
      <c r="H11" s="40"/>
      <c r="I11" s="41"/>
      <c r="J11" s="40">
        <f>IF((ABS($U11)&gt;Defaults!D$7),1,2)</f>
        <v>1</v>
      </c>
      <c r="K11" s="39">
        <f>IF((AND(N11&gt;Defaults!B$12,(N11+O11)&gt;Defaults!B$13, P11 &gt; Defaults!B$12, (P11+Q11) &gt; Defaults!B$13)),1,20)</f>
        <v>1</v>
      </c>
      <c r="L11" s="1">
        <f t="shared" si="8"/>
        <v>1</v>
      </c>
      <c r="M11" s="1" t="b">
        <f t="shared" si="0"/>
        <v>1</v>
      </c>
      <c r="N11" s="42">
        <f t="shared" si="1"/>
        <v>449</v>
      </c>
      <c r="O11" s="42">
        <f>(D$68*L68)-E11</f>
        <v>456.00000000000011</v>
      </c>
      <c r="P11" s="42">
        <f t="shared" si="2"/>
        <v>73</v>
      </c>
      <c r="Q11" s="42">
        <f>(C$68*L68)-C11</f>
        <v>179.99999999999997</v>
      </c>
      <c r="R11" s="42">
        <f t="shared" si="3"/>
        <v>1158</v>
      </c>
      <c r="S11" s="30">
        <f t="shared" si="4"/>
        <v>2616259005791.9976</v>
      </c>
      <c r="T11" s="30">
        <f t="shared" si="5"/>
        <v>76014548280.000015</v>
      </c>
      <c r="U11" s="31">
        <f t="shared" si="6"/>
        <v>34.417872170403392</v>
      </c>
    </row>
    <row r="12" spans="2:21" ht="18" customHeight="1">
      <c r="B12" s="32" t="str">
        <f>'Data Entry'!A12</f>
        <v>7. Cases Resulting in Delinquent Findings</v>
      </c>
      <c r="C12" s="33">
        <f>'Data Entry'!C12</f>
        <v>34</v>
      </c>
      <c r="D12" s="34">
        <f>IF(((AND(C69&gt;0,C12&gt;0))),(C12/(C69)),0)</f>
        <v>46.575342465753423</v>
      </c>
      <c r="E12" s="33">
        <f>'Data Entry'!D12</f>
        <v>182</v>
      </c>
      <c r="F12" s="34">
        <f>IF(((AND($D$69&gt;0,$E$12&gt;0))),(E12/(D69)),0)</f>
        <v>40.534521158129174</v>
      </c>
      <c r="G12" s="39">
        <f t="shared" si="7"/>
        <v>0.8703000131010088</v>
      </c>
      <c r="H12" s="40"/>
      <c r="I12" s="41"/>
      <c r="J12" s="40">
        <f>IF((ABS($U12)&gt;Defaults!D$7),1,2)</f>
        <v>2</v>
      </c>
      <c r="K12" s="39">
        <f>IF((AND(N12&gt;Defaults!B$12,(N12+O12)&gt;Defaults!B$13, P12 &gt; Defaults!B$12, (P12+Q12) &gt; Defaults!B$13)),1,20)</f>
        <v>1</v>
      </c>
      <c r="L12" s="1">
        <f t="shared" si="8"/>
        <v>2</v>
      </c>
      <c r="M12" s="1" t="b">
        <f t="shared" si="0"/>
        <v>1</v>
      </c>
      <c r="N12" s="42">
        <f t="shared" si="1"/>
        <v>182</v>
      </c>
      <c r="O12" s="42">
        <f>(D69*L69)-E12</f>
        <v>267</v>
      </c>
      <c r="P12" s="42">
        <f t="shared" si="2"/>
        <v>34</v>
      </c>
      <c r="Q12" s="42">
        <f>(C69*L69)-C12</f>
        <v>39</v>
      </c>
      <c r="R12" s="42">
        <f t="shared" si="3"/>
        <v>522</v>
      </c>
      <c r="S12" s="30">
        <f t="shared" si="4"/>
        <v>2046448800</v>
      </c>
      <c r="T12" s="30">
        <f t="shared" si="5"/>
        <v>2166428592</v>
      </c>
      <c r="U12" s="31">
        <f t="shared" si="6"/>
        <v>0.94461862604516433</v>
      </c>
    </row>
    <row r="13" spans="2:21" ht="18" customHeight="1">
      <c r="B13" s="32" t="str">
        <f>'Data Entry'!A13</f>
        <v>8. Cases Resulting in Probation Placement</v>
      </c>
      <c r="C13" s="33">
        <f>'Data Entry'!C13</f>
        <v>19</v>
      </c>
      <c r="D13" s="34">
        <f>IF(((AND(C70&gt;0,C13&gt;0))),(C13/(C70)),0)</f>
        <v>55.882352941176464</v>
      </c>
      <c r="E13" s="33">
        <f>'Data Entry'!D13</f>
        <v>55</v>
      </c>
      <c r="F13" s="34">
        <f>IF(((AND($D$70&gt;0,$E$13&gt;0))),($E$13/($D$70)),0)</f>
        <v>30.219780219780219</v>
      </c>
      <c r="G13" s="39">
        <f t="shared" si="7"/>
        <v>0.54077501445922505</v>
      </c>
      <c r="H13" s="40"/>
      <c r="I13" s="41"/>
      <c r="J13" s="40">
        <f>IF((ABS($U13)&gt;Defaults!D$7),1,2)</f>
        <v>1</v>
      </c>
      <c r="K13" s="39">
        <f>IF((AND(N13&gt;Defaults!B$12,(N13+O13)&gt;Defaults!B$13, P13 &gt; Defaults!B$12, (P13+Q13) &gt; Defaults!B$13)),1,20)</f>
        <v>1</v>
      </c>
      <c r="L13" s="1">
        <f t="shared" si="8"/>
        <v>1</v>
      </c>
      <c r="M13" s="1" t="b">
        <f t="shared" si="0"/>
        <v>1</v>
      </c>
      <c r="N13" s="42">
        <f t="shared" si="1"/>
        <v>55</v>
      </c>
      <c r="O13" s="42">
        <f>(D70*L70)-E13</f>
        <v>127</v>
      </c>
      <c r="P13" s="42">
        <f t="shared" si="2"/>
        <v>19</v>
      </c>
      <c r="Q13" s="42">
        <f>(C70*L70)-C13</f>
        <v>15</v>
      </c>
      <c r="R13" s="42">
        <f t="shared" si="3"/>
        <v>216</v>
      </c>
      <c r="S13" s="30">
        <f t="shared" si="4"/>
        <v>544696704</v>
      </c>
      <c r="T13" s="30">
        <f t="shared" si="5"/>
        <v>65023504</v>
      </c>
      <c r="U13" s="31">
        <f t="shared" si="6"/>
        <v>8.3769201979641092</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8</v>
      </c>
      <c r="F14" s="34">
        <f>IF(((AND($D$70&gt;0,$E$14&gt;0))), (($E$14/($D$70))),0)</f>
        <v>4.3956043956043951</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8</v>
      </c>
      <c r="O14" s="42">
        <f>(D70*L70)-E14</f>
        <v>174</v>
      </c>
      <c r="P14" s="42">
        <f t="shared" si="2"/>
        <v>0</v>
      </c>
      <c r="Q14" s="42">
        <f>(C70*L70)-C14</f>
        <v>34</v>
      </c>
      <c r="R14" s="42">
        <f t="shared" si="3"/>
        <v>216</v>
      </c>
      <c r="S14" s="30">
        <f t="shared" si="4"/>
        <v>15980544</v>
      </c>
      <c r="T14" s="30">
        <f t="shared" si="5"/>
        <v>10296832</v>
      </c>
      <c r="U14" s="31">
        <f t="shared" si="6"/>
        <v>1.551986475063398</v>
      </c>
    </row>
    <row r="15" spans="2:21" ht="15.75" customHeight="1">
      <c r="B15" s="32" t="str">
        <f>'Data Entry'!A15</f>
        <v xml:space="preserve">10. Cases Transferred to Adult Court </v>
      </c>
      <c r="C15" s="33">
        <f>'Data Entry'!C15</f>
        <v>0</v>
      </c>
      <c r="D15" s="34">
        <f>IF(((AND(C69&gt;0,C15&gt;0))),((C15/(C69))),0)</f>
        <v>0</v>
      </c>
      <c r="E15" s="33">
        <f>'Data Entry'!D15</f>
        <v>2</v>
      </c>
      <c r="F15" s="34">
        <f>IF(((AND($D$69&gt;0,$E$15&gt;0))),(($E$15/($D$69))),0)</f>
        <v>0.44543429844097993</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2</v>
      </c>
      <c r="O15" s="42">
        <f>(D69*L69)-E15</f>
        <v>447</v>
      </c>
      <c r="P15" s="42">
        <f t="shared" si="2"/>
        <v>0</v>
      </c>
      <c r="Q15" s="42">
        <f>(C69*L69)-C15</f>
        <v>73</v>
      </c>
      <c r="R15" s="42">
        <f t="shared" si="3"/>
        <v>522</v>
      </c>
      <c r="S15" s="30">
        <f t="shared" si="4"/>
        <v>11126952</v>
      </c>
      <c r="T15" s="30">
        <f t="shared" si="5"/>
        <v>34088080</v>
      </c>
      <c r="U15" s="31">
        <f t="shared" si="6"/>
        <v>0.32641768031523044</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17.614999999999998</v>
      </c>
      <c r="D42" s="56">
        <f>E6/1000</f>
        <v>4.6589999999999998</v>
      </c>
      <c r="E42" s="56">
        <f>MAX(C42:D42)</f>
        <v>17.614999999999998</v>
      </c>
      <c r="G42" s="1" t="str">
        <f>B42</f>
        <v>per 1000 youth</v>
      </c>
      <c r="L42" s="57">
        <v>1000</v>
      </c>
      <c r="M42" s="57"/>
      <c r="R42" s="49"/>
    </row>
    <row r="43" spans="2:18" ht="15" hidden="1" customHeight="1">
      <c r="B43" s="49" t="s">
        <v>87</v>
      </c>
      <c r="C43" s="56">
        <f>C7/100</f>
        <v>1.1399999999999999</v>
      </c>
      <c r="D43" s="56">
        <f>E7/100</f>
        <v>3.39</v>
      </c>
      <c r="E43" s="56">
        <f>MAX(C43:D43,0)</f>
        <v>3.39</v>
      </c>
      <c r="G43" s="1" t="str">
        <f>B43</f>
        <v>per 100 arrests</v>
      </c>
      <c r="L43" s="57">
        <v>100</v>
      </c>
      <c r="M43" s="57"/>
      <c r="R43" s="49"/>
    </row>
    <row r="44" spans="2:18" ht="15" hidden="1" customHeight="1">
      <c r="B44" s="49" t="s">
        <v>88</v>
      </c>
      <c r="C44" s="56">
        <f>C8/100</f>
        <v>2.5299999999999998</v>
      </c>
      <c r="D44" s="56">
        <f>E8/100</f>
        <v>9.0500000000000007</v>
      </c>
      <c r="E44" s="56">
        <f>MAX(C44:D44,0)</f>
        <v>9.0500000000000007</v>
      </c>
      <c r="G44" s="1" t="str">
        <f>B44</f>
        <v>per 100 referrals</v>
      </c>
      <c r="L44" s="57">
        <v>100</v>
      </c>
      <c r="M44" s="57"/>
      <c r="R44" s="49"/>
    </row>
    <row r="45" spans="2:18" ht="15" hidden="1" customHeight="1">
      <c r="B45" s="49" t="s">
        <v>89</v>
      </c>
      <c r="C45" s="49">
        <f>C11/100</f>
        <v>0.73</v>
      </c>
      <c r="D45" s="49">
        <f>E11/100</f>
        <v>4.49</v>
      </c>
      <c r="E45" s="56">
        <f>MAX(C45:D45,0)</f>
        <v>4.49</v>
      </c>
      <c r="G45" s="1" t="str">
        <f>B45</f>
        <v>per 100 youth petitioned</v>
      </c>
      <c r="L45" s="57">
        <v>100</v>
      </c>
      <c r="M45" s="57"/>
      <c r="R45" s="49"/>
    </row>
    <row r="46" spans="2:18" ht="15" hidden="1" customHeight="1">
      <c r="B46" s="49" t="s">
        <v>90</v>
      </c>
      <c r="C46" s="49">
        <f>C12/100</f>
        <v>0.34</v>
      </c>
      <c r="D46" s="49">
        <f>E12/100</f>
        <v>1.82</v>
      </c>
      <c r="E46" s="56">
        <f>MAX(C46:D46)</f>
        <v>1.82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17.614999999999998</v>
      </c>
      <c r="D48" s="56">
        <f>D42</f>
        <v>4.6589999999999998</v>
      </c>
      <c r="E48" s="56">
        <f>MAX(C48:D48)</f>
        <v>17.614999999999998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1.1399999999999999</v>
      </c>
      <c r="D49" s="49">
        <f t="shared" si="9"/>
        <v>3.39</v>
      </c>
      <c r="E49" s="49">
        <f>MAX(C49:D49)</f>
        <v>3.39</v>
      </c>
      <c r="G49" s="1" t="str">
        <f>G43</f>
        <v>per 100 arrests</v>
      </c>
      <c r="L49" s="58">
        <f>IF(($E43&gt;0),L43,L42)</f>
        <v>100</v>
      </c>
      <c r="M49" s="58"/>
      <c r="N49" s="21"/>
      <c r="O49" s="21"/>
      <c r="P49" s="21"/>
      <c r="Q49" s="21"/>
      <c r="R49" s="21"/>
    </row>
    <row r="50" spans="2:18" ht="15" hidden="1" customHeight="1">
      <c r="B50" s="49" t="str">
        <f t="shared" si="9"/>
        <v>per 100 referrals</v>
      </c>
      <c r="C50" s="49">
        <f t="shared" si="9"/>
        <v>2.5299999999999998</v>
      </c>
      <c r="D50" s="49">
        <f t="shared" si="9"/>
        <v>9.0500000000000007</v>
      </c>
      <c r="E50" s="49">
        <f>MAX(C50:D50)</f>
        <v>9.0500000000000007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4.49</v>
      </c>
      <c r="E51" s="49">
        <f>MAX(C51:D51)</f>
        <v>4.49</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1.82</v>
      </c>
      <c r="E52" s="56">
        <f>MAX(C52:D52)</f>
        <v>1.82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17.614999999999998</v>
      </c>
      <c r="D54" s="56">
        <f>D48</f>
        <v>4.6589999999999998</v>
      </c>
      <c r="E54" s="56">
        <f>MAX(C54:D54)</f>
        <v>17.614999999999998</v>
      </c>
      <c r="G54" s="1" t="str">
        <f>G48</f>
        <v>per 1000 youth</v>
      </c>
      <c r="L54" s="58">
        <f>L48</f>
        <v>1000</v>
      </c>
      <c r="M54" s="58"/>
    </row>
    <row r="55" spans="2:18" ht="15" hidden="1" customHeight="1">
      <c r="B55" s="49" t="str">
        <f t="shared" ref="B55:D56" si="10">IF(($E49&gt;0),B49,B48)</f>
        <v>per 100 arrests</v>
      </c>
      <c r="C55" s="49">
        <f t="shared" si="10"/>
        <v>1.1399999999999999</v>
      </c>
      <c r="D55" s="49">
        <f t="shared" si="10"/>
        <v>3.39</v>
      </c>
      <c r="E55" s="49">
        <f>MAX(C55:D55)</f>
        <v>3.39</v>
      </c>
      <c r="G55" s="1" t="str">
        <f>G49</f>
        <v>per 100 arrests</v>
      </c>
      <c r="L55" s="58">
        <f>IF(($E49&gt;0),L49,L48)</f>
        <v>100</v>
      </c>
      <c r="M55" s="58"/>
    </row>
    <row r="56" spans="2:18" ht="15" hidden="1" customHeight="1">
      <c r="B56" s="49" t="str">
        <f t="shared" si="10"/>
        <v>per 100 referrals</v>
      </c>
      <c r="C56" s="49">
        <f t="shared" si="10"/>
        <v>2.5299999999999998</v>
      </c>
      <c r="D56" s="49">
        <f t="shared" si="10"/>
        <v>9.0500000000000007</v>
      </c>
      <c r="E56" s="49">
        <f>MAX(C56:D56)</f>
        <v>9.0500000000000007</v>
      </c>
      <c r="G56" s="1" t="str">
        <f>G50</f>
        <v>per 100 referrals</v>
      </c>
      <c r="L56" s="58">
        <f>IF(($E50&gt;0),L50,L49)</f>
        <v>100</v>
      </c>
      <c r="M56" s="58"/>
    </row>
    <row r="57" spans="2:18" ht="15" hidden="1" customHeight="1">
      <c r="B57" s="49" t="str">
        <f>IF(($E51&gt;0),B51,B49)</f>
        <v>per 100 youth petitioned</v>
      </c>
      <c r="C57" s="49">
        <f>IF(($E51&gt;0),C51,C50)</f>
        <v>0.73</v>
      </c>
      <c r="D57" s="49">
        <f>IF(($E51&gt;0),D51,D50)</f>
        <v>4.49</v>
      </c>
      <c r="E57" s="49">
        <f>MAX(C57:D57)</f>
        <v>4.49</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1.82</v>
      </c>
      <c r="E58" s="56">
        <f>MAX(C58:D58)</f>
        <v>1.82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17.614999999999998</v>
      </c>
      <c r="D60" s="56">
        <f>D54</f>
        <v>4.6589999999999998</v>
      </c>
      <c r="E60" s="56">
        <f>MAX(C60:D60)</f>
        <v>17.614999999999998</v>
      </c>
      <c r="G60" s="1" t="str">
        <f>G54</f>
        <v>per 1000 youth</v>
      </c>
      <c r="L60" s="58">
        <f>L54</f>
        <v>1000</v>
      </c>
      <c r="M60" s="58"/>
    </row>
    <row r="61" spans="2:18" ht="15" hidden="1" customHeight="1">
      <c r="B61" s="49" t="str">
        <f t="shared" ref="B61:D62" si="11">IF(($E55&gt;0),B55,B54)</f>
        <v>per 100 arrests</v>
      </c>
      <c r="C61" s="49">
        <f t="shared" si="11"/>
        <v>1.1399999999999999</v>
      </c>
      <c r="D61" s="49">
        <f t="shared" si="11"/>
        <v>3.39</v>
      </c>
      <c r="E61" s="49">
        <f>MAX(C61:D61)</f>
        <v>3.39</v>
      </c>
      <c r="G61" s="1" t="str">
        <f>G55</f>
        <v>per 100 arrests</v>
      </c>
      <c r="L61" s="58">
        <f>IF(($E55&gt;0),L55,L54)</f>
        <v>100</v>
      </c>
      <c r="M61" s="58"/>
    </row>
    <row r="62" spans="2:18" ht="15" hidden="1" customHeight="1">
      <c r="B62" s="49" t="str">
        <f t="shared" si="11"/>
        <v>per 100 referrals</v>
      </c>
      <c r="C62" s="49">
        <f t="shared" si="11"/>
        <v>2.5299999999999998</v>
      </c>
      <c r="D62" s="49">
        <f t="shared" si="11"/>
        <v>9.0500000000000007</v>
      </c>
      <c r="E62" s="49">
        <f>MAX(C62:D62)</f>
        <v>9.0500000000000007</v>
      </c>
      <c r="G62" s="1" t="str">
        <f>G56</f>
        <v>per 100 referrals</v>
      </c>
      <c r="L62" s="58">
        <f>IF(($E56&gt;0),L56,L55)</f>
        <v>100</v>
      </c>
      <c r="M62" s="58"/>
    </row>
    <row r="63" spans="2:18" ht="15" hidden="1" customHeight="1">
      <c r="B63" s="49" t="str">
        <f>IF(($E57&gt;0),B57,B55)</f>
        <v>per 100 youth petitioned</v>
      </c>
      <c r="C63" s="49">
        <f>IF(($E57&gt;0),C57,C56)</f>
        <v>0.73</v>
      </c>
      <c r="D63" s="49">
        <f>IF(($E57&gt;0),D57,D56)</f>
        <v>4.49</v>
      </c>
      <c r="E63" s="49">
        <f>MAX(C63:D63)</f>
        <v>4.49</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1.82</v>
      </c>
      <c r="E64" s="56">
        <f>MAX(C64:D64)</f>
        <v>1.82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17.614999999999998</v>
      </c>
      <c r="D66" s="56">
        <f>D60</f>
        <v>4.6589999999999998</v>
      </c>
      <c r="E66" s="56">
        <f>MAX(C66:D66)</f>
        <v>17.614999999999998</v>
      </c>
      <c r="G66" s="1" t="str">
        <f>G60</f>
        <v>per 1000 youth</v>
      </c>
      <c r="L66" s="58">
        <f>L60</f>
        <v>1000</v>
      </c>
      <c r="M66" s="58">
        <f>IF((B66=G66),1,2)</f>
        <v>1</v>
      </c>
    </row>
    <row r="67" spans="2:13" ht="15" hidden="1" customHeight="1">
      <c r="B67" s="49" t="str">
        <f t="shared" ref="B67:D68" si="12">IF(($E61&gt;0),B61,B60)</f>
        <v>per 100 arrests</v>
      </c>
      <c r="C67" s="49">
        <f t="shared" si="12"/>
        <v>1.1399999999999999</v>
      </c>
      <c r="D67" s="49">
        <f t="shared" si="12"/>
        <v>3.39</v>
      </c>
      <c r="E67" s="49">
        <f>MAX(C67:D67)</f>
        <v>3.39</v>
      </c>
      <c r="G67" s="1" t="str">
        <f>G61</f>
        <v>per 100 arrests</v>
      </c>
      <c r="L67" s="58">
        <f>IF(($E61&gt;0),L61,L60)</f>
        <v>100</v>
      </c>
      <c r="M67" s="58">
        <f>IF((B67=G67),1,2)</f>
        <v>1</v>
      </c>
    </row>
    <row r="68" spans="2:13" ht="15" hidden="1" customHeight="1">
      <c r="B68" s="49" t="str">
        <f t="shared" si="12"/>
        <v>per 100 referrals</v>
      </c>
      <c r="C68" s="49">
        <f t="shared" si="12"/>
        <v>2.5299999999999998</v>
      </c>
      <c r="D68" s="49">
        <f t="shared" si="12"/>
        <v>9.0500000000000007</v>
      </c>
      <c r="E68" s="49">
        <f>MAX(C68:D68)</f>
        <v>9.0500000000000007</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4.49</v>
      </c>
      <c r="E69" s="49">
        <f>MAX(C69:D69)</f>
        <v>4.49</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1.82</v>
      </c>
      <c r="E70" s="56">
        <f>MAX(C70:D70)</f>
        <v>1.82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17615</v>
      </c>
      <c r="D6" s="34"/>
      <c r="E6" s="33">
        <f>'Data Entry'!F6</f>
        <v>793</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114</v>
      </c>
      <c r="D7" s="34">
        <f>IF((AND(C66&gt;0,C7&gt;0)),(C7/C66),0)</f>
        <v>6.4717570252625611</v>
      </c>
      <c r="E7" s="33">
        <f>'Data Entry'!F7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793</v>
      </c>
      <c r="P7" s="42">
        <f t="shared" ref="P7:P15" si="4">C7</f>
        <v>114</v>
      </c>
      <c r="Q7" s="42">
        <f>C6-C7</f>
        <v>17501</v>
      </c>
      <c r="R7" s="42">
        <f t="shared" ref="R7:R15" si="5">SUM(N7:Q7)</f>
        <v>18408</v>
      </c>
      <c r="S7" s="30">
        <f t="shared" ref="S7:S15" si="6">R7*((((N7*Q7)-(O7*P7))^2))</f>
        <v>150439777686432</v>
      </c>
      <c r="T7" s="30">
        <f t="shared" ref="T7:T15" si="7">(N7+O7)*(P7+Q7)*(N7+P7)*(O7+Q7)</f>
        <v>29131936921620</v>
      </c>
      <c r="U7" s="31">
        <f t="shared" ref="U7:U15" si="8">IF((S7&gt;0),S7/T7,"- -")</f>
        <v>5.1640842863003904</v>
      </c>
    </row>
    <row r="8" spans="2:21" ht="18" customHeight="1">
      <c r="B8" s="32" t="str">
        <f>'Data Entry'!A8</f>
        <v>3. Refer to Juvenile Court</v>
      </c>
      <c r="C8" s="33">
        <f>'Data Entry'!C8</f>
        <v>253</v>
      </c>
      <c r="D8" s="34">
        <f>IF((AND(C67&gt;0,C8&gt;0)),(C8/C67),0)</f>
        <v>221.92982456140354</v>
      </c>
      <c r="E8" s="33">
        <f>'Data Entry'!F8</f>
        <v>2</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v>
      </c>
      <c r="O8" s="42">
        <f>((D67*L67)-E8)+0.05</f>
        <v>-1.95</v>
      </c>
      <c r="P8" s="42">
        <f t="shared" si="4"/>
        <v>253</v>
      </c>
      <c r="Q8" s="42">
        <f>(C$67*L67)-C8</f>
        <v>-139</v>
      </c>
      <c r="R8" s="42">
        <f t="shared" si="5"/>
        <v>114.05000000000001</v>
      </c>
      <c r="S8" s="30">
        <f t="shared" si="6"/>
        <v>5289139.7461249987</v>
      </c>
      <c r="T8" s="30">
        <f t="shared" si="7"/>
        <v>-204870.82500000016</v>
      </c>
      <c r="U8" s="31">
        <f t="shared" si="8"/>
        <v>-25.816949515017548</v>
      </c>
    </row>
    <row r="9" spans="2:21" ht="18" customHeight="1">
      <c r="B9" s="32" t="str">
        <f>'Data Entry'!A9</f>
        <v xml:space="preserve">4. Cases Diverted </v>
      </c>
      <c r="C9" s="33">
        <f>'Data Entry'!C9</f>
        <v>148</v>
      </c>
      <c r="D9" s="34">
        <f>IF((AND(C68&gt;0,C9&gt;0)),((C9/C68)),0)</f>
        <v>58.498023715415023</v>
      </c>
      <c r="E9" s="33">
        <f>'Data Entry'!F9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148</v>
      </c>
      <c r="Q9" s="42">
        <f>(C$68*L68)-C9</f>
        <v>104.99999999999997</v>
      </c>
      <c r="R9" s="42">
        <f t="shared" si="5"/>
        <v>254.99999999999997</v>
      </c>
      <c r="S9" s="30">
        <f t="shared" si="6"/>
        <v>22342079.999999996</v>
      </c>
      <c r="T9" s="30">
        <f t="shared" si="7"/>
        <v>8013015.9999999963</v>
      </c>
      <c r="U9" s="31">
        <f t="shared" si="8"/>
        <v>2.7882235602674457</v>
      </c>
    </row>
    <row r="10" spans="2:21" ht="18" customHeight="1">
      <c r="B10" s="32" t="str">
        <f>'Data Entry'!A10</f>
        <v>5. Cases Involving Secure Detention</v>
      </c>
      <c r="C10" s="33">
        <f>'Data Entry'!C10</f>
        <v>32</v>
      </c>
      <c r="D10" s="34">
        <f>IF(((AND(C68&gt;0,C10&gt;0))),(C10/(C68)),0)</f>
        <v>12.648221343873519</v>
      </c>
      <c r="E10" s="33">
        <f>'Data Entry'!F10</f>
        <v>2</v>
      </c>
      <c r="F10" s="34">
        <f>IF(((AND($E$10&gt;0,$D$68&gt;0))),($E$10/($D$68)),0)</f>
        <v>100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v>
      </c>
      <c r="O10" s="42">
        <f>(D$68*L68)-E10</f>
        <v>0</v>
      </c>
      <c r="P10" s="42">
        <f t="shared" si="4"/>
        <v>32</v>
      </c>
      <c r="Q10" s="42">
        <f>(C$68*L68)-C10</f>
        <v>220.99999999999997</v>
      </c>
      <c r="R10" s="42">
        <f t="shared" si="5"/>
        <v>254.99999999999997</v>
      </c>
      <c r="S10" s="30">
        <f t="shared" si="6"/>
        <v>49817819.999999978</v>
      </c>
      <c r="T10" s="30">
        <f t="shared" si="7"/>
        <v>3802083.9999999986</v>
      </c>
      <c r="U10" s="31">
        <f t="shared" si="8"/>
        <v>13.102766798418971</v>
      </c>
    </row>
    <row r="11" spans="2:21" ht="18" customHeight="1">
      <c r="B11" s="32" t="str">
        <f>'Data Entry'!A11</f>
        <v>6. Cases Petitioned (Charge Filed)</v>
      </c>
      <c r="C11" s="33">
        <f>'Data Entry'!C11</f>
        <v>73</v>
      </c>
      <c r="D11" s="34">
        <f>IF(((AND(C68&gt;0,C11&gt;0))),(C11/(C68)),0)</f>
        <v>28.853754940711465</v>
      </c>
      <c r="E11" s="33">
        <f>'Data Entry'!F11</f>
        <v>2</v>
      </c>
      <c r="F11" s="34">
        <f>IF(((AND($E$11&gt;0,$D$68&gt;0))),($E$11/($D$68)),0)</f>
        <v>100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2</v>
      </c>
      <c r="O11" s="42">
        <f>(D$68*L68)-E11</f>
        <v>0</v>
      </c>
      <c r="P11" s="42">
        <f t="shared" si="4"/>
        <v>73</v>
      </c>
      <c r="Q11" s="42">
        <f>(C$68*L68)-C11</f>
        <v>179.99999999999997</v>
      </c>
      <c r="R11" s="42">
        <f t="shared" si="5"/>
        <v>254.99999999999997</v>
      </c>
      <c r="S11" s="30">
        <f t="shared" si="6"/>
        <v>33047999.999999985</v>
      </c>
      <c r="T11" s="30">
        <f t="shared" si="7"/>
        <v>6830999.9999999972</v>
      </c>
      <c r="U11" s="31">
        <f t="shared" si="8"/>
        <v>4.8379446640316202</v>
      </c>
    </row>
    <row r="12" spans="2:21" ht="18" customHeight="1">
      <c r="B12" s="32" t="str">
        <f>'Data Entry'!A12</f>
        <v>7. Cases Resulting in Delinquent Findings</v>
      </c>
      <c r="C12" s="33">
        <f>'Data Entry'!C12</f>
        <v>34</v>
      </c>
      <c r="D12" s="34">
        <f>IF(((AND(C69&gt;0,C12&gt;0))),(C12/(C69)),0)</f>
        <v>46.575342465753423</v>
      </c>
      <c r="E12" s="33">
        <f>'Data Entry'!F12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34</v>
      </c>
      <c r="Q12" s="42">
        <f>(C69*L69)-C12</f>
        <v>39</v>
      </c>
      <c r="R12" s="42">
        <f t="shared" si="5"/>
        <v>75</v>
      </c>
      <c r="S12" s="30">
        <f t="shared" si="6"/>
        <v>456300</v>
      </c>
      <c r="T12" s="30">
        <f t="shared" si="7"/>
        <v>204984</v>
      </c>
      <c r="U12" s="31">
        <f t="shared" si="8"/>
        <v>2.2260273972602738</v>
      </c>
    </row>
    <row r="13" spans="2:21" ht="18" customHeight="1">
      <c r="B13" s="32" t="str">
        <f>'Data Entry'!A13</f>
        <v>8. Cases Resulting in Probation Placement</v>
      </c>
      <c r="C13" s="33">
        <f>'Data Entry'!C13</f>
        <v>19</v>
      </c>
      <c r="D13" s="34">
        <f>IF(((AND(C70&gt;0,C13&gt;0))),(C13/(C70)),0)</f>
        <v>55.882352941176464</v>
      </c>
      <c r="E13" s="33">
        <f>'Data Entry'!F13</f>
        <v>1</v>
      </c>
      <c r="F13" s="34">
        <f>IF(((AND($D$70&gt;0,$E$13&gt;0))),($E$13/($D$70)),0)</f>
        <v>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1</v>
      </c>
      <c r="P13" s="42">
        <f t="shared" si="4"/>
        <v>19</v>
      </c>
      <c r="Q13" s="42">
        <f>(C70*L70)-C13</f>
        <v>15</v>
      </c>
      <c r="R13" s="42">
        <f t="shared" si="5"/>
        <v>36</v>
      </c>
      <c r="S13" s="30">
        <f t="shared" si="6"/>
        <v>576</v>
      </c>
      <c r="T13" s="30">
        <f t="shared" si="7"/>
        <v>21760</v>
      </c>
      <c r="U13" s="31">
        <f t="shared" si="8"/>
        <v>2.6470588235294117E-2</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34</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73</v>
      </c>
      <c r="R15" s="42">
        <f t="shared" si="5"/>
        <v>75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17.614999999999998</v>
      </c>
      <c r="D42" s="56">
        <f>E6/1000</f>
        <v>0.79300000000000004</v>
      </c>
      <c r="E42" s="56">
        <f>MAX(C42:D42)</f>
        <v>17.614999999999998</v>
      </c>
      <c r="G42" s="1" t="str">
        <f>B42</f>
        <v>per 1000 youth</v>
      </c>
      <c r="L42" s="57">
        <v>1000</v>
      </c>
      <c r="M42" s="57"/>
      <c r="R42" s="49"/>
    </row>
    <row r="43" spans="2:18" ht="15" hidden="1" customHeight="1">
      <c r="B43" s="49" t="s">
        <v>87</v>
      </c>
      <c r="C43" s="56">
        <f>C7/100</f>
        <v>1.1399999999999999</v>
      </c>
      <c r="D43" s="56">
        <f>E7/100</f>
        <v>0</v>
      </c>
      <c r="E43" s="56">
        <f>MAX(C43:D43,0)</f>
        <v>1.1399999999999999</v>
      </c>
      <c r="G43" s="1" t="str">
        <f>B43</f>
        <v>per 100 arrests</v>
      </c>
      <c r="L43" s="57">
        <v>100</v>
      </c>
      <c r="M43" s="57"/>
      <c r="R43" s="49"/>
    </row>
    <row r="44" spans="2:18" ht="15" hidden="1" customHeight="1">
      <c r="B44" s="49" t="s">
        <v>88</v>
      </c>
      <c r="C44" s="56">
        <f>C8/100</f>
        <v>2.5299999999999998</v>
      </c>
      <c r="D44" s="56">
        <f>E8/100</f>
        <v>0.02</v>
      </c>
      <c r="E44" s="56">
        <f>MAX(C44:D44,0)</f>
        <v>2.5299999999999998</v>
      </c>
      <c r="G44" s="1" t="str">
        <f>B44</f>
        <v>per 100 referrals</v>
      </c>
      <c r="L44" s="57">
        <v>100</v>
      </c>
      <c r="M44" s="57"/>
      <c r="R44" s="49"/>
    </row>
    <row r="45" spans="2:18" ht="15" hidden="1" customHeight="1">
      <c r="B45" s="49" t="s">
        <v>89</v>
      </c>
      <c r="C45" s="49">
        <f>C11/100</f>
        <v>0.73</v>
      </c>
      <c r="D45" s="49">
        <f>E11/100</f>
        <v>0.02</v>
      </c>
      <c r="E45" s="56">
        <f>MAX(C45:D45,0)</f>
        <v>0.73</v>
      </c>
      <c r="G45" s="1" t="str">
        <f>B45</f>
        <v>per 100 youth petitioned</v>
      </c>
      <c r="L45" s="57">
        <v>100</v>
      </c>
      <c r="M45" s="57"/>
      <c r="R45" s="49"/>
    </row>
    <row r="46" spans="2:18" ht="15" hidden="1" customHeight="1">
      <c r="B46" s="49" t="s">
        <v>90</v>
      </c>
      <c r="C46" s="49">
        <f>C12/100</f>
        <v>0.34</v>
      </c>
      <c r="D46" s="49">
        <f>E12/100</f>
        <v>0.02</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17.614999999999998</v>
      </c>
      <c r="D48" s="56">
        <f>D42</f>
        <v>0.79300000000000004</v>
      </c>
      <c r="E48" s="56">
        <f>MAX(C48:D48)</f>
        <v>17.614999999999998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1.1399999999999999</v>
      </c>
      <c r="D49" s="49">
        <f t="shared" si="9"/>
        <v>0</v>
      </c>
      <c r="E49" s="49">
        <f>MAX(C49:D49)</f>
        <v>1.1399999999999999</v>
      </c>
      <c r="G49" s="1" t="str">
        <f>G43</f>
        <v>per 100 arrests</v>
      </c>
      <c r="L49" s="58">
        <f>IF(($E43&gt;0),L43,L42)</f>
        <v>100</v>
      </c>
      <c r="M49" s="58"/>
      <c r="N49" s="21"/>
      <c r="O49" s="21"/>
      <c r="P49" s="21"/>
      <c r="Q49" s="21"/>
      <c r="R49" s="21"/>
    </row>
    <row r="50" spans="2:18" ht="15" hidden="1" customHeight="1">
      <c r="B50" s="49" t="str">
        <f t="shared" si="9"/>
        <v>per 100 referrals</v>
      </c>
      <c r="C50" s="49">
        <f t="shared" si="9"/>
        <v>2.5299999999999998</v>
      </c>
      <c r="D50" s="49">
        <f t="shared" si="9"/>
        <v>0.02</v>
      </c>
      <c r="E50" s="49">
        <f>MAX(C50:D50)</f>
        <v>2.5299999999999998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0.02</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0.02</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17.614999999999998</v>
      </c>
      <c r="D54" s="56">
        <f>D48</f>
        <v>0.79300000000000004</v>
      </c>
      <c r="E54" s="56">
        <f>MAX(C54:D54)</f>
        <v>17.614999999999998</v>
      </c>
      <c r="G54" s="1" t="str">
        <f>G48</f>
        <v>per 1000 youth</v>
      </c>
      <c r="L54" s="58">
        <f>L48</f>
        <v>1000</v>
      </c>
      <c r="M54" s="58"/>
    </row>
    <row r="55" spans="2:18" ht="15" hidden="1" customHeight="1">
      <c r="B55" s="49" t="str">
        <f t="shared" ref="B55:D56" si="10">IF(($E49&gt;0),B49,B48)</f>
        <v>per 100 arrests</v>
      </c>
      <c r="C55" s="49">
        <f t="shared" si="10"/>
        <v>1.1399999999999999</v>
      </c>
      <c r="D55" s="49">
        <f t="shared" si="10"/>
        <v>0</v>
      </c>
      <c r="E55" s="49">
        <f>MAX(C55:D55)</f>
        <v>1.1399999999999999</v>
      </c>
      <c r="G55" s="1" t="str">
        <f>G49</f>
        <v>per 100 arrests</v>
      </c>
      <c r="L55" s="58">
        <f>IF(($E49&gt;0),L49,L48)</f>
        <v>100</v>
      </c>
      <c r="M55" s="58"/>
    </row>
    <row r="56" spans="2:18" ht="15" hidden="1" customHeight="1">
      <c r="B56" s="49" t="str">
        <f t="shared" si="10"/>
        <v>per 100 referrals</v>
      </c>
      <c r="C56" s="49">
        <f t="shared" si="10"/>
        <v>2.5299999999999998</v>
      </c>
      <c r="D56" s="49">
        <f t="shared" si="10"/>
        <v>0.02</v>
      </c>
      <c r="E56" s="49">
        <f>MAX(C56:D56)</f>
        <v>2.5299999999999998</v>
      </c>
      <c r="G56" s="1" t="str">
        <f>G50</f>
        <v>per 100 referrals</v>
      </c>
      <c r="L56" s="58">
        <f>IF(($E50&gt;0),L50,L49)</f>
        <v>100</v>
      </c>
      <c r="M56" s="58"/>
    </row>
    <row r="57" spans="2:18" ht="15" hidden="1" customHeight="1">
      <c r="B57" s="49" t="str">
        <f>IF(($E51&gt;0),B51,B49)</f>
        <v>per 100 youth petitioned</v>
      </c>
      <c r="C57" s="49">
        <f>IF(($E51&gt;0),C51,C50)</f>
        <v>0.73</v>
      </c>
      <c r="D57" s="49">
        <f>IF(($E51&gt;0),D51,D50)</f>
        <v>0.02</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0.02</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17.614999999999998</v>
      </c>
      <c r="D60" s="56">
        <f>D54</f>
        <v>0.79300000000000004</v>
      </c>
      <c r="E60" s="56">
        <f>MAX(C60:D60)</f>
        <v>17.614999999999998</v>
      </c>
      <c r="G60" s="1" t="str">
        <f>G54</f>
        <v>per 1000 youth</v>
      </c>
      <c r="L60" s="58">
        <f>L54</f>
        <v>1000</v>
      </c>
      <c r="M60" s="58"/>
    </row>
    <row r="61" spans="2:18" ht="15" hidden="1" customHeight="1">
      <c r="B61" s="49" t="str">
        <f t="shared" ref="B61:D62" si="11">IF(($E55&gt;0),B55,B54)</f>
        <v>per 100 arrests</v>
      </c>
      <c r="C61" s="49">
        <f t="shared" si="11"/>
        <v>1.1399999999999999</v>
      </c>
      <c r="D61" s="49">
        <f t="shared" si="11"/>
        <v>0</v>
      </c>
      <c r="E61" s="49">
        <f>MAX(C61:D61)</f>
        <v>1.1399999999999999</v>
      </c>
      <c r="G61" s="1" t="str">
        <f>G55</f>
        <v>per 100 arrests</v>
      </c>
      <c r="L61" s="58">
        <f>IF(($E55&gt;0),L55,L54)</f>
        <v>100</v>
      </c>
      <c r="M61" s="58"/>
    </row>
    <row r="62" spans="2:18" ht="15" hidden="1" customHeight="1">
      <c r="B62" s="49" t="str">
        <f t="shared" si="11"/>
        <v>per 100 referrals</v>
      </c>
      <c r="C62" s="49">
        <f t="shared" si="11"/>
        <v>2.5299999999999998</v>
      </c>
      <c r="D62" s="49">
        <f t="shared" si="11"/>
        <v>0.02</v>
      </c>
      <c r="E62" s="49">
        <f>MAX(C62:D62)</f>
        <v>2.5299999999999998</v>
      </c>
      <c r="G62" s="1" t="str">
        <f>G56</f>
        <v>per 100 referrals</v>
      </c>
      <c r="L62" s="58">
        <f>IF(($E56&gt;0),L56,L55)</f>
        <v>100</v>
      </c>
      <c r="M62" s="58"/>
    </row>
    <row r="63" spans="2:18" ht="15" hidden="1" customHeight="1">
      <c r="B63" s="49" t="str">
        <f>IF(($E57&gt;0),B57,B55)</f>
        <v>per 100 youth petitioned</v>
      </c>
      <c r="C63" s="49">
        <f>IF(($E57&gt;0),C57,C56)</f>
        <v>0.73</v>
      </c>
      <c r="D63" s="49">
        <f>IF(($E57&gt;0),D57,D56)</f>
        <v>0.02</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0.02</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17.614999999999998</v>
      </c>
      <c r="D66" s="56">
        <f>D60</f>
        <v>0.79300000000000004</v>
      </c>
      <c r="E66" s="56">
        <f>MAX(C66:D66)</f>
        <v>17.614999999999998</v>
      </c>
      <c r="G66" s="1" t="str">
        <f>G60</f>
        <v>per 1000 youth</v>
      </c>
      <c r="L66" s="58">
        <f>L60</f>
        <v>1000</v>
      </c>
      <c r="M66" s="58">
        <f>IF((B66=G66),1,2)</f>
        <v>1</v>
      </c>
    </row>
    <row r="67" spans="2:13" ht="15" hidden="1" customHeight="1">
      <c r="B67" s="49" t="str">
        <f t="shared" ref="B67:D68" si="12">IF(($E61&gt;0),B61,B60)</f>
        <v>per 100 arrests</v>
      </c>
      <c r="C67" s="49">
        <f t="shared" si="12"/>
        <v>1.1399999999999999</v>
      </c>
      <c r="D67" s="49">
        <f t="shared" si="12"/>
        <v>0</v>
      </c>
      <c r="E67" s="49">
        <f>MAX(C67:D67)</f>
        <v>1.1399999999999999</v>
      </c>
      <c r="G67" s="1" t="str">
        <f>G61</f>
        <v>per 100 arrests</v>
      </c>
      <c r="L67" s="58">
        <f>IF(($E61&gt;0),L61,L60)</f>
        <v>100</v>
      </c>
      <c r="M67" s="58">
        <f>IF((B67=G67),1,2)</f>
        <v>1</v>
      </c>
    </row>
    <row r="68" spans="2:13" ht="15" hidden="1" customHeight="1">
      <c r="B68" s="49" t="str">
        <f t="shared" si="12"/>
        <v>per 100 referrals</v>
      </c>
      <c r="C68" s="49">
        <f t="shared" si="12"/>
        <v>2.5299999999999998</v>
      </c>
      <c r="D68" s="49">
        <f t="shared" si="12"/>
        <v>0.02</v>
      </c>
      <c r="E68" s="49">
        <f>MAX(C68:D68)</f>
        <v>2.5299999999999998</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0.02</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0.02</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17615</v>
      </c>
      <c r="D6" s="34"/>
      <c r="E6" s="33">
        <f>'Data Entry'!E6</f>
        <v>2209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114</v>
      </c>
      <c r="D7" s="34">
        <f>IF((AND(C66&gt;0,C7&gt;0)),(C7/C66),0)</f>
        <v>6.4717570252625611</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2209</v>
      </c>
      <c r="P7" s="42">
        <f t="shared" ref="P7:P15" si="4">C7</f>
        <v>114</v>
      </c>
      <c r="Q7" s="42">
        <f>C6-C7</f>
        <v>17501</v>
      </c>
      <c r="R7" s="42">
        <f t="shared" ref="R7:R15" si="5">SUM(N7:Q7)</f>
        <v>19824</v>
      </c>
      <c r="S7" s="30">
        <f t="shared" ref="S7:S15" si="6">R7*((((N7*Q7)-(O7*P7))^2))</f>
        <v>1257165410687424</v>
      </c>
      <c r="T7" s="30">
        <f t="shared" ref="T7:T15" si="7">(N7+O7)*(P7+Q7)*(N7+P7)*(O7+Q7)</f>
        <v>87431884452900</v>
      </c>
      <c r="U7" s="31">
        <f t="shared" ref="U7:U15" si="8">IF((S7&gt;0),S7/T7,"- -")</f>
        <v>14.378798061531722</v>
      </c>
    </row>
    <row r="8" spans="2:21" ht="18" customHeight="1">
      <c r="B8" s="32" t="str">
        <f>'Data Entry'!A8</f>
        <v>3. Refer to Juvenile Court</v>
      </c>
      <c r="C8" s="33">
        <f>'Data Entry'!C8</f>
        <v>253</v>
      </c>
      <c r="D8" s="34">
        <f>IF((AND(C67&gt;0,C8&gt;0)),(C8/C67),0)</f>
        <v>221.92982456140354</v>
      </c>
      <c r="E8" s="33">
        <f>'Data Entry'!E8</f>
        <v>3</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v>
      </c>
      <c r="O8" s="42">
        <f>((D67*L67)-E8)+0.05</f>
        <v>-2.95</v>
      </c>
      <c r="P8" s="42">
        <f t="shared" si="4"/>
        <v>253</v>
      </c>
      <c r="Q8" s="42">
        <f>(C$67*L67)-C8</f>
        <v>-139</v>
      </c>
      <c r="R8" s="42">
        <f t="shared" si="5"/>
        <v>114.05000000000001</v>
      </c>
      <c r="S8" s="30">
        <f t="shared" si="6"/>
        <v>12371165.736125004</v>
      </c>
      <c r="T8" s="30">
        <f t="shared" si="7"/>
        <v>-207133.43999999925</v>
      </c>
      <c r="U8" s="31">
        <f t="shared" si="8"/>
        <v>-59.725584319581856</v>
      </c>
    </row>
    <row r="9" spans="2:21" ht="18" customHeight="1">
      <c r="B9" s="32" t="str">
        <f>'Data Entry'!A9</f>
        <v xml:space="preserve">4. Cases Diverted </v>
      </c>
      <c r="C9" s="33">
        <f>'Data Entry'!C9</f>
        <v>148</v>
      </c>
      <c r="D9" s="34">
        <f>IF((AND(C68&gt;0,C9&gt;0)),((C9/C68)),0)</f>
        <v>58.498023715415023</v>
      </c>
      <c r="E9" s="33">
        <f>'Data Entry'!E9</f>
        <v>3</v>
      </c>
      <c r="F9" s="34">
        <f>IF((AND($E$9&gt;0,$D$68&gt;0)),(($E$9/$D$68)),0)</f>
        <v>100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3</v>
      </c>
      <c r="O9" s="42">
        <f>(D$68*L68)-E9</f>
        <v>0</v>
      </c>
      <c r="P9" s="42">
        <f t="shared" si="4"/>
        <v>148</v>
      </c>
      <c r="Q9" s="42">
        <f>(C$68*L68)-C9</f>
        <v>104.99999999999997</v>
      </c>
      <c r="R9" s="42">
        <f t="shared" si="5"/>
        <v>255.99999999999997</v>
      </c>
      <c r="S9" s="30">
        <f t="shared" si="6"/>
        <v>25401599.999999978</v>
      </c>
      <c r="T9" s="30">
        <f t="shared" si="7"/>
        <v>12033944.999999994</v>
      </c>
      <c r="U9" s="31">
        <f t="shared" si="8"/>
        <v>2.1108289924874999</v>
      </c>
    </row>
    <row r="10" spans="2:21" ht="18" customHeight="1">
      <c r="B10" s="32" t="str">
        <f>'Data Entry'!A10</f>
        <v>5. Cases Involving Secure Detention</v>
      </c>
      <c r="C10" s="33">
        <f>'Data Entry'!C10</f>
        <v>32</v>
      </c>
      <c r="D10" s="34">
        <f>IF(((AND(C68&gt;0,C10&gt;0))),(C10/(C68)),0)</f>
        <v>12.648221343873519</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32</v>
      </c>
      <c r="Q10" s="42">
        <f>(C$68*L68)-C10</f>
        <v>220.99999999999997</v>
      </c>
      <c r="R10" s="42">
        <f t="shared" si="5"/>
        <v>255.99999999999997</v>
      </c>
      <c r="S10" s="30">
        <f t="shared" si="6"/>
        <v>2359295.9999999995</v>
      </c>
      <c r="T10" s="30">
        <f t="shared" si="7"/>
        <v>5440511.9999999981</v>
      </c>
      <c r="U10" s="31">
        <f t="shared" si="8"/>
        <v>0.43365330321852069</v>
      </c>
    </row>
    <row r="11" spans="2:21" ht="18" customHeight="1">
      <c r="B11" s="32" t="str">
        <f>'Data Entry'!A11</f>
        <v>6. Cases Petitioned (Charge Filed)</v>
      </c>
      <c r="C11" s="33">
        <f>'Data Entry'!C11</f>
        <v>73</v>
      </c>
      <c r="D11" s="34">
        <f>IF(((AND(C68&gt;0,C11&gt;0))),(C11/(C68)),0)</f>
        <v>28.853754940711465</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3</v>
      </c>
      <c r="P11" s="42">
        <f t="shared" si="4"/>
        <v>73</v>
      </c>
      <c r="Q11" s="42">
        <f>(C$68*L68)-C11</f>
        <v>179.99999999999997</v>
      </c>
      <c r="R11" s="42">
        <f t="shared" si="5"/>
        <v>255.99999999999997</v>
      </c>
      <c r="S11" s="30">
        <f t="shared" si="6"/>
        <v>12278015.999999998</v>
      </c>
      <c r="T11" s="30">
        <f t="shared" si="7"/>
        <v>10139480.999999996</v>
      </c>
      <c r="U11" s="31">
        <f t="shared" si="8"/>
        <v>1.2109116827577273</v>
      </c>
    </row>
    <row r="12" spans="2:21" ht="18" customHeight="1">
      <c r="B12" s="32" t="str">
        <f>'Data Entry'!A12</f>
        <v>7. Cases Resulting in Delinquent Findings</v>
      </c>
      <c r="C12" s="33">
        <f>'Data Entry'!C12</f>
        <v>34</v>
      </c>
      <c r="D12" s="34">
        <f>IF(((AND(C69&gt;0,C12&gt;0))),(C12/(C69)),0)</f>
        <v>46.575342465753423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39</v>
      </c>
      <c r="R12" s="42">
        <f t="shared" si="5"/>
        <v>73</v>
      </c>
      <c r="S12" s="30">
        <f t="shared" si="6"/>
        <v>0</v>
      </c>
      <c r="T12" s="30">
        <f t="shared" si="7"/>
        <v>0</v>
      </c>
      <c r="U12" s="31" t="str">
        <f t="shared" si="8"/>
        <v>- -</v>
      </c>
    </row>
    <row r="13" spans="2:21" ht="18" customHeight="1">
      <c r="B13" s="32" t="str">
        <f>'Data Entry'!A13</f>
        <v>8. Cases Resulting in Probation Placement</v>
      </c>
      <c r="C13" s="33">
        <f>'Data Entry'!C13</f>
        <v>19</v>
      </c>
      <c r="D13" s="34">
        <f>IF(((AND(C70&gt;0,C13&gt;0))),(C13/(C70)),0)</f>
        <v>55.882352941176464</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15</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1</v>
      </c>
      <c r="F14" s="34">
        <f>IF(((AND($D$70&gt;0,$E$14&gt;0))), (($E$14/($D$70))),0)</f>
        <v>0</v>
      </c>
      <c r="G14" s="39" t="str">
        <f t="shared" si="0"/>
        <v>--</v>
      </c>
      <c r="H14" s="40"/>
      <c r="I14" s="41"/>
      <c r="J14" s="40" t="e">
        <f>IF((ABS($U14)&gt;Defaults!D$7),1,2)</f>
        <v>#DIV/0!</v>
      </c>
      <c r="K14" s="39">
        <f>IF((AND(N14&gt;Defaults!B$12,(N14+O14)&gt;Defaults!B$13, P14 &gt; Defaults!B$12, (P14+Q14) &gt; Defaults!B$13)),1,20)</f>
        <v>20</v>
      </c>
      <c r="L14" s="1" t="e">
        <f t="shared" si="1"/>
        <v>#DIV/0!</v>
      </c>
      <c r="M14" s="1" t="b">
        <f t="shared" si="2"/>
        <v>0</v>
      </c>
      <c r="N14" s="42">
        <f t="shared" si="3"/>
        <v>1</v>
      </c>
      <c r="O14" s="42">
        <f>(D70*L70)-E14</f>
        <v>-1</v>
      </c>
      <c r="P14" s="42">
        <f t="shared" si="4"/>
        <v>0</v>
      </c>
      <c r="Q14" s="42">
        <f>(C70*L70)-C14</f>
        <v>34</v>
      </c>
      <c r="R14" s="42">
        <f t="shared" si="5"/>
        <v>34</v>
      </c>
      <c r="S14" s="30">
        <f t="shared" si="6"/>
        <v>39304</v>
      </c>
      <c r="T14" s="30">
        <f t="shared" si="7"/>
        <v>0</v>
      </c>
      <c r="U14" s="31" t="e">
        <f t="shared" si="8"/>
        <v>#DIV/0!</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73</v>
      </c>
      <c r="R15" s="42">
        <f t="shared" si="5"/>
        <v>73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17.614999999999998</v>
      </c>
      <c r="D42" s="56">
        <f>E6/1000</f>
        <v>2.2090000000000001</v>
      </c>
      <c r="E42" s="56">
        <f>MAX(C42:D42)</f>
        <v>17.614999999999998</v>
      </c>
      <c r="G42" s="1" t="str">
        <f>B42</f>
        <v>per 1000 youth</v>
      </c>
      <c r="L42" s="57">
        <v>1000</v>
      </c>
      <c r="M42" s="57"/>
      <c r="R42" s="49"/>
    </row>
    <row r="43" spans="2:18" ht="15" hidden="1" customHeight="1">
      <c r="B43" s="49" t="s">
        <v>87</v>
      </c>
      <c r="C43" s="56">
        <f>C7/100</f>
        <v>1.1399999999999999</v>
      </c>
      <c r="D43" s="56">
        <f>E7/100</f>
        <v>0</v>
      </c>
      <c r="E43" s="56">
        <f>MAX(C43:D43,0)</f>
        <v>1.1399999999999999</v>
      </c>
      <c r="G43" s="1" t="str">
        <f>B43</f>
        <v>per 100 arrests</v>
      </c>
      <c r="L43" s="57">
        <v>100</v>
      </c>
      <c r="M43" s="57"/>
      <c r="R43" s="49"/>
    </row>
    <row r="44" spans="2:18" ht="15" hidden="1" customHeight="1">
      <c r="B44" s="49" t="s">
        <v>88</v>
      </c>
      <c r="C44" s="56">
        <f>C8/100</f>
        <v>2.5299999999999998</v>
      </c>
      <c r="D44" s="56">
        <f>E8/100</f>
        <v>0.03</v>
      </c>
      <c r="E44" s="56">
        <f>MAX(C44:D44,0)</f>
        <v>2.5299999999999998</v>
      </c>
      <c r="G44" s="1" t="str">
        <f>B44</f>
        <v>per 100 referrals</v>
      </c>
      <c r="L44" s="57">
        <v>100</v>
      </c>
      <c r="M44" s="57"/>
      <c r="R44" s="49"/>
    </row>
    <row r="45" spans="2:18" ht="15" hidden="1" customHeight="1">
      <c r="B45" s="49" t="s">
        <v>89</v>
      </c>
      <c r="C45" s="49">
        <f>C11/100</f>
        <v>0.73</v>
      </c>
      <c r="D45" s="49">
        <f>E11/100</f>
        <v>0</v>
      </c>
      <c r="E45" s="56">
        <f>MAX(C45:D45,0)</f>
        <v>0.73</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17.614999999999998</v>
      </c>
      <c r="D48" s="56">
        <f>D42</f>
        <v>2.2090000000000001</v>
      </c>
      <c r="E48" s="56">
        <f>MAX(C48:D48)</f>
        <v>17.614999999999998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1.1399999999999999</v>
      </c>
      <c r="D49" s="49">
        <f t="shared" si="9"/>
        <v>0</v>
      </c>
      <c r="E49" s="49">
        <f>MAX(C49:D49)</f>
        <v>1.1399999999999999</v>
      </c>
      <c r="G49" s="1" t="str">
        <f>G43</f>
        <v>per 100 arrests</v>
      </c>
      <c r="L49" s="58">
        <f>IF(($E43&gt;0),L43,L42)</f>
        <v>100</v>
      </c>
      <c r="M49" s="58"/>
      <c r="N49" s="21"/>
      <c r="O49" s="21"/>
      <c r="P49" s="21"/>
      <c r="Q49" s="21"/>
      <c r="R49" s="21"/>
    </row>
    <row r="50" spans="2:18" ht="15" hidden="1" customHeight="1">
      <c r="B50" s="49" t="str">
        <f t="shared" si="9"/>
        <v>per 100 referrals</v>
      </c>
      <c r="C50" s="49">
        <f t="shared" si="9"/>
        <v>2.5299999999999998</v>
      </c>
      <c r="D50" s="49">
        <f t="shared" si="9"/>
        <v>0.03</v>
      </c>
      <c r="E50" s="49">
        <f>MAX(C50:D50)</f>
        <v>2.5299999999999998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17.614999999999998</v>
      </c>
      <c r="D54" s="56">
        <f>D48</f>
        <v>2.2090000000000001</v>
      </c>
      <c r="E54" s="56">
        <f>MAX(C54:D54)</f>
        <v>17.614999999999998</v>
      </c>
      <c r="G54" s="1" t="str">
        <f>G48</f>
        <v>per 1000 youth</v>
      </c>
      <c r="L54" s="58">
        <f>L48</f>
        <v>1000</v>
      </c>
      <c r="M54" s="58"/>
    </row>
    <row r="55" spans="2:18" ht="15" hidden="1" customHeight="1">
      <c r="B55" s="49" t="str">
        <f t="shared" ref="B55:D56" si="10">IF(($E49&gt;0),B49,B48)</f>
        <v>per 100 arrests</v>
      </c>
      <c r="C55" s="49">
        <f t="shared" si="10"/>
        <v>1.1399999999999999</v>
      </c>
      <c r="D55" s="49">
        <f t="shared" si="10"/>
        <v>0</v>
      </c>
      <c r="E55" s="49">
        <f>MAX(C55:D55)</f>
        <v>1.1399999999999999</v>
      </c>
      <c r="G55" s="1" t="str">
        <f>G49</f>
        <v>per 100 arrests</v>
      </c>
      <c r="L55" s="58">
        <f>IF(($E49&gt;0),L49,L48)</f>
        <v>100</v>
      </c>
      <c r="M55" s="58"/>
    </row>
    <row r="56" spans="2:18" ht="15" hidden="1" customHeight="1">
      <c r="B56" s="49" t="str">
        <f t="shared" si="10"/>
        <v>per 100 referrals</v>
      </c>
      <c r="C56" s="49">
        <f t="shared" si="10"/>
        <v>2.5299999999999998</v>
      </c>
      <c r="D56" s="49">
        <f t="shared" si="10"/>
        <v>0.03</v>
      </c>
      <c r="E56" s="49">
        <f>MAX(C56:D56)</f>
        <v>2.5299999999999998</v>
      </c>
      <c r="G56" s="1" t="str">
        <f>G50</f>
        <v>per 100 referrals</v>
      </c>
      <c r="L56" s="58">
        <f>IF(($E50&gt;0),L50,L49)</f>
        <v>100</v>
      </c>
      <c r="M56" s="58"/>
    </row>
    <row r="57" spans="2:18" ht="15" hidden="1" customHeight="1">
      <c r="B57" s="49" t="str">
        <f>IF(($E51&gt;0),B51,B49)</f>
        <v>per 100 youth petitioned</v>
      </c>
      <c r="C57" s="49">
        <f>IF(($E51&gt;0),C51,C50)</f>
        <v>0.73</v>
      </c>
      <c r="D57" s="49">
        <f>IF(($E51&gt;0),D51,D50)</f>
        <v>0</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17.614999999999998</v>
      </c>
      <c r="D60" s="56">
        <f>D54</f>
        <v>2.2090000000000001</v>
      </c>
      <c r="E60" s="56">
        <f>MAX(C60:D60)</f>
        <v>17.614999999999998</v>
      </c>
      <c r="G60" s="1" t="str">
        <f>G54</f>
        <v>per 1000 youth</v>
      </c>
      <c r="L60" s="58">
        <f>L54</f>
        <v>1000</v>
      </c>
      <c r="M60" s="58"/>
    </row>
    <row r="61" spans="2:18" ht="15" hidden="1" customHeight="1">
      <c r="B61" s="49" t="str">
        <f t="shared" ref="B61:D62" si="11">IF(($E55&gt;0),B55,B54)</f>
        <v>per 100 arrests</v>
      </c>
      <c r="C61" s="49">
        <f t="shared" si="11"/>
        <v>1.1399999999999999</v>
      </c>
      <c r="D61" s="49">
        <f t="shared" si="11"/>
        <v>0</v>
      </c>
      <c r="E61" s="49">
        <f>MAX(C61:D61)</f>
        <v>1.1399999999999999</v>
      </c>
      <c r="G61" s="1" t="str">
        <f>G55</f>
        <v>per 100 arrests</v>
      </c>
      <c r="L61" s="58">
        <f>IF(($E55&gt;0),L55,L54)</f>
        <v>100</v>
      </c>
      <c r="M61" s="58"/>
    </row>
    <row r="62" spans="2:18" ht="15" hidden="1" customHeight="1">
      <c r="B62" s="49" t="str">
        <f t="shared" si="11"/>
        <v>per 100 referrals</v>
      </c>
      <c r="C62" s="49">
        <f t="shared" si="11"/>
        <v>2.5299999999999998</v>
      </c>
      <c r="D62" s="49">
        <f t="shared" si="11"/>
        <v>0.03</v>
      </c>
      <c r="E62" s="49">
        <f>MAX(C62:D62)</f>
        <v>2.5299999999999998</v>
      </c>
      <c r="G62" s="1" t="str">
        <f>G56</f>
        <v>per 100 referrals</v>
      </c>
      <c r="L62" s="58">
        <f>IF(($E56&gt;0),L56,L55)</f>
        <v>100</v>
      </c>
      <c r="M62" s="58"/>
    </row>
    <row r="63" spans="2:18" ht="15" hidden="1" customHeight="1">
      <c r="B63" s="49" t="str">
        <f>IF(($E57&gt;0),B57,B55)</f>
        <v>per 100 youth petitioned</v>
      </c>
      <c r="C63" s="49">
        <f>IF(($E57&gt;0),C57,C56)</f>
        <v>0.73</v>
      </c>
      <c r="D63" s="49">
        <f>IF(($E57&gt;0),D57,D56)</f>
        <v>0</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17.614999999999998</v>
      </c>
      <c r="D66" s="56">
        <f>D60</f>
        <v>2.2090000000000001</v>
      </c>
      <c r="E66" s="56">
        <f>MAX(C66:D66)</f>
        <v>17.614999999999998</v>
      </c>
      <c r="G66" s="1" t="str">
        <f>G60</f>
        <v>per 1000 youth</v>
      </c>
      <c r="L66" s="58">
        <f>L60</f>
        <v>1000</v>
      </c>
      <c r="M66" s="58">
        <f>IF((B66=G66),1,2)</f>
        <v>1</v>
      </c>
    </row>
    <row r="67" spans="2:13" ht="15" hidden="1" customHeight="1">
      <c r="B67" s="49" t="str">
        <f t="shared" ref="B67:D68" si="12">IF(($E61&gt;0),B61,B60)</f>
        <v>per 100 arrests</v>
      </c>
      <c r="C67" s="49">
        <f t="shared" si="12"/>
        <v>1.1399999999999999</v>
      </c>
      <c r="D67" s="49">
        <f t="shared" si="12"/>
        <v>0</v>
      </c>
      <c r="E67" s="49">
        <f>MAX(C67:D67)</f>
        <v>1.1399999999999999</v>
      </c>
      <c r="G67" s="1" t="str">
        <f>G61</f>
        <v>per 100 arrests</v>
      </c>
      <c r="L67" s="58">
        <f>IF(($E61&gt;0),L61,L60)</f>
        <v>100</v>
      </c>
      <c r="M67" s="58">
        <f>IF((B67=G67),1,2)</f>
        <v>1</v>
      </c>
    </row>
    <row r="68" spans="2:13" ht="15" hidden="1" customHeight="1">
      <c r="B68" s="49" t="str">
        <f t="shared" si="12"/>
        <v>per 100 referrals</v>
      </c>
      <c r="C68" s="49">
        <f t="shared" si="12"/>
        <v>2.5299999999999998</v>
      </c>
      <c r="D68" s="49">
        <f t="shared" si="12"/>
        <v>0.03</v>
      </c>
      <c r="E68" s="49">
        <f>MAX(C68:D68)</f>
        <v>2.5299999999999998</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17615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114</v>
      </c>
      <c r="D7" s="34">
        <f>IF((AND(C66&gt;0,C7&gt;0)),(C7/C66),0)</f>
        <v>6.4717570252625611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114</v>
      </c>
      <c r="Q7" s="42">
        <f>C6-C7</f>
        <v>17501</v>
      </c>
      <c r="R7" s="42">
        <f t="shared" ref="R7:R15" si="5">SUM(N7:Q7)</f>
        <v>17615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253</v>
      </c>
      <c r="D8" s="34">
        <f>IF((AND(C67&gt;0,C8&gt;0)),(C8/C67),0)</f>
        <v>221.92982456140354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253</v>
      </c>
      <c r="Q8" s="42">
        <f>(C$67*L67)-C8</f>
        <v>-139</v>
      </c>
      <c r="R8" s="42">
        <f t="shared" si="5"/>
        <v>114.05000000000001</v>
      </c>
      <c r="S8" s="30">
        <f t="shared" si="6"/>
        <v>18250.566125000001</v>
      </c>
      <c r="T8" s="30">
        <f t="shared" si="7"/>
        <v>-200379.79500000001</v>
      </c>
      <c r="U8" s="31">
        <f t="shared" si="8"/>
        <v>-9.1079872224642214E-2</v>
      </c>
    </row>
    <row r="9" spans="2:21" ht="18" customHeight="1">
      <c r="B9" s="32" t="str">
        <f>'Data Entry'!A9</f>
        <v xml:space="preserve">4. Cases Diverted </v>
      </c>
      <c r="C9" s="33">
        <f>'Data Entry'!C9</f>
        <v>148</v>
      </c>
      <c r="D9" s="34">
        <f>IF((AND(C68&gt;0,C9&gt;0)),((C9/C68)),0)</f>
        <v>58.498023715415023</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148</v>
      </c>
      <c r="Q9" s="42">
        <f>(C$68*L68)-C9</f>
        <v>104.99999999999997</v>
      </c>
      <c r="R9" s="42">
        <f t="shared" si="5"/>
        <v>252.99999999999997</v>
      </c>
      <c r="S9" s="30">
        <f t="shared" si="6"/>
        <v>0</v>
      </c>
      <c r="T9" s="30">
        <f t="shared" si="7"/>
        <v>0</v>
      </c>
      <c r="U9" s="31" t="str">
        <f t="shared" si="8"/>
        <v>- -</v>
      </c>
    </row>
    <row r="10" spans="2:21" ht="18" customHeight="1">
      <c r="B10" s="32" t="str">
        <f>'Data Entry'!A10</f>
        <v>5. Cases Involving Secure Detention</v>
      </c>
      <c r="C10" s="33">
        <f>'Data Entry'!C10</f>
        <v>32</v>
      </c>
      <c r="D10" s="34">
        <f>IF(((AND(C68&gt;0,C10&gt;0))),(C10/(C68)),0)</f>
        <v>12.648221343873519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32</v>
      </c>
      <c r="Q10" s="42">
        <f>(C$68*L68)-C10</f>
        <v>220.99999999999997</v>
      </c>
      <c r="R10" s="42">
        <f t="shared" si="5"/>
        <v>252.99999999999997</v>
      </c>
      <c r="S10" s="30">
        <f t="shared" si="6"/>
        <v>0</v>
      </c>
      <c r="T10" s="30">
        <f t="shared" si="7"/>
        <v>0</v>
      </c>
      <c r="U10" s="31" t="str">
        <f t="shared" si="8"/>
        <v>- -</v>
      </c>
    </row>
    <row r="11" spans="2:21" ht="18" customHeight="1">
      <c r="B11" s="32" t="str">
        <f>'Data Entry'!A11</f>
        <v>6. Cases Petitioned (Charge Filed)</v>
      </c>
      <c r="C11" s="33">
        <f>'Data Entry'!C11</f>
        <v>73</v>
      </c>
      <c r="D11" s="34">
        <f>IF(((AND(C68&gt;0,C11&gt;0))),(C11/(C68)),0)</f>
        <v>28.853754940711465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73</v>
      </c>
      <c r="Q11" s="42">
        <f>(C$68*L68)-C11</f>
        <v>179.99999999999997</v>
      </c>
      <c r="R11" s="42">
        <f t="shared" si="5"/>
        <v>252.99999999999997</v>
      </c>
      <c r="S11" s="30">
        <f t="shared" si="6"/>
        <v>0</v>
      </c>
      <c r="T11" s="30">
        <f t="shared" si="7"/>
        <v>0</v>
      </c>
      <c r="U11" s="31" t="str">
        <f t="shared" si="8"/>
        <v>- -</v>
      </c>
    </row>
    <row r="12" spans="2:21" ht="18" customHeight="1">
      <c r="B12" s="32" t="str">
        <f>'Data Entry'!A12</f>
        <v>7. Cases Resulting in Delinquent Findings</v>
      </c>
      <c r="C12" s="33">
        <f>'Data Entry'!C12</f>
        <v>34</v>
      </c>
      <c r="D12" s="34">
        <f>IF(((AND(C69&gt;0,C12&gt;0))),(C12/(C69)),0)</f>
        <v>46.575342465753423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39</v>
      </c>
      <c r="R12" s="42">
        <f t="shared" si="5"/>
        <v>73</v>
      </c>
      <c r="S12" s="30">
        <f t="shared" si="6"/>
        <v>0</v>
      </c>
      <c r="T12" s="30">
        <f t="shared" si="7"/>
        <v>0</v>
      </c>
      <c r="U12" s="31" t="str">
        <f t="shared" si="8"/>
        <v>- -</v>
      </c>
    </row>
    <row r="13" spans="2:21" ht="18" customHeight="1">
      <c r="B13" s="32" t="str">
        <f>'Data Entry'!A13</f>
        <v>8. Cases Resulting in Probation Placement</v>
      </c>
      <c r="C13" s="33">
        <f>'Data Entry'!C13</f>
        <v>19</v>
      </c>
      <c r="D13" s="34">
        <f>IF(((AND(C70&gt;0,C13&gt;0))),(C13/(C70)),0)</f>
        <v>55.882352941176464</v>
      </c>
      <c r="E13" s="33">
        <f>'Data Entry'!G13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19</v>
      </c>
      <c r="Q13" s="42">
        <f>(C70*L70)-C13</f>
        <v>15</v>
      </c>
      <c r="R13" s="42">
        <f t="shared" si="5"/>
        <v>34</v>
      </c>
      <c r="S13" s="30">
        <f t="shared" si="6"/>
        <v>39304</v>
      </c>
      <c r="T13" s="30">
        <f t="shared" si="7"/>
        <v>0</v>
      </c>
      <c r="U13" s="31" t="e">
        <f t="shared" si="8"/>
        <v>#DIV/0!</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34</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73</v>
      </c>
      <c r="R15" s="42">
        <f t="shared" si="5"/>
        <v>73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17.614999999999998</v>
      </c>
      <c r="D42" s="56">
        <f>E6/1000</f>
        <v>0</v>
      </c>
      <c r="E42" s="56">
        <f>MAX(C42:D42)</f>
        <v>17.614999999999998</v>
      </c>
      <c r="G42" s="1" t="str">
        <f>B42</f>
        <v>per 1000 youth</v>
      </c>
      <c r="L42" s="57">
        <v>1000</v>
      </c>
      <c r="M42" s="57"/>
      <c r="R42" s="49"/>
    </row>
    <row r="43" spans="2:18" ht="15" hidden="1" customHeight="1">
      <c r="B43" s="49" t="s">
        <v>87</v>
      </c>
      <c r="C43" s="56">
        <f>C7/100</f>
        <v>1.1399999999999999</v>
      </c>
      <c r="D43" s="56">
        <f>E7/100</f>
        <v>0</v>
      </c>
      <c r="E43" s="56">
        <f>MAX(C43:D43,0)</f>
        <v>1.1399999999999999</v>
      </c>
      <c r="G43" s="1" t="str">
        <f>B43</f>
        <v>per 100 arrests</v>
      </c>
      <c r="L43" s="57">
        <v>100</v>
      </c>
      <c r="M43" s="57"/>
      <c r="R43" s="49"/>
    </row>
    <row r="44" spans="2:18" ht="15" hidden="1" customHeight="1">
      <c r="B44" s="49" t="s">
        <v>88</v>
      </c>
      <c r="C44" s="56">
        <f>C8/100</f>
        <v>2.5299999999999998</v>
      </c>
      <c r="D44" s="56">
        <f>E8/100</f>
        <v>0</v>
      </c>
      <c r="E44" s="56">
        <f>MAX(C44:D44,0)</f>
        <v>2.5299999999999998</v>
      </c>
      <c r="G44" s="1" t="str">
        <f>B44</f>
        <v>per 100 referrals</v>
      </c>
      <c r="L44" s="57">
        <v>100</v>
      </c>
      <c r="M44" s="57"/>
      <c r="R44" s="49"/>
    </row>
    <row r="45" spans="2:18" ht="15" hidden="1" customHeight="1">
      <c r="B45" s="49" t="s">
        <v>89</v>
      </c>
      <c r="C45" s="49">
        <f>C11/100</f>
        <v>0.73</v>
      </c>
      <c r="D45" s="49">
        <f>E11/100</f>
        <v>0</v>
      </c>
      <c r="E45" s="56">
        <f>MAX(C45:D45,0)</f>
        <v>0.73</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17.614999999999998</v>
      </c>
      <c r="D48" s="56">
        <f>D42</f>
        <v>0</v>
      </c>
      <c r="E48" s="56">
        <f>MAX(C48:D48)</f>
        <v>17.614999999999998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1.1399999999999999</v>
      </c>
      <c r="D49" s="49">
        <f t="shared" si="9"/>
        <v>0</v>
      </c>
      <c r="E49" s="49">
        <f>MAX(C49:D49)</f>
        <v>1.1399999999999999</v>
      </c>
      <c r="G49" s="1" t="str">
        <f>G43</f>
        <v>per 100 arrests</v>
      </c>
      <c r="L49" s="58">
        <f>IF(($E43&gt;0),L43,L42)</f>
        <v>100</v>
      </c>
      <c r="M49" s="58"/>
      <c r="N49" s="21"/>
      <c r="O49" s="21"/>
      <c r="P49" s="21"/>
      <c r="Q49" s="21"/>
      <c r="R49" s="21"/>
    </row>
    <row r="50" spans="2:18" ht="15" hidden="1" customHeight="1">
      <c r="B50" s="49" t="str">
        <f t="shared" si="9"/>
        <v>per 100 referrals</v>
      </c>
      <c r="C50" s="49">
        <f t="shared" si="9"/>
        <v>2.5299999999999998</v>
      </c>
      <c r="D50" s="49">
        <f t="shared" si="9"/>
        <v>0</v>
      </c>
      <c r="E50" s="49">
        <f>MAX(C50:D50)</f>
        <v>2.5299999999999998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17.614999999999998</v>
      </c>
      <c r="D54" s="56">
        <f>D48</f>
        <v>0</v>
      </c>
      <c r="E54" s="56">
        <f>MAX(C54:D54)</f>
        <v>17.614999999999998</v>
      </c>
      <c r="G54" s="1" t="str">
        <f>G48</f>
        <v>per 1000 youth</v>
      </c>
      <c r="L54" s="58">
        <f>L48</f>
        <v>1000</v>
      </c>
      <c r="M54" s="58"/>
    </row>
    <row r="55" spans="2:18" ht="15" hidden="1" customHeight="1">
      <c r="B55" s="49" t="str">
        <f t="shared" ref="B55:D56" si="10">IF(($E49&gt;0),B49,B48)</f>
        <v>per 100 arrests</v>
      </c>
      <c r="C55" s="49">
        <f t="shared" si="10"/>
        <v>1.1399999999999999</v>
      </c>
      <c r="D55" s="49">
        <f t="shared" si="10"/>
        <v>0</v>
      </c>
      <c r="E55" s="49">
        <f>MAX(C55:D55)</f>
        <v>1.1399999999999999</v>
      </c>
      <c r="G55" s="1" t="str">
        <f>G49</f>
        <v>per 100 arrests</v>
      </c>
      <c r="L55" s="58">
        <f>IF(($E49&gt;0),L49,L48)</f>
        <v>100</v>
      </c>
      <c r="M55" s="58"/>
    </row>
    <row r="56" spans="2:18" ht="15" hidden="1" customHeight="1">
      <c r="B56" s="49" t="str">
        <f t="shared" si="10"/>
        <v>per 100 referrals</v>
      </c>
      <c r="C56" s="49">
        <f t="shared" si="10"/>
        <v>2.5299999999999998</v>
      </c>
      <c r="D56" s="49">
        <f t="shared" si="10"/>
        <v>0</v>
      </c>
      <c r="E56" s="49">
        <f>MAX(C56:D56)</f>
        <v>2.5299999999999998</v>
      </c>
      <c r="G56" s="1" t="str">
        <f>G50</f>
        <v>per 100 referrals</v>
      </c>
      <c r="L56" s="58">
        <f>IF(($E50&gt;0),L50,L49)</f>
        <v>100</v>
      </c>
      <c r="M56" s="58"/>
    </row>
    <row r="57" spans="2:18" ht="15" hidden="1" customHeight="1">
      <c r="B57" s="49" t="str">
        <f>IF(($E51&gt;0),B51,B49)</f>
        <v>per 100 youth petitioned</v>
      </c>
      <c r="C57" s="49">
        <f>IF(($E51&gt;0),C51,C50)</f>
        <v>0.73</v>
      </c>
      <c r="D57" s="49">
        <f>IF(($E51&gt;0),D51,D50)</f>
        <v>0</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17.614999999999998</v>
      </c>
      <c r="D60" s="56">
        <f>D54</f>
        <v>0</v>
      </c>
      <c r="E60" s="56">
        <f>MAX(C60:D60)</f>
        <v>17.614999999999998</v>
      </c>
      <c r="G60" s="1" t="str">
        <f>G54</f>
        <v>per 1000 youth</v>
      </c>
      <c r="L60" s="58">
        <f>L54</f>
        <v>1000</v>
      </c>
      <c r="M60" s="58"/>
    </row>
    <row r="61" spans="2:18" ht="15" hidden="1" customHeight="1">
      <c r="B61" s="49" t="str">
        <f t="shared" ref="B61:D62" si="11">IF(($E55&gt;0),B55,B54)</f>
        <v>per 100 arrests</v>
      </c>
      <c r="C61" s="49">
        <f t="shared" si="11"/>
        <v>1.1399999999999999</v>
      </c>
      <c r="D61" s="49">
        <f t="shared" si="11"/>
        <v>0</v>
      </c>
      <c r="E61" s="49">
        <f>MAX(C61:D61)</f>
        <v>1.1399999999999999</v>
      </c>
      <c r="G61" s="1" t="str">
        <f>G55</f>
        <v>per 100 arrests</v>
      </c>
      <c r="L61" s="58">
        <f>IF(($E55&gt;0),L55,L54)</f>
        <v>100</v>
      </c>
      <c r="M61" s="58"/>
    </row>
    <row r="62" spans="2:18" ht="15" hidden="1" customHeight="1">
      <c r="B62" s="49" t="str">
        <f t="shared" si="11"/>
        <v>per 100 referrals</v>
      </c>
      <c r="C62" s="49">
        <f t="shared" si="11"/>
        <v>2.5299999999999998</v>
      </c>
      <c r="D62" s="49">
        <f t="shared" si="11"/>
        <v>0</v>
      </c>
      <c r="E62" s="49">
        <f>MAX(C62:D62)</f>
        <v>2.5299999999999998</v>
      </c>
      <c r="G62" s="1" t="str">
        <f>G56</f>
        <v>per 100 referrals</v>
      </c>
      <c r="L62" s="58">
        <f>IF(($E56&gt;0),L56,L55)</f>
        <v>100</v>
      </c>
      <c r="M62" s="58"/>
    </row>
    <row r="63" spans="2:18" ht="15" hidden="1" customHeight="1">
      <c r="B63" s="49" t="str">
        <f>IF(($E57&gt;0),B57,B55)</f>
        <v>per 100 youth petitioned</v>
      </c>
      <c r="C63" s="49">
        <f>IF(($E57&gt;0),C57,C56)</f>
        <v>0.73</v>
      </c>
      <c r="D63" s="49">
        <f>IF(($E57&gt;0),D57,D56)</f>
        <v>0</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17.614999999999998</v>
      </c>
      <c r="D66" s="56">
        <f>D60</f>
        <v>0</v>
      </c>
      <c r="E66" s="56">
        <f>MAX(C66:D66)</f>
        <v>17.614999999999998</v>
      </c>
      <c r="G66" s="1" t="str">
        <f>G60</f>
        <v>per 1000 youth</v>
      </c>
      <c r="L66" s="58">
        <f>L60</f>
        <v>1000</v>
      </c>
      <c r="M66" s="58">
        <f>IF((B66=G66),1,2)</f>
        <v>1</v>
      </c>
    </row>
    <row r="67" spans="2:13" ht="15" hidden="1" customHeight="1">
      <c r="B67" s="49" t="str">
        <f t="shared" ref="B67:D68" si="12">IF(($E61&gt;0),B61,B60)</f>
        <v>per 100 arrests</v>
      </c>
      <c r="C67" s="49">
        <f t="shared" si="12"/>
        <v>1.1399999999999999</v>
      </c>
      <c r="D67" s="49">
        <f t="shared" si="12"/>
        <v>0</v>
      </c>
      <c r="E67" s="49">
        <f>MAX(C67:D67)</f>
        <v>1.1399999999999999</v>
      </c>
      <c r="G67" s="1" t="str">
        <f>G61</f>
        <v>per 100 arrests</v>
      </c>
      <c r="L67" s="58">
        <f>IF(($E61&gt;0),L61,L60)</f>
        <v>100</v>
      </c>
      <c r="M67" s="58">
        <f>IF((B67=G67),1,2)</f>
        <v>1</v>
      </c>
    </row>
    <row r="68" spans="2:13" ht="15" hidden="1" customHeight="1">
      <c r="B68" s="49" t="str">
        <f t="shared" si="12"/>
        <v>per 100 referrals</v>
      </c>
      <c r="C68" s="49">
        <f t="shared" si="12"/>
        <v>2.5299999999999998</v>
      </c>
      <c r="D68" s="49">
        <f t="shared" si="12"/>
        <v>0</v>
      </c>
      <c r="E68" s="49">
        <f>MAX(C68:D68)</f>
        <v>2.5299999999999998</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Kalamazoo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17615</v>
      </c>
      <c r="D6" s="34"/>
      <c r="E6" s="33">
        <f>'Data Entry'!H6</f>
        <v>125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114</v>
      </c>
      <c r="D7" s="34">
        <f>IF((AND(C66&gt;0,C7&gt;0)),(C7/C66),0)</f>
        <v>6.4717570252625611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125</v>
      </c>
      <c r="P7" s="42">
        <f t="shared" ref="P7:P15" si="4">C7</f>
        <v>114</v>
      </c>
      <c r="Q7" s="42">
        <f>C6-C7</f>
        <v>17501</v>
      </c>
      <c r="R7" s="42">
        <f t="shared" ref="R7:R15" si="5">SUM(N7:Q7)</f>
        <v>17740</v>
      </c>
      <c r="S7" s="30">
        <f t="shared" ref="S7:S15" si="6">R7*((((N7*Q7)-(O7*P7))^2))</f>
        <v>3602328750000</v>
      </c>
      <c r="T7" s="30">
        <f t="shared" ref="T7:T15" si="7">(N7+O7)*(P7+Q7)*(N7+P7)*(O7+Q7)</f>
        <v>4424368357500</v>
      </c>
      <c r="U7" s="31">
        <f t="shared" ref="U7:U15" si="8">IF((S7&gt;0),S7/T7,"- -")</f>
        <v>0.81420181569951933</v>
      </c>
    </row>
    <row r="8" spans="2:21" ht="18" customHeight="1">
      <c r="B8" s="32" t="str">
        <f>'Data Entry'!A8</f>
        <v>3. Refer to Juvenile Court</v>
      </c>
      <c r="C8" s="33">
        <f>'Data Entry'!C8</f>
        <v>253</v>
      </c>
      <c r="D8" s="34">
        <f>IF((AND(C67&gt;0,C8&gt;0)),(C8/C67),0)</f>
        <v>221.92982456140354</v>
      </c>
      <c r="E8" s="33">
        <f>'Data Entry'!H8</f>
        <v>9</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9</v>
      </c>
      <c r="O8" s="42">
        <f>((D67*L67)-E8)+0.05</f>
        <v>-8.9499999999999993</v>
      </c>
      <c r="P8" s="42">
        <f t="shared" si="4"/>
        <v>253</v>
      </c>
      <c r="Q8" s="42">
        <f>(C$67*L67)-C8</f>
        <v>-139</v>
      </c>
      <c r="R8" s="42">
        <f t="shared" si="5"/>
        <v>114.05000000000001</v>
      </c>
      <c r="S8" s="30">
        <f t="shared" si="6"/>
        <v>117115461.27612498</v>
      </c>
      <c r="T8" s="30">
        <f t="shared" si="7"/>
        <v>-220948.53000000311</v>
      </c>
      <c r="U8" s="31">
        <f t="shared" si="8"/>
        <v>-530.05766219002828</v>
      </c>
    </row>
    <row r="9" spans="2:21" ht="18" customHeight="1">
      <c r="B9" s="32" t="str">
        <f>'Data Entry'!A9</f>
        <v xml:space="preserve">4. Cases Diverted </v>
      </c>
      <c r="C9" s="33">
        <f>'Data Entry'!C9</f>
        <v>148</v>
      </c>
      <c r="D9" s="34">
        <f>IF((AND(C68&gt;0,C9&gt;0)),((C9/C68)),0)</f>
        <v>58.498023715415023</v>
      </c>
      <c r="E9" s="33">
        <f>'Data Entry'!H9</f>
        <v>8</v>
      </c>
      <c r="F9" s="34">
        <f>IF((AND($E$9&gt;0,$D$68&gt;0)),(($E$9/$D$68)),0)</f>
        <v>88.888888888888886</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8</v>
      </c>
      <c r="O9" s="42">
        <f>(D$68*L68)-E9</f>
        <v>1</v>
      </c>
      <c r="P9" s="42">
        <f t="shared" si="4"/>
        <v>148</v>
      </c>
      <c r="Q9" s="42">
        <f>(C$68*L68)-C9</f>
        <v>104.99999999999997</v>
      </c>
      <c r="R9" s="42">
        <f t="shared" si="5"/>
        <v>262</v>
      </c>
      <c r="S9" s="30">
        <f t="shared" si="6"/>
        <v>125462367.99999993</v>
      </c>
      <c r="T9" s="30">
        <f t="shared" si="7"/>
        <v>37652471.999999985</v>
      </c>
      <c r="U9" s="31">
        <f t="shared" si="8"/>
        <v>3.3321150335096186</v>
      </c>
    </row>
    <row r="10" spans="2:21" ht="18" customHeight="1">
      <c r="B10" s="32" t="str">
        <f>'Data Entry'!A10</f>
        <v>5. Cases Involving Secure Detention</v>
      </c>
      <c r="C10" s="33">
        <f>'Data Entry'!C10</f>
        <v>32</v>
      </c>
      <c r="D10" s="34">
        <f>IF(((AND(C68&gt;0,C10&gt;0))),(C10/(C68)),0)</f>
        <v>12.648221343873519</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9</v>
      </c>
      <c r="P10" s="42">
        <f t="shared" si="4"/>
        <v>32</v>
      </c>
      <c r="Q10" s="42">
        <f>(C$68*L68)-C10</f>
        <v>220.99999999999997</v>
      </c>
      <c r="R10" s="42">
        <f t="shared" si="5"/>
        <v>262</v>
      </c>
      <c r="S10" s="30">
        <f t="shared" si="6"/>
        <v>21731328</v>
      </c>
      <c r="T10" s="30">
        <f t="shared" si="7"/>
        <v>16758719.999999994</v>
      </c>
      <c r="U10" s="31">
        <f t="shared" si="8"/>
        <v>1.2967176490805985</v>
      </c>
    </row>
    <row r="11" spans="2:21" ht="18" customHeight="1">
      <c r="B11" s="32" t="str">
        <f>'Data Entry'!A11</f>
        <v>6. Cases Petitioned (Charge Filed)</v>
      </c>
      <c r="C11" s="33">
        <f>'Data Entry'!C11</f>
        <v>73</v>
      </c>
      <c r="D11" s="34">
        <f>IF(((AND(C68&gt;0,C11&gt;0))),(C11/(C68)),0)</f>
        <v>28.853754940711465</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9</v>
      </c>
      <c r="P11" s="42">
        <f t="shared" si="4"/>
        <v>73</v>
      </c>
      <c r="Q11" s="42">
        <f>(C$68*L68)-C11</f>
        <v>179.99999999999997</v>
      </c>
      <c r="R11" s="42">
        <f t="shared" si="5"/>
        <v>262</v>
      </c>
      <c r="S11" s="30">
        <f t="shared" si="6"/>
        <v>113092038</v>
      </c>
      <c r="T11" s="30">
        <f t="shared" si="7"/>
        <v>31415768.999999989</v>
      </c>
      <c r="U11" s="31">
        <f t="shared" si="8"/>
        <v>3.5998494259363838</v>
      </c>
    </row>
    <row r="12" spans="2:21" ht="18" customHeight="1">
      <c r="B12" s="32" t="str">
        <f>'Data Entry'!A12</f>
        <v>7. Cases Resulting in Delinquent Findings</v>
      </c>
      <c r="C12" s="33">
        <f>'Data Entry'!C12</f>
        <v>34</v>
      </c>
      <c r="D12" s="34">
        <f>IF(((AND(C69&gt;0,C12&gt;0))),(C12/(C69)),0)</f>
        <v>46.575342465753423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34</v>
      </c>
      <c r="Q12" s="42">
        <f>(C69*L69)-C12</f>
        <v>39</v>
      </c>
      <c r="R12" s="42">
        <f t="shared" si="5"/>
        <v>73</v>
      </c>
      <c r="S12" s="30">
        <f t="shared" si="6"/>
        <v>0</v>
      </c>
      <c r="T12" s="30">
        <f t="shared" si="7"/>
        <v>0</v>
      </c>
      <c r="U12" s="31" t="str">
        <f t="shared" si="8"/>
        <v>- -</v>
      </c>
    </row>
    <row r="13" spans="2:21" ht="18" customHeight="1">
      <c r="B13" s="32" t="str">
        <f>'Data Entry'!A13</f>
        <v>8. Cases Resulting in Probation Placement</v>
      </c>
      <c r="C13" s="33">
        <f>'Data Entry'!C13</f>
        <v>19</v>
      </c>
      <c r="D13" s="34">
        <f>IF(((AND(C70&gt;0,C13&gt;0))),(C13/(C70)),0)</f>
        <v>55.882352941176464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19</v>
      </c>
      <c r="Q13" s="42">
        <f>(C70*L70)-C13</f>
        <v>15</v>
      </c>
      <c r="R13" s="42">
        <f t="shared" si="5"/>
        <v>34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34</v>
      </c>
      <c r="R14" s="42">
        <f t="shared" si="5"/>
        <v>34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73</v>
      </c>
      <c r="R15" s="42">
        <f t="shared" si="5"/>
        <v>73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17.614999999999998</v>
      </c>
      <c r="D42" s="56">
        <f>E6/1000</f>
        <v>0.125</v>
      </c>
      <c r="E42" s="56">
        <f>MAX(C42:D42)</f>
        <v>17.614999999999998</v>
      </c>
      <c r="G42" s="1" t="str">
        <f>B42</f>
        <v>per 1000 youth</v>
      </c>
      <c r="L42" s="57">
        <v>1000</v>
      </c>
      <c r="M42" s="57"/>
      <c r="R42" s="49"/>
    </row>
    <row r="43" spans="2:18" ht="15" hidden="1" customHeight="1">
      <c r="B43" s="49" t="s">
        <v>87</v>
      </c>
      <c r="C43" s="56">
        <f>C7/100</f>
        <v>1.1399999999999999</v>
      </c>
      <c r="D43" s="56">
        <f>E7/100</f>
        <v>0</v>
      </c>
      <c r="E43" s="56">
        <f>MAX(C43:D43,0)</f>
        <v>1.1399999999999999</v>
      </c>
      <c r="G43" s="1" t="str">
        <f>B43</f>
        <v>per 100 arrests</v>
      </c>
      <c r="L43" s="57">
        <v>100</v>
      </c>
      <c r="M43" s="57"/>
      <c r="R43" s="49"/>
    </row>
    <row r="44" spans="2:18" ht="15" hidden="1" customHeight="1">
      <c r="B44" s="49" t="s">
        <v>88</v>
      </c>
      <c r="C44" s="56">
        <f>C8/100</f>
        <v>2.5299999999999998</v>
      </c>
      <c r="D44" s="56">
        <f>E8/100</f>
        <v>0.09</v>
      </c>
      <c r="E44" s="56">
        <f>MAX(C44:D44,0)</f>
        <v>2.5299999999999998</v>
      </c>
      <c r="G44" s="1" t="str">
        <f>B44</f>
        <v>per 100 referrals</v>
      </c>
      <c r="L44" s="57">
        <v>100</v>
      </c>
      <c r="M44" s="57"/>
      <c r="R44" s="49"/>
    </row>
    <row r="45" spans="2:18" ht="15" hidden="1" customHeight="1">
      <c r="B45" s="49" t="s">
        <v>89</v>
      </c>
      <c r="C45" s="49">
        <f>C11/100</f>
        <v>0.73</v>
      </c>
      <c r="D45" s="49">
        <f>E11/100</f>
        <v>0</v>
      </c>
      <c r="E45" s="56">
        <f>MAX(C45:D45,0)</f>
        <v>0.73</v>
      </c>
      <c r="G45" s="1" t="str">
        <f>B45</f>
        <v>per 100 youth petitioned</v>
      </c>
      <c r="L45" s="57">
        <v>100</v>
      </c>
      <c r="M45" s="57"/>
      <c r="R45" s="49"/>
    </row>
    <row r="46" spans="2:18" ht="15" hidden="1" customHeight="1">
      <c r="B46" s="49" t="s">
        <v>90</v>
      </c>
      <c r="C46" s="49">
        <f>C12/100</f>
        <v>0.34</v>
      </c>
      <c r="D46" s="49">
        <f>E12/100</f>
        <v>0</v>
      </c>
      <c r="E46" s="56">
        <f>MAX(C46:D46)</f>
        <v>0.34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17.614999999999998</v>
      </c>
      <c r="D48" s="56">
        <f>D42</f>
        <v>0.125</v>
      </c>
      <c r="E48" s="56">
        <f>MAX(C48:D48)</f>
        <v>17.614999999999998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1.1399999999999999</v>
      </c>
      <c r="D49" s="49">
        <f t="shared" si="9"/>
        <v>0</v>
      </c>
      <c r="E49" s="49">
        <f>MAX(C49:D49)</f>
        <v>1.1399999999999999</v>
      </c>
      <c r="G49" s="1" t="str">
        <f>G43</f>
        <v>per 100 arrests</v>
      </c>
      <c r="L49" s="58">
        <f>IF(($E43&gt;0),L43,L42)</f>
        <v>100</v>
      </c>
      <c r="M49" s="58"/>
      <c r="N49" s="21"/>
      <c r="O49" s="21"/>
      <c r="P49" s="21"/>
      <c r="Q49" s="21"/>
      <c r="R49" s="21"/>
    </row>
    <row r="50" spans="2:18" ht="15" hidden="1" customHeight="1">
      <c r="B50" s="49" t="str">
        <f t="shared" si="9"/>
        <v>per 100 referrals</v>
      </c>
      <c r="C50" s="49">
        <f t="shared" si="9"/>
        <v>2.5299999999999998</v>
      </c>
      <c r="D50" s="49">
        <f t="shared" si="9"/>
        <v>0.09</v>
      </c>
      <c r="E50" s="49">
        <f>MAX(C50:D50)</f>
        <v>2.5299999999999998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0.73</v>
      </c>
      <c r="D51" s="49">
        <f>IF(($E45&gt;0),D45,D44)</f>
        <v>0</v>
      </c>
      <c r="E51" s="49">
        <f>MAX(C51:D51)</f>
        <v>0.73</v>
      </c>
      <c r="G51" s="1" t="str">
        <f>G45</f>
        <v>per 100 youth petitioned</v>
      </c>
      <c r="L51" s="58">
        <f>IF(($E45&gt;0),L45,L44)</f>
        <v>100</v>
      </c>
      <c r="M51" s="58"/>
    </row>
    <row r="52" spans="2:18" ht="15" hidden="1" customHeight="1">
      <c r="B52" s="49" t="str">
        <f>IF(($E46&gt;0),B46,B45)</f>
        <v>per 100 youth found delinquent</v>
      </c>
      <c r="C52" s="49">
        <f>IF(($E46&gt;0),C46,C45)</f>
        <v>0.34</v>
      </c>
      <c r="D52" s="49">
        <f>IF(($E46&gt;0),D46,D45)</f>
        <v>0</v>
      </c>
      <c r="E52" s="56">
        <f>MAX(C52:D52)</f>
        <v>0.34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17.614999999999998</v>
      </c>
      <c r="D54" s="56">
        <f>D48</f>
        <v>0.125</v>
      </c>
      <c r="E54" s="56">
        <f>MAX(C54:D54)</f>
        <v>17.614999999999998</v>
      </c>
      <c r="G54" s="1" t="str">
        <f>G48</f>
        <v>per 1000 youth</v>
      </c>
      <c r="L54" s="58">
        <f>L48</f>
        <v>1000</v>
      </c>
      <c r="M54" s="58"/>
    </row>
    <row r="55" spans="2:18" ht="15" hidden="1" customHeight="1">
      <c r="B55" s="49" t="str">
        <f t="shared" ref="B55:D56" si="10">IF(($E49&gt;0),B49,B48)</f>
        <v>per 100 arrests</v>
      </c>
      <c r="C55" s="49">
        <f t="shared" si="10"/>
        <v>1.1399999999999999</v>
      </c>
      <c r="D55" s="49">
        <f t="shared" si="10"/>
        <v>0</v>
      </c>
      <c r="E55" s="49">
        <f>MAX(C55:D55)</f>
        <v>1.1399999999999999</v>
      </c>
      <c r="G55" s="1" t="str">
        <f>G49</f>
        <v>per 100 arrests</v>
      </c>
      <c r="L55" s="58">
        <f>IF(($E49&gt;0),L49,L48)</f>
        <v>100</v>
      </c>
      <c r="M55" s="58"/>
    </row>
    <row r="56" spans="2:18" ht="15" hidden="1" customHeight="1">
      <c r="B56" s="49" t="str">
        <f t="shared" si="10"/>
        <v>per 100 referrals</v>
      </c>
      <c r="C56" s="49">
        <f t="shared" si="10"/>
        <v>2.5299999999999998</v>
      </c>
      <c r="D56" s="49">
        <f t="shared" si="10"/>
        <v>0.09</v>
      </c>
      <c r="E56" s="49">
        <f>MAX(C56:D56)</f>
        <v>2.5299999999999998</v>
      </c>
      <c r="G56" s="1" t="str">
        <f>G50</f>
        <v>per 100 referrals</v>
      </c>
      <c r="L56" s="58">
        <f>IF(($E50&gt;0),L50,L49)</f>
        <v>100</v>
      </c>
      <c r="M56" s="58"/>
    </row>
    <row r="57" spans="2:18" ht="15" hidden="1" customHeight="1">
      <c r="B57" s="49" t="str">
        <f>IF(($E51&gt;0),B51,B49)</f>
        <v>per 100 youth petitioned</v>
      </c>
      <c r="C57" s="49">
        <f>IF(($E51&gt;0),C51,C50)</f>
        <v>0.73</v>
      </c>
      <c r="D57" s="49">
        <f>IF(($E51&gt;0),D51,D50)</f>
        <v>0</v>
      </c>
      <c r="E57" s="49">
        <f>MAX(C57:D57)</f>
        <v>0.73</v>
      </c>
      <c r="G57" s="1" t="str">
        <f>G51</f>
        <v>per 100 youth petitioned</v>
      </c>
      <c r="L57" s="58">
        <f>IF(($E51&gt;0),L51,L50)</f>
        <v>100</v>
      </c>
      <c r="M57" s="58"/>
    </row>
    <row r="58" spans="2:18" ht="15" hidden="1" customHeight="1">
      <c r="B58" s="49" t="str">
        <f>IF(($E52&gt;0),B52,B51)</f>
        <v>per 100 youth found delinquent</v>
      </c>
      <c r="C58" s="49">
        <f>IF(($E52&gt;0),C52,C51)</f>
        <v>0.34</v>
      </c>
      <c r="D58" s="49">
        <f>IF(($E52&gt;0),D52,D51)</f>
        <v>0</v>
      </c>
      <c r="E58" s="56">
        <f>MAX(C58:D58)</f>
        <v>0.34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17.614999999999998</v>
      </c>
      <c r="D60" s="56">
        <f>D54</f>
        <v>0.125</v>
      </c>
      <c r="E60" s="56">
        <f>MAX(C60:D60)</f>
        <v>17.614999999999998</v>
      </c>
      <c r="G60" s="1" t="str">
        <f>G54</f>
        <v>per 1000 youth</v>
      </c>
      <c r="L60" s="58">
        <f>L54</f>
        <v>1000</v>
      </c>
      <c r="M60" s="58"/>
    </row>
    <row r="61" spans="2:18" ht="15" hidden="1" customHeight="1">
      <c r="B61" s="49" t="str">
        <f t="shared" ref="B61:D62" si="11">IF(($E55&gt;0),B55,B54)</f>
        <v>per 100 arrests</v>
      </c>
      <c r="C61" s="49">
        <f t="shared" si="11"/>
        <v>1.1399999999999999</v>
      </c>
      <c r="D61" s="49">
        <f t="shared" si="11"/>
        <v>0</v>
      </c>
      <c r="E61" s="49">
        <f>MAX(C61:D61)</f>
        <v>1.1399999999999999</v>
      </c>
      <c r="G61" s="1" t="str">
        <f>G55</f>
        <v>per 100 arrests</v>
      </c>
      <c r="L61" s="58">
        <f>IF(($E55&gt;0),L55,L54)</f>
        <v>100</v>
      </c>
      <c r="M61" s="58"/>
    </row>
    <row r="62" spans="2:18" ht="15" hidden="1" customHeight="1">
      <c r="B62" s="49" t="str">
        <f t="shared" si="11"/>
        <v>per 100 referrals</v>
      </c>
      <c r="C62" s="49">
        <f t="shared" si="11"/>
        <v>2.5299999999999998</v>
      </c>
      <c r="D62" s="49">
        <f t="shared" si="11"/>
        <v>0.09</v>
      </c>
      <c r="E62" s="49">
        <f>MAX(C62:D62)</f>
        <v>2.5299999999999998</v>
      </c>
      <c r="G62" s="1" t="str">
        <f>G56</f>
        <v>per 100 referrals</v>
      </c>
      <c r="L62" s="58">
        <f>IF(($E56&gt;0),L56,L55)</f>
        <v>100</v>
      </c>
      <c r="M62" s="58"/>
    </row>
    <row r="63" spans="2:18" ht="15" hidden="1" customHeight="1">
      <c r="B63" s="49" t="str">
        <f>IF(($E57&gt;0),B57,B55)</f>
        <v>per 100 youth petitioned</v>
      </c>
      <c r="C63" s="49">
        <f>IF(($E57&gt;0),C57,C56)</f>
        <v>0.73</v>
      </c>
      <c r="D63" s="49">
        <f>IF(($E57&gt;0),D57,D56)</f>
        <v>0</v>
      </c>
      <c r="E63" s="49">
        <f>MAX(C63:D63)</f>
        <v>0.73</v>
      </c>
      <c r="G63" s="1" t="str">
        <f>G57</f>
        <v>per 100 youth petitioned</v>
      </c>
      <c r="L63" s="58">
        <f>IF(($E57&gt;0),L57,L56)</f>
        <v>100</v>
      </c>
      <c r="M63" s="58"/>
    </row>
    <row r="64" spans="2:18" ht="15" hidden="1" customHeight="1">
      <c r="B64" s="49" t="str">
        <f>IF(($E58&gt;0),B58,B57)</f>
        <v>per 100 youth found delinquent</v>
      </c>
      <c r="C64" s="49">
        <f>IF(($E58&gt;0),C58,C57)</f>
        <v>0.34</v>
      </c>
      <c r="D64" s="49">
        <f>IF(($E58&gt;0),D58,D57)</f>
        <v>0</v>
      </c>
      <c r="E64" s="56">
        <f>MAX(C64:D64)</f>
        <v>0.34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17.614999999999998</v>
      </c>
      <c r="D66" s="56">
        <f>D60</f>
        <v>0.125</v>
      </c>
      <c r="E66" s="56">
        <f>MAX(C66:D66)</f>
        <v>17.614999999999998</v>
      </c>
      <c r="G66" s="1" t="str">
        <f>G60</f>
        <v>per 1000 youth</v>
      </c>
      <c r="L66" s="58">
        <f>L60</f>
        <v>1000</v>
      </c>
      <c r="M66" s="58">
        <f>IF((B66=G66),1,2)</f>
        <v>1</v>
      </c>
    </row>
    <row r="67" spans="2:13" ht="15" hidden="1" customHeight="1">
      <c r="B67" s="49" t="str">
        <f t="shared" ref="B67:D68" si="12">IF(($E61&gt;0),B61,B60)</f>
        <v>per 100 arrests</v>
      </c>
      <c r="C67" s="49">
        <f t="shared" si="12"/>
        <v>1.1399999999999999</v>
      </c>
      <c r="D67" s="49">
        <f t="shared" si="12"/>
        <v>0</v>
      </c>
      <c r="E67" s="49">
        <f>MAX(C67:D67)</f>
        <v>1.1399999999999999</v>
      </c>
      <c r="G67" s="1" t="str">
        <f>G61</f>
        <v>per 100 arrests</v>
      </c>
      <c r="L67" s="58">
        <f>IF(($E61&gt;0),L61,L60)</f>
        <v>100</v>
      </c>
      <c r="M67" s="58">
        <f>IF((B67=G67),1,2)</f>
        <v>1</v>
      </c>
    </row>
    <row r="68" spans="2:13" ht="15" hidden="1" customHeight="1">
      <c r="B68" s="49" t="str">
        <f t="shared" si="12"/>
        <v>per 100 referrals</v>
      </c>
      <c r="C68" s="49">
        <f t="shared" si="12"/>
        <v>2.5299999999999998</v>
      </c>
      <c r="D68" s="49">
        <f t="shared" si="12"/>
        <v>0.09</v>
      </c>
      <c r="E68" s="49">
        <f>MAX(C68:D68)</f>
        <v>2.5299999999999998</v>
      </c>
      <c r="G68" s="1" t="str">
        <f>G62</f>
        <v>per 100 referrals</v>
      </c>
      <c r="L68" s="58">
        <f>IF(($E62&gt;0),L62,L61)</f>
        <v>100</v>
      </c>
      <c r="M68" s="58">
        <f>IF((B68=G68),1,2)</f>
        <v>1</v>
      </c>
    </row>
    <row r="69" spans="2:13" ht="15" hidden="1" customHeight="1">
      <c r="B69" s="49" t="str">
        <f>IF(($E63&gt;0),B63,B61)</f>
        <v>per 100 youth petitioned</v>
      </c>
      <c r="C69" s="49">
        <f>IF(($E63&gt;0),C63,C62)</f>
        <v>0.73</v>
      </c>
      <c r="D69" s="49">
        <f>IF(($E63&gt;0),D63,D62)</f>
        <v>0</v>
      </c>
      <c r="E69" s="49">
        <f>MAX(C69:D69)</f>
        <v>0.73</v>
      </c>
      <c r="G69" s="1" t="str">
        <f>G63</f>
        <v>per 100 youth petitioned</v>
      </c>
      <c r="L69" s="58">
        <f>IF(($E63&gt;0),L63,L62)</f>
        <v>100</v>
      </c>
      <c r="M69" s="58">
        <f>IF((B69=G69),1,2)</f>
        <v>1</v>
      </c>
    </row>
    <row r="70" spans="2:13" ht="15" hidden="1" customHeight="1">
      <c r="B70" s="49" t="str">
        <f>IF(($E64&gt;0),B64,B63)</f>
        <v>per 100 youth found delinquent</v>
      </c>
      <c r="C70" s="49">
        <f>IF(($E64&gt;0),C64,C63)</f>
        <v>0.34</v>
      </c>
      <c r="D70" s="49">
        <f>IF(($E64&gt;0),D64,D63)</f>
        <v>0</v>
      </c>
      <c r="E70" s="56">
        <f>MAX(C70:D70)</f>
        <v>0.34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U47JMPN4QEAR-1806752177-30467</_dlc_DocId>
    <_dlc_DocIdUrl xmlns="ac3811b5-0f3e-49e2-ba69-f2ffa0c782af">
      <Url>https://michiganphi.sharepoint.com/sites/CMDMC/_layouts/15/DocIdRedir.aspx?ID=U47JMPN4QEAR-1806752177-30467</Url>
      <Description>U47JMPN4QEAR-1806752177-30467</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608733e283443d8390c6caf5265cb92f">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2c6c828e95003de4308dd0402143b80f"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F37DF9D-0C58-47F0-8D24-6A5FAE62D98D}">
  <ds:schemaRefs>
    <ds:schemaRef ds:uri="http://schemas.microsoft.com/sharepoint/v3/contenttype/forms"/>
  </ds:schemaRefs>
</ds:datastoreItem>
</file>

<file path=customXml/itemProps2.xml><?xml version="1.0" encoding="utf-8"?>
<ds:datastoreItem xmlns:ds="http://schemas.openxmlformats.org/officeDocument/2006/customXml" ds:itemID="{13B514C7-E1FB-4B68-B9F6-ADAC91275696}">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8D9036E8-8821-4849-83D6-4C92A57BE816}"/>
</file>

<file path=customXml/itemProps4.xml><?xml version="1.0" encoding="utf-8"?>
<ds:datastoreItem xmlns:ds="http://schemas.openxmlformats.org/officeDocument/2006/customXml" ds:itemID="{7D9EE0C2-B7DA-4E6D-A377-89179DD3E3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1b801b9d-ad3d-4fef-a55f-132806cd2c1a</vt:lpwstr>
  </property>
</Properties>
</file>