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260" yWindow="-75" windowWidth="15480" windowHeight="10485" activeTab="1"/>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45621"/>
</workbook>
</file>

<file path=xl/calcChain.xml><?xml version="1.0" encoding="utf-8"?>
<calcChain xmlns="http://schemas.openxmlformats.org/spreadsheetml/2006/main">
  <c r="A6" i="17" l="1"/>
  <c r="B4" i="16" l="1"/>
  <c r="B7" i="16" l="1"/>
  <c r="B6" i="17"/>
  <c r="H7" i="16" l="1"/>
  <c r="F7" i="16"/>
  <c r="D7" i="16"/>
  <c r="C7" i="16"/>
  <c r="N7" i="13"/>
  <c r="L7" i="13"/>
  <c r="J7" i="13"/>
  <c r="H7" i="13"/>
  <c r="F7" i="13"/>
  <c r="D7" i="13"/>
  <c r="C7" i="13"/>
  <c r="B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4"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E18" i="10" s="1"/>
  <c r="G2" i="10"/>
  <c r="H2" i="10"/>
  <c r="G18" i="10" s="1"/>
  <c r="I2" i="10"/>
  <c r="H18" i="10" s="1"/>
  <c r="J2" i="10"/>
  <c r="I18" i="10" s="1"/>
  <c r="B3" i="10"/>
  <c r="F15" i="10"/>
  <c r="B16" i="10"/>
  <c r="F16" i="10"/>
  <c r="B17" i="10"/>
  <c r="C18" i="10"/>
  <c r="F18" i="10"/>
  <c r="J18" i="10"/>
  <c r="B30" i="10"/>
  <c r="A15" i="11"/>
  <c r="M66" i="8"/>
  <c r="F27" i="8"/>
  <c r="F27" i="7"/>
  <c r="M66" i="7"/>
  <c r="F27" i="4"/>
  <c r="M66" i="4"/>
  <c r="F27" i="6"/>
  <c r="M66" i="6"/>
  <c r="M66" i="5"/>
  <c r="F27" i="5"/>
  <c r="F27" i="3"/>
  <c r="M66" i="3"/>
  <c r="M66" i="2"/>
  <c r="H5" i="16" l="1"/>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B12" i="1"/>
  <c r="N11" i="6"/>
  <c r="J3" i="10"/>
  <c r="E6" i="7"/>
  <c r="N11" i="3"/>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B13" i="1"/>
  <c r="E14" i="2"/>
  <c r="N14" i="2" s="1"/>
  <c r="E6" i="6"/>
  <c r="I3" i="10"/>
  <c r="E8" i="2"/>
  <c r="N9" i="3"/>
  <c r="C14" i="2"/>
  <c r="P14" i="2" s="1"/>
  <c r="C14" i="5"/>
  <c r="P14" i="5" s="1"/>
  <c r="C14" i="7"/>
  <c r="P14" i="7" s="1"/>
  <c r="C14" i="6"/>
  <c r="P14" i="6" s="1"/>
  <c r="C14" i="3"/>
  <c r="P14" i="3" s="1"/>
  <c r="C14" i="4"/>
  <c r="P14" i="4" s="1"/>
  <c r="C14" i="8"/>
  <c r="P14" i="8" s="1"/>
  <c r="D12" i="13"/>
  <c r="D46" i="7"/>
  <c r="N12" i="6"/>
  <c r="H3" i="10"/>
  <c r="E6" i="5"/>
  <c r="C7" i="3"/>
  <c r="C7" i="5"/>
  <c r="C7" i="2"/>
  <c r="C7" i="4"/>
  <c r="C7" i="7"/>
  <c r="C7" i="8"/>
  <c r="C7" i="6"/>
  <c r="C10" i="3"/>
  <c r="P10" i="3" s="1"/>
  <c r="C10" i="4"/>
  <c r="P10" i="4" s="1"/>
  <c r="C10" i="8"/>
  <c r="P10" i="8" s="1"/>
  <c r="C10" i="5"/>
  <c r="P10" i="5" s="1"/>
  <c r="C10" i="2"/>
  <c r="P10" i="2" s="1"/>
  <c r="C10" i="7"/>
  <c r="P10" i="7" s="1"/>
  <c r="C10" i="6"/>
  <c r="P10" i="6" s="1"/>
  <c r="G3" i="10"/>
  <c r="E6" i="3"/>
  <c r="N8" i="5"/>
  <c r="C13" i="2"/>
  <c r="P13" i="2" s="1"/>
  <c r="C13" i="6"/>
  <c r="P13" i="6" s="1"/>
  <c r="C13" i="3"/>
  <c r="P13" i="3" s="1"/>
  <c r="C13" i="5"/>
  <c r="P13" i="5" s="1"/>
  <c r="C13" i="4"/>
  <c r="P13" i="4" s="1"/>
  <c r="C13" i="7"/>
  <c r="P13" i="7" s="1"/>
  <c r="C13" i="8"/>
  <c r="P13" i="8" s="1"/>
  <c r="N9" i="5"/>
  <c r="E10" i="2"/>
  <c r="J12" i="1"/>
  <c r="J13" i="16" s="1"/>
  <c r="E12" i="2"/>
  <c r="D43" i="7"/>
  <c r="J6" i="1"/>
  <c r="E6" i="2"/>
  <c r="D42" i="2" s="1"/>
  <c r="D48" i="2" s="1"/>
  <c r="D54" i="2" s="1"/>
  <c r="D60" i="2" s="1"/>
  <c r="D66" i="2" s="1"/>
  <c r="E3" i="10"/>
  <c r="F3" i="10"/>
  <c r="E6" i="4"/>
  <c r="J9" i="1"/>
  <c r="J10" i="16" s="1"/>
  <c r="E9" i="2"/>
  <c r="B9" i="1"/>
  <c r="C6" i="6"/>
  <c r="C6" i="7"/>
  <c r="D3" i="10"/>
  <c r="C6" i="3"/>
  <c r="C6" i="4"/>
  <c r="C6" i="5"/>
  <c r="C6" i="2"/>
  <c r="C6" i="8"/>
  <c r="C42" i="8" s="1"/>
  <c r="E7" i="2"/>
  <c r="D43" i="6"/>
  <c r="D44" i="6"/>
  <c r="N12" i="5"/>
  <c r="D16" i="13"/>
  <c r="C15" i="2"/>
  <c r="P15" i="2" s="1"/>
  <c r="C15" i="3"/>
  <c r="P15" i="3" s="1"/>
  <c r="C15" i="4"/>
  <c r="P15" i="4" s="1"/>
  <c r="C15" i="6"/>
  <c r="P15" i="6" s="1"/>
  <c r="C15" i="5"/>
  <c r="P15" i="5" s="1"/>
  <c r="C15" i="7"/>
  <c r="P15" i="7" s="1"/>
  <c r="C15" i="8"/>
  <c r="P15" i="8" s="1"/>
  <c r="N11" i="5"/>
  <c r="N7" i="3" l="1"/>
  <c r="J7" i="16"/>
  <c r="P7" i="13"/>
  <c r="I9" i="17"/>
  <c r="G9" i="17"/>
  <c r="F9" i="17"/>
  <c r="E9" i="17"/>
  <c r="D9" i="17"/>
  <c r="H9" i="17" s="1"/>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N8" i="7" s="1"/>
  <c r="N9" i="13"/>
  <c r="E7" i="5"/>
  <c r="N7" i="5" s="1"/>
  <c r="J8" i="13"/>
  <c r="E9" i="8"/>
  <c r="N9" i="8" s="1"/>
  <c r="P10" i="13"/>
  <c r="E12" i="8"/>
  <c r="N12" i="8" s="1"/>
  <c r="P13" i="13"/>
  <c r="B7" i="1"/>
  <c r="E10" i="3"/>
  <c r="N10" i="3" s="1"/>
  <c r="H11" i="13"/>
  <c r="E13" i="8"/>
  <c r="N13" i="8" s="1"/>
  <c r="P14" i="13"/>
  <c r="B15" i="1"/>
  <c r="E14" i="3"/>
  <c r="N14" i="3" s="1"/>
  <c r="H15" i="13"/>
  <c r="E8" i="4"/>
  <c r="N8" i="4" s="1"/>
  <c r="F9" i="13"/>
  <c r="B8" i="1"/>
  <c r="L6" i="2"/>
  <c r="J14" i="1"/>
  <c r="J15" i="16" s="1"/>
  <c r="B11" i="1"/>
  <c r="B14" i="1"/>
  <c r="B10" i="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O25" i="6"/>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D44" i="7" l="1"/>
  <c r="D43" i="5"/>
  <c r="O7" i="5"/>
  <c r="K7" i="5" s="1"/>
  <c r="G16" i="9"/>
  <c r="H28" i="10" s="1"/>
  <c r="D46" i="8"/>
  <c r="D44" i="4"/>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H7" i="17" s="1"/>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E43" i="5"/>
  <c r="D49" i="5" s="1"/>
  <c r="D24" i="10"/>
  <c r="L50" i="3"/>
  <c r="C50" i="3"/>
  <c r="B50" i="3"/>
  <c r="D50" i="3"/>
  <c r="P11" i="7"/>
  <c r="C45" i="7"/>
  <c r="E45" i="7" s="1"/>
  <c r="L52" i="3"/>
  <c r="B52" i="3"/>
  <c r="D52" i="3"/>
  <c r="L52" i="7"/>
  <c r="C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B52" i="8"/>
  <c r="D45" i="2"/>
  <c r="N11" i="2"/>
  <c r="E21" i="10"/>
  <c r="F19" i="10"/>
  <c r="G9" i="7"/>
  <c r="G11" i="7"/>
  <c r="G15" i="7"/>
  <c r="G12" i="7"/>
  <c r="G8" i="7"/>
  <c r="G10" i="7"/>
  <c r="G13" i="7"/>
  <c r="G7" i="7"/>
  <c r="G14" i="7"/>
  <c r="E44" i="2"/>
  <c r="P11" i="4"/>
  <c r="C45" i="4"/>
  <c r="E45" i="4" s="1"/>
  <c r="G7" i="6"/>
  <c r="G14" i="6"/>
  <c r="G8" i="6"/>
  <c r="G13" i="6"/>
  <c r="G10" i="6"/>
  <c r="G12" i="6"/>
  <c r="G9" i="6"/>
  <c r="G11" i="6"/>
  <c r="G15" i="6"/>
  <c r="K7" i="6"/>
  <c r="K7" i="3"/>
  <c r="T7" i="4"/>
  <c r="D22" i="10"/>
  <c r="I27" i="10"/>
  <c r="F27" i="10"/>
  <c r="C27" i="10"/>
  <c r="H27" i="10"/>
  <c r="E27" i="10"/>
  <c r="H24" i="10"/>
  <c r="I24" i="10"/>
  <c r="C24" i="10"/>
  <c r="G24" i="10"/>
  <c r="G25" i="10"/>
  <c r="K7" i="7"/>
  <c r="E42" i="3"/>
  <c r="C48" i="3"/>
  <c r="I20" i="10"/>
  <c r="B52" i="6"/>
  <c r="D52" i="6"/>
  <c r="L52" i="6"/>
  <c r="C52" i="6"/>
  <c r="N11" i="8"/>
  <c r="F24" i="10"/>
  <c r="F22" i="10"/>
  <c r="C45" i="5"/>
  <c r="E45" i="5" s="1"/>
  <c r="P11" i="5"/>
  <c r="C48" i="2"/>
  <c r="E42" i="2"/>
  <c r="L49" i="5"/>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E45" i="2" s="1"/>
  <c r="P11" i="2"/>
  <c r="G8" i="5"/>
  <c r="G14" i="5"/>
  <c r="G11" i="5"/>
  <c r="G7" i="5"/>
  <c r="G12" i="5"/>
  <c r="G10" i="5"/>
  <c r="G13" i="5"/>
  <c r="G9" i="5"/>
  <c r="G15" i="5"/>
  <c r="O25" i="2"/>
  <c r="C49" i="3"/>
  <c r="D49" i="3"/>
  <c r="L49" i="3"/>
  <c r="B49" i="3"/>
  <c r="E46" i="2"/>
  <c r="D52" i="4"/>
  <c r="L52" i="4"/>
  <c r="B52" i="4"/>
  <c r="C52" i="4"/>
  <c r="L49" i="6"/>
  <c r="C49" i="6"/>
  <c r="D49" i="6"/>
  <c r="B49" i="6"/>
  <c r="D23" i="10"/>
  <c r="C48" i="7"/>
  <c r="E42" i="7"/>
  <c r="C54" i="8"/>
  <c r="E48" i="8"/>
  <c r="H26" i="10"/>
  <c r="D26" i="10"/>
  <c r="I26" i="10"/>
  <c r="C26" i="10"/>
  <c r="E20" i="10"/>
  <c r="C20" i="10"/>
  <c r="G20" i="10"/>
  <c r="H20" i="10"/>
  <c r="D20" i="10"/>
  <c r="G23" i="10"/>
  <c r="G19" i="10"/>
  <c r="E44" i="7"/>
  <c r="H23" i="10"/>
  <c r="E22" i="10"/>
  <c r="E25" i="10"/>
  <c r="F20" i="10"/>
  <c r="B49" i="2" l="1"/>
  <c r="R7" i="5"/>
  <c r="S7" i="5" s="1"/>
  <c r="T7" i="5"/>
  <c r="U7" i="6"/>
  <c r="J7" i="6" s="1"/>
  <c r="L7" i="6" s="1"/>
  <c r="R8" i="16" s="1"/>
  <c r="N7" i="8"/>
  <c r="O7" i="8"/>
  <c r="D43" i="8"/>
  <c r="E43" i="8" s="1"/>
  <c r="L49" i="8" s="1"/>
  <c r="H8" i="17"/>
  <c r="D52" i="8"/>
  <c r="H10" i="17"/>
  <c r="H11" i="17"/>
  <c r="D44" i="8"/>
  <c r="E44" i="8" s="1"/>
  <c r="L50" i="4"/>
  <c r="H12" i="17"/>
  <c r="C50" i="4"/>
  <c r="E50" i="4" s="1"/>
  <c r="C56" i="4" s="1"/>
  <c r="H13" i="17"/>
  <c r="L49" i="2"/>
  <c r="D49" i="2"/>
  <c r="E49" i="2" s="1"/>
  <c r="U7" i="5"/>
  <c r="J7" i="5" s="1"/>
  <c r="M7" i="5" s="1"/>
  <c r="U7" i="7"/>
  <c r="J7" i="7" s="1"/>
  <c r="M7" i="7" s="1"/>
  <c r="B50" i="4"/>
  <c r="U7" i="4"/>
  <c r="J7" i="4" s="1"/>
  <c r="M7" i="4" s="1"/>
  <c r="U7" i="3"/>
  <c r="J7" i="3" s="1"/>
  <c r="M7" i="3" s="1"/>
  <c r="C52" i="3"/>
  <c r="E52" i="3" s="1"/>
  <c r="C52" i="5"/>
  <c r="E52" i="5" s="1"/>
  <c r="C58" i="5" s="1"/>
  <c r="B49" i="5"/>
  <c r="C49" i="5"/>
  <c r="E49" i="5" s="1"/>
  <c r="E49" i="4"/>
  <c r="C55" i="4" s="1"/>
  <c r="F9" i="9"/>
  <c r="K10" i="13"/>
  <c r="G8" i="9"/>
  <c r="M9" i="13"/>
  <c r="F10" i="9"/>
  <c r="K11" i="13"/>
  <c r="F14" i="9"/>
  <c r="K15" i="13"/>
  <c r="U7" i="2"/>
  <c r="J7" i="2" s="1"/>
  <c r="M7" i="2" s="1"/>
  <c r="G15" i="9"/>
  <c r="M16" i="13"/>
  <c r="G10" i="9"/>
  <c r="M11" i="13"/>
  <c r="G7" i="9"/>
  <c r="M8" i="13"/>
  <c r="H14" i="9"/>
  <c r="O15" i="13"/>
  <c r="H8" i="9"/>
  <c r="O9" i="13"/>
  <c r="H9" i="9"/>
  <c r="O10" i="13"/>
  <c r="C52" i="8"/>
  <c r="F15" i="9"/>
  <c r="K16" i="13"/>
  <c r="F12" i="9"/>
  <c r="K13" i="13"/>
  <c r="F8" i="9"/>
  <c r="K9" i="13"/>
  <c r="G11" i="9"/>
  <c r="M12" i="13"/>
  <c r="G13" i="9"/>
  <c r="M14" i="13"/>
  <c r="H7" i="9"/>
  <c r="O8" i="13"/>
  <c r="H12" i="9"/>
  <c r="O13" i="13"/>
  <c r="L52" i="8"/>
  <c r="H15" i="9"/>
  <c r="O16" i="13"/>
  <c r="F7" i="9"/>
  <c r="K8" i="13"/>
  <c r="G9" i="9"/>
  <c r="M10" i="13"/>
  <c r="H13" i="9"/>
  <c r="O14" i="13"/>
  <c r="E52" i="4"/>
  <c r="E49" i="3"/>
  <c r="D55" i="3" s="1"/>
  <c r="F13" i="9"/>
  <c r="K14" i="13"/>
  <c r="F11" i="9"/>
  <c r="K12" i="13"/>
  <c r="G12" i="9"/>
  <c r="M13" i="13"/>
  <c r="G14" i="9"/>
  <c r="M15" i="13"/>
  <c r="H10" i="9"/>
  <c r="O11" i="13"/>
  <c r="H11" i="9"/>
  <c r="O12" i="13"/>
  <c r="E50" i="5"/>
  <c r="L56" i="5" s="1"/>
  <c r="E45" i="8"/>
  <c r="D51" i="8" s="1"/>
  <c r="E50" i="3"/>
  <c r="C56" i="3" s="1"/>
  <c r="B52" i="2"/>
  <c r="D52" i="2"/>
  <c r="C52" i="2"/>
  <c r="L52" i="2"/>
  <c r="L51" i="2"/>
  <c r="D51" i="2"/>
  <c r="C51" i="2"/>
  <c r="B51" i="2"/>
  <c r="E48" i="4"/>
  <c r="C54" i="4"/>
  <c r="C54" i="2"/>
  <c r="E48" i="2"/>
  <c r="C54" i="3"/>
  <c r="E48" i="3"/>
  <c r="L51" i="4"/>
  <c r="D51" i="4"/>
  <c r="C51" i="4"/>
  <c r="B51" i="4"/>
  <c r="C51" i="7"/>
  <c r="B51" i="7"/>
  <c r="L51" i="7"/>
  <c r="D51" i="7"/>
  <c r="L50" i="7"/>
  <c r="B50" i="7"/>
  <c r="D50" i="7"/>
  <c r="C50" i="7"/>
  <c r="C60" i="8"/>
  <c r="E54" i="8"/>
  <c r="B49" i="8"/>
  <c r="L51" i="5"/>
  <c r="B51" i="5"/>
  <c r="C51" i="5"/>
  <c r="D51" i="5"/>
  <c r="M7" i="6"/>
  <c r="C50" i="8"/>
  <c r="L50" i="8"/>
  <c r="B50" i="8"/>
  <c r="B51" i="3"/>
  <c r="D51" i="3"/>
  <c r="C51" i="3"/>
  <c r="L51" i="3"/>
  <c r="L58" i="3" s="1"/>
  <c r="E52" i="6"/>
  <c r="L50" i="2"/>
  <c r="C50" i="2"/>
  <c r="D50" i="2"/>
  <c r="B50" i="2"/>
  <c r="E50" i="6"/>
  <c r="E52" i="7"/>
  <c r="C54" i="7"/>
  <c r="E48" i="7"/>
  <c r="E49" i="6"/>
  <c r="E49" i="7"/>
  <c r="E48" i="5"/>
  <c r="C54" i="5"/>
  <c r="C54" i="6"/>
  <c r="E48" i="6"/>
  <c r="B51" i="6"/>
  <c r="D51" i="6"/>
  <c r="C51" i="6"/>
  <c r="L51" i="6"/>
  <c r="E52" i="8" l="1"/>
  <c r="R7" i="8"/>
  <c r="S7" i="8" s="1"/>
  <c r="K7" i="8"/>
  <c r="T7" i="8"/>
  <c r="D50" i="8"/>
  <c r="E50" i="8" s="1"/>
  <c r="D49" i="8"/>
  <c r="C49" i="8"/>
  <c r="L7" i="5"/>
  <c r="Q8" i="16" s="1"/>
  <c r="D55" i="4"/>
  <c r="E55" i="4" s="1"/>
  <c r="L7" i="7"/>
  <c r="Q7" i="9" s="1"/>
  <c r="C58" i="4"/>
  <c r="L7" i="3"/>
  <c r="P8" i="16" s="1"/>
  <c r="B51" i="8"/>
  <c r="B58" i="8" s="1"/>
  <c r="C58" i="3"/>
  <c r="D58" i="3"/>
  <c r="B58" i="3"/>
  <c r="L7" i="4"/>
  <c r="O8" i="16" s="1"/>
  <c r="E50" i="2"/>
  <c r="C56" i="2" s="1"/>
  <c r="L55" i="3"/>
  <c r="D58" i="8"/>
  <c r="C55" i="3"/>
  <c r="E55" i="3" s="1"/>
  <c r="L51" i="8"/>
  <c r="L58" i="8" s="1"/>
  <c r="B58" i="4"/>
  <c r="B55" i="4"/>
  <c r="L55" i="5"/>
  <c r="B55" i="5"/>
  <c r="C55" i="5"/>
  <c r="D55" i="5"/>
  <c r="E51" i="3"/>
  <c r="B57" i="3" s="1"/>
  <c r="L56" i="3"/>
  <c r="E51" i="4"/>
  <c r="D57" i="4" s="1"/>
  <c r="B55" i="3"/>
  <c r="B56" i="5"/>
  <c r="D56" i="3"/>
  <c r="E56" i="3" s="1"/>
  <c r="L62" i="3" s="1"/>
  <c r="L55" i="4"/>
  <c r="C56" i="5"/>
  <c r="L7" i="2"/>
  <c r="N8" i="16" s="1"/>
  <c r="D56" i="5"/>
  <c r="B56" i="3"/>
  <c r="C51" i="8"/>
  <c r="E51" i="8" s="1"/>
  <c r="B56" i="4"/>
  <c r="P7" i="9"/>
  <c r="X8" i="13"/>
  <c r="L58" i="4"/>
  <c r="D58" i="4"/>
  <c r="E58" i="4" s="1"/>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E58" i="5" s="1"/>
  <c r="C60" i="4"/>
  <c r="E54" i="4"/>
  <c r="C60" i="5"/>
  <c r="E54" i="5"/>
  <c r="E54" i="7"/>
  <c r="C60" i="7"/>
  <c r="B58" i="6"/>
  <c r="D58" i="6"/>
  <c r="C58" i="6"/>
  <c r="L58" i="6"/>
  <c r="E51" i="5"/>
  <c r="E60" i="8"/>
  <c r="C66" i="8"/>
  <c r="C60" i="3"/>
  <c r="E54" i="3"/>
  <c r="E51" i="2"/>
  <c r="E52" i="2"/>
  <c r="U7" i="8" l="1"/>
  <c r="J7" i="8" s="1"/>
  <c r="M7" i="8" s="1"/>
  <c r="E49" i="8"/>
  <c r="D55" i="8" s="1"/>
  <c r="B56" i="2"/>
  <c r="D56" i="2"/>
  <c r="E56" i="2" s="1"/>
  <c r="L56" i="2"/>
  <c r="O7" i="9"/>
  <c r="U8" i="13"/>
  <c r="W8" i="13"/>
  <c r="N7" i="9"/>
  <c r="V8" i="13"/>
  <c r="D57" i="6"/>
  <c r="E58" i="3"/>
  <c r="B64" i="3" s="1"/>
  <c r="S8" i="16"/>
  <c r="Y8" i="13"/>
  <c r="M7" i="9"/>
  <c r="T8" i="13"/>
  <c r="E56" i="5"/>
  <c r="C62" i="5" s="1"/>
  <c r="C57" i="4"/>
  <c r="E57" i="4" s="1"/>
  <c r="B57" i="4"/>
  <c r="B64" i="4" s="1"/>
  <c r="C57" i="3"/>
  <c r="B57" i="7"/>
  <c r="L57" i="4"/>
  <c r="L64" i="4" s="1"/>
  <c r="B57" i="6"/>
  <c r="C58" i="8"/>
  <c r="E58" i="8" s="1"/>
  <c r="C57" i="6"/>
  <c r="L57" i="3"/>
  <c r="E55" i="5"/>
  <c r="D61" i="5" s="1"/>
  <c r="B62" i="4"/>
  <c r="L62" i="4"/>
  <c r="C62" i="4"/>
  <c r="C62" i="3"/>
  <c r="D57" i="3"/>
  <c r="E57" i="3" s="1"/>
  <c r="L7" i="9"/>
  <c r="B62" i="3"/>
  <c r="B57" i="8"/>
  <c r="C57" i="8"/>
  <c r="L57" i="8"/>
  <c r="D57" i="8"/>
  <c r="E58" i="6"/>
  <c r="D62" i="4"/>
  <c r="L57" i="7"/>
  <c r="D62" i="3"/>
  <c r="D57" i="7"/>
  <c r="E57" i="7" s="1"/>
  <c r="C57" i="2"/>
  <c r="D57" i="2"/>
  <c r="L57" i="2"/>
  <c r="B57" i="2"/>
  <c r="L56" i="8"/>
  <c r="B56" i="8"/>
  <c r="C56" i="8"/>
  <c r="D56" i="8"/>
  <c r="E60" i="5"/>
  <c r="C66" i="5"/>
  <c r="C66" i="4"/>
  <c r="E60" i="4"/>
  <c r="C64" i="3"/>
  <c r="E66" i="8"/>
  <c r="D7" i="8"/>
  <c r="E60" i="7"/>
  <c r="C66" i="7"/>
  <c r="D61" i="4"/>
  <c r="B61" i="4"/>
  <c r="L61" i="4"/>
  <c r="C61" i="4"/>
  <c r="E55" i="2"/>
  <c r="D64" i="4"/>
  <c r="D56" i="7"/>
  <c r="B56" i="7"/>
  <c r="C56" i="7"/>
  <c r="L56" i="7"/>
  <c r="D61" i="3"/>
  <c r="L61" i="3"/>
  <c r="C61" i="3"/>
  <c r="B61" i="3"/>
  <c r="L58" i="2"/>
  <c r="C58" i="2"/>
  <c r="B58" i="2"/>
  <c r="D58" i="2"/>
  <c r="C66" i="3"/>
  <c r="E60" i="3"/>
  <c r="D57" i="5"/>
  <c r="D64" i="5" s="1"/>
  <c r="L57" i="5"/>
  <c r="L64" i="5" s="1"/>
  <c r="B57" i="5"/>
  <c r="B64" i="5" s="1"/>
  <c r="C57" i="5"/>
  <c r="C64" i="5" s="1"/>
  <c r="C66" i="6"/>
  <c r="E60" i="6"/>
  <c r="C66" i="2"/>
  <c r="E60" i="2"/>
  <c r="E56" i="6"/>
  <c r="E55" i="6"/>
  <c r="E55" i="7"/>
  <c r="E58" i="7"/>
  <c r="C64" i="4" l="1"/>
  <c r="E64" i="4" s="1"/>
  <c r="L64" i="3"/>
  <c r="L7" i="8"/>
  <c r="T8" i="16" s="1"/>
  <c r="G7" i="8"/>
  <c r="K8" i="16" s="1"/>
  <c r="D64" i="6"/>
  <c r="E57" i="6"/>
  <c r="D63" i="6" s="1"/>
  <c r="C55" i="8"/>
  <c r="E55" i="8" s="1"/>
  <c r="D61" i="8" s="1"/>
  <c r="L55" i="8"/>
  <c r="B55" i="8"/>
  <c r="L62" i="5"/>
  <c r="D62" i="5"/>
  <c r="E62" i="5" s="1"/>
  <c r="B62" i="5"/>
  <c r="D64" i="8"/>
  <c r="L64" i="6"/>
  <c r="L64" i="8"/>
  <c r="E57" i="2"/>
  <c r="C63" i="2" s="1"/>
  <c r="L61" i="5"/>
  <c r="L63" i="3"/>
  <c r="E64" i="5"/>
  <c r="D64" i="3"/>
  <c r="E64" i="3" s="1"/>
  <c r="C64" i="6"/>
  <c r="C64" i="8"/>
  <c r="B64" i="8"/>
  <c r="E62" i="4"/>
  <c r="C68" i="4" s="1"/>
  <c r="B61" i="5"/>
  <c r="C61" i="5"/>
  <c r="E61" i="5" s="1"/>
  <c r="D67" i="5" s="1"/>
  <c r="B63" i="3"/>
  <c r="E62" i="3"/>
  <c r="C68" i="3" s="1"/>
  <c r="E57" i="8"/>
  <c r="D63" i="3"/>
  <c r="B64" i="6"/>
  <c r="D63" i="7"/>
  <c r="B63" i="7"/>
  <c r="L63" i="7"/>
  <c r="E61" i="3"/>
  <c r="D67" i="3" s="1"/>
  <c r="C63" i="7"/>
  <c r="E63" i="7" s="1"/>
  <c r="C63" i="3"/>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E56" i="8"/>
  <c r="D64" i="7"/>
  <c r="C64" i="7"/>
  <c r="B64" i="7"/>
  <c r="L64" i="7"/>
  <c r="L62" i="6"/>
  <c r="C62" i="6"/>
  <c r="B62" i="6"/>
  <c r="D62" i="6"/>
  <c r="D7" i="6"/>
  <c r="E66" i="6"/>
  <c r="D7" i="3"/>
  <c r="G7" i="3" s="1"/>
  <c r="I8" i="16" s="1"/>
  <c r="E66" i="3"/>
  <c r="E61" i="4"/>
  <c r="E66" i="5"/>
  <c r="D7" i="5"/>
  <c r="L63" i="6" l="1"/>
  <c r="C63" i="6"/>
  <c r="I7" i="9"/>
  <c r="B63" i="6"/>
  <c r="B63" i="8"/>
  <c r="E64" i="6"/>
  <c r="Z8" i="13"/>
  <c r="R7" i="9"/>
  <c r="Q8" i="13"/>
  <c r="C67" i="5"/>
  <c r="E67" i="5" s="1"/>
  <c r="L68" i="4"/>
  <c r="Q10" i="4" s="1"/>
  <c r="D70" i="3"/>
  <c r="F13" i="3" s="1"/>
  <c r="B68" i="4"/>
  <c r="M68" i="4" s="1"/>
  <c r="E7" i="9"/>
  <c r="I8" i="13"/>
  <c r="D68" i="4"/>
  <c r="E68" i="4" s="1"/>
  <c r="E61" i="7"/>
  <c r="C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8" s="1"/>
  <c r="L70" i="4"/>
  <c r="D70" i="4"/>
  <c r="F14" i="4" s="1"/>
  <c r="B70" i="6"/>
  <c r="F33" i="6" s="1"/>
  <c r="L70" i="6"/>
  <c r="E63" i="6"/>
  <c r="D69" i="6" s="1"/>
  <c r="B67" i="5"/>
  <c r="F28" i="5" s="1"/>
  <c r="D70" i="6"/>
  <c r="F13" i="6" s="1"/>
  <c r="D68" i="3"/>
  <c r="F9" i="3" s="1"/>
  <c r="B70" i="3"/>
  <c r="M70" i="3" s="1"/>
  <c r="C70" i="3"/>
  <c r="D14" i="3" s="1"/>
  <c r="C63" i="8"/>
  <c r="L67" i="5"/>
  <c r="L70" i="3"/>
  <c r="C70" i="6"/>
  <c r="E61" i="6"/>
  <c r="B67" i="6" s="1"/>
  <c r="D10" i="3"/>
  <c r="D9" i="3"/>
  <c r="D11" i="3"/>
  <c r="B69" i="7"/>
  <c r="F32" i="7" s="1"/>
  <c r="E63" i="3"/>
  <c r="C69" i="3" s="1"/>
  <c r="C7" i="9"/>
  <c r="E8" i="13"/>
  <c r="D7" i="9"/>
  <c r="G8" i="13"/>
  <c r="E64" i="7"/>
  <c r="D70" i="7" s="1"/>
  <c r="F13" i="7" s="1"/>
  <c r="E61" i="2"/>
  <c r="C67" i="2" s="1"/>
  <c r="B62" i="8"/>
  <c r="C62" i="8"/>
  <c r="L62" i="8"/>
  <c r="D62" i="8"/>
  <c r="F8" i="3"/>
  <c r="L68" i="5"/>
  <c r="C68" i="5"/>
  <c r="B68" i="5"/>
  <c r="D68" i="5"/>
  <c r="D62" i="7"/>
  <c r="D69" i="7" s="1"/>
  <c r="B62" i="7"/>
  <c r="C62" i="7"/>
  <c r="C69" i="7" s="1"/>
  <c r="D12" i="7" s="1"/>
  <c r="L62" i="7"/>
  <c r="L69" i="7" s="1"/>
  <c r="C67" i="4"/>
  <c r="L67" i="4"/>
  <c r="D67" i="4"/>
  <c r="B67" i="4"/>
  <c r="E62" i="6"/>
  <c r="D9" i="4"/>
  <c r="D10" i="4"/>
  <c r="D11" i="4"/>
  <c r="L64" i="2"/>
  <c r="D64" i="2"/>
  <c r="C64" i="2"/>
  <c r="B64" i="2"/>
  <c r="E63" i="4"/>
  <c r="E62" i="2"/>
  <c r="D63" i="5"/>
  <c r="D70" i="5" s="1"/>
  <c r="F14" i="5" s="1"/>
  <c r="C63" i="5"/>
  <c r="C70" i="5" s="1"/>
  <c r="B63" i="5"/>
  <c r="B70" i="5" s="1"/>
  <c r="F33" i="5" s="1"/>
  <c r="L63" i="5"/>
  <c r="L70" i="5" s="1"/>
  <c r="F8" i="5"/>
  <c r="D8" i="5" l="1"/>
  <c r="Q8" i="5"/>
  <c r="D70" i="8"/>
  <c r="F13" i="8" s="1"/>
  <c r="E70" i="6"/>
  <c r="F14" i="3"/>
  <c r="M67" i="3"/>
  <c r="Q11" i="4"/>
  <c r="Q10" i="3"/>
  <c r="E63" i="8"/>
  <c r="L69" i="8" s="1"/>
  <c r="F11" i="4"/>
  <c r="F14" i="6"/>
  <c r="F34" i="6"/>
  <c r="O14" i="6"/>
  <c r="O14" i="3"/>
  <c r="Q9" i="4"/>
  <c r="O13" i="4"/>
  <c r="C69" i="6"/>
  <c r="D12" i="6" s="1"/>
  <c r="D8" i="3"/>
  <c r="O11" i="4"/>
  <c r="B67" i="7"/>
  <c r="F28" i="7" s="1"/>
  <c r="D67" i="7"/>
  <c r="E67" i="7" s="1"/>
  <c r="M70" i="6"/>
  <c r="F9" i="4"/>
  <c r="F30" i="4"/>
  <c r="O9" i="4"/>
  <c r="O8" i="5"/>
  <c r="R8" i="5" s="1"/>
  <c r="S8" i="5" s="1"/>
  <c r="B69" i="6"/>
  <c r="M69" i="6" s="1"/>
  <c r="L67" i="7"/>
  <c r="Q8" i="7" s="1"/>
  <c r="L69" i="6"/>
  <c r="O15" i="6" s="1"/>
  <c r="Q14" i="4"/>
  <c r="F29" i="4"/>
  <c r="F31" i="4"/>
  <c r="Q8" i="3"/>
  <c r="R8" i="3" s="1"/>
  <c r="S8" i="3" s="1"/>
  <c r="B69" i="2"/>
  <c r="F35" i="2" s="1"/>
  <c r="F13" i="5"/>
  <c r="M70" i="4"/>
  <c r="D69" i="3"/>
  <c r="F15" i="3" s="1"/>
  <c r="C67" i="6"/>
  <c r="D8" i="6" s="1"/>
  <c r="E70" i="4"/>
  <c r="O13" i="6"/>
  <c r="F33" i="3"/>
  <c r="F13" i="4"/>
  <c r="F33" i="4"/>
  <c r="F10" i="4"/>
  <c r="O10" i="4"/>
  <c r="K10" i="4" s="1"/>
  <c r="M67" i="5"/>
  <c r="O11" i="3"/>
  <c r="T11" i="3" s="1"/>
  <c r="O14" i="4"/>
  <c r="Q13" i="4"/>
  <c r="F30" i="3"/>
  <c r="O13" i="3"/>
  <c r="D13" i="3"/>
  <c r="Q9" i="3"/>
  <c r="O10" i="3"/>
  <c r="E68" i="3"/>
  <c r="O9" i="3"/>
  <c r="F31" i="3"/>
  <c r="F29" i="3"/>
  <c r="D14" i="4"/>
  <c r="L70" i="7"/>
  <c r="O14" i="7" s="1"/>
  <c r="E70" i="3"/>
  <c r="Q14" i="6"/>
  <c r="M69" i="7"/>
  <c r="B69" i="3"/>
  <c r="M69" i="3" s="1"/>
  <c r="C70" i="8"/>
  <c r="Q13" i="8" s="1"/>
  <c r="Q13" i="6"/>
  <c r="B70" i="8"/>
  <c r="M70" i="8" s="1"/>
  <c r="E64" i="2"/>
  <c r="L70" i="2" s="1"/>
  <c r="L67" i="6"/>
  <c r="F10" i="3"/>
  <c r="F11" i="3"/>
  <c r="F34" i="3"/>
  <c r="D67" i="6"/>
  <c r="O8" i="6" s="1"/>
  <c r="Q13" i="3"/>
  <c r="L69" i="3"/>
  <c r="Q12" i="3" s="1"/>
  <c r="M70" i="5"/>
  <c r="E70" i="5"/>
  <c r="Q13" i="5"/>
  <c r="D13" i="5"/>
  <c r="Q14" i="5"/>
  <c r="D14" i="5"/>
  <c r="O15" i="7"/>
  <c r="F12" i="7"/>
  <c r="F15" i="7"/>
  <c r="O13" i="5"/>
  <c r="O14" i="5"/>
  <c r="F35" i="7"/>
  <c r="Q14" i="3"/>
  <c r="F34" i="5"/>
  <c r="B70" i="7"/>
  <c r="F34" i="7" s="1"/>
  <c r="D14" i="6"/>
  <c r="D13" i="6"/>
  <c r="C70" i="7"/>
  <c r="D14" i="7" s="1"/>
  <c r="F14" i="7"/>
  <c r="Q15" i="7"/>
  <c r="E63" i="5"/>
  <c r="B69" i="5" s="1"/>
  <c r="Q12" i="7"/>
  <c r="D67" i="2"/>
  <c r="E67" i="2" s="1"/>
  <c r="O12" i="7"/>
  <c r="D15" i="7"/>
  <c r="E69" i="7"/>
  <c r="B67" i="2"/>
  <c r="F28" i="2" s="1"/>
  <c r="E62" i="7"/>
  <c r="C68" i="7" s="1"/>
  <c r="L67" i="2"/>
  <c r="Q8" i="2" s="1"/>
  <c r="F12" i="6"/>
  <c r="F15" i="6"/>
  <c r="B67" i="8"/>
  <c r="L67" i="8"/>
  <c r="D67" i="8"/>
  <c r="C67" i="8"/>
  <c r="M67" i="6"/>
  <c r="F28" i="6"/>
  <c r="L68" i="6"/>
  <c r="B68" i="6"/>
  <c r="D68" i="6"/>
  <c r="C68" i="6"/>
  <c r="E67" i="4"/>
  <c r="Q8" i="4"/>
  <c r="D8" i="4"/>
  <c r="L69" i="2"/>
  <c r="C69" i="2"/>
  <c r="D69" i="2"/>
  <c r="O11" i="5"/>
  <c r="O10" i="5"/>
  <c r="O9" i="5"/>
  <c r="F10" i="5"/>
  <c r="F9" i="5"/>
  <c r="F11" i="5"/>
  <c r="L68" i="2"/>
  <c r="D68" i="2"/>
  <c r="B68" i="2"/>
  <c r="C68" i="2"/>
  <c r="D8" i="7"/>
  <c r="M67" i="4"/>
  <c r="F28" i="4"/>
  <c r="M68" i="5"/>
  <c r="F30" i="5"/>
  <c r="F29" i="5"/>
  <c r="F31" i="5"/>
  <c r="C69" i="4"/>
  <c r="L69" i="4"/>
  <c r="B69" i="4"/>
  <c r="D69" i="4"/>
  <c r="O8" i="4"/>
  <c r="F8" i="4"/>
  <c r="D10" i="5"/>
  <c r="D9" i="5"/>
  <c r="E68" i="5"/>
  <c r="D11" i="5"/>
  <c r="Q10" i="5"/>
  <c r="Q9" i="5"/>
  <c r="Q11" i="5"/>
  <c r="D15" i="3"/>
  <c r="D12" i="3"/>
  <c r="D8" i="2"/>
  <c r="E62" i="8"/>
  <c r="O13" i="8" l="1"/>
  <c r="T13" i="8" s="1"/>
  <c r="R10" i="3"/>
  <c r="S10" i="3" s="1"/>
  <c r="U10" i="3" s="1"/>
  <c r="J10" i="3" s="1"/>
  <c r="K11" i="4"/>
  <c r="K11" i="3"/>
  <c r="F14" i="8"/>
  <c r="O14" i="8"/>
  <c r="D69" i="8"/>
  <c r="O12" i="8" s="1"/>
  <c r="O13" i="7"/>
  <c r="C69" i="8"/>
  <c r="D12" i="8" s="1"/>
  <c r="B69" i="8"/>
  <c r="F35" i="8" s="1"/>
  <c r="B70" i="2"/>
  <c r="F33" i="2" s="1"/>
  <c r="T10" i="3"/>
  <c r="M67" i="7"/>
  <c r="F32" i="6"/>
  <c r="T13" i="4"/>
  <c r="F33" i="7"/>
  <c r="R11" i="4"/>
  <c r="S11" i="4" s="1"/>
  <c r="U11" i="4" s="1"/>
  <c r="J11" i="4" s="1"/>
  <c r="R9" i="4"/>
  <c r="S9" i="4" s="1"/>
  <c r="U9" i="4" s="1"/>
  <c r="J9" i="4" s="1"/>
  <c r="M9" i="4" s="1"/>
  <c r="G9" i="4" s="1"/>
  <c r="G10" i="16" s="1"/>
  <c r="K13" i="4"/>
  <c r="E69" i="6"/>
  <c r="F8" i="6"/>
  <c r="T10" i="4"/>
  <c r="Q12" i="6"/>
  <c r="O12" i="6"/>
  <c r="R13" i="6"/>
  <c r="S13" i="6" s="1"/>
  <c r="U13" i="6" s="1"/>
  <c r="J13" i="6" s="1"/>
  <c r="M13" i="6" s="1"/>
  <c r="R14" i="6"/>
  <c r="S14" i="6" s="1"/>
  <c r="K8" i="3"/>
  <c r="R14" i="3"/>
  <c r="S14" i="3" s="1"/>
  <c r="U14" i="3" s="1"/>
  <c r="J14" i="3" s="1"/>
  <c r="M14" i="3" s="1"/>
  <c r="G14" i="3" s="1"/>
  <c r="I15" i="16" s="1"/>
  <c r="R13" i="4"/>
  <c r="S13" i="4" s="1"/>
  <c r="U13" i="4" s="1"/>
  <c r="J13" i="4" s="1"/>
  <c r="D15" i="6"/>
  <c r="R10" i="4"/>
  <c r="S10" i="4" s="1"/>
  <c r="U10" i="4" s="1"/>
  <c r="J10" i="4" s="1"/>
  <c r="M10" i="4" s="1"/>
  <c r="G10" i="4" s="1"/>
  <c r="G11" i="16" s="1"/>
  <c r="E69" i="3"/>
  <c r="T8" i="3"/>
  <c r="T11" i="4"/>
  <c r="T9" i="4"/>
  <c r="Q8" i="6"/>
  <c r="K8" i="6" s="1"/>
  <c r="K9" i="4"/>
  <c r="K8" i="5"/>
  <c r="F32" i="2"/>
  <c r="F12" i="3"/>
  <c r="T13" i="6"/>
  <c r="F8" i="7"/>
  <c r="E67" i="6"/>
  <c r="Q15" i="6"/>
  <c r="T15" i="6" s="1"/>
  <c r="M69" i="2"/>
  <c r="T8" i="5"/>
  <c r="T14" i="4"/>
  <c r="O8" i="7"/>
  <c r="K8" i="7" s="1"/>
  <c r="M70" i="7"/>
  <c r="F35" i="6"/>
  <c r="F32" i="3"/>
  <c r="T15" i="7"/>
  <c r="R13" i="3"/>
  <c r="S13" i="3" s="1"/>
  <c r="U13" i="3" s="1"/>
  <c r="J13" i="3" s="1"/>
  <c r="F8" i="2"/>
  <c r="K14" i="4"/>
  <c r="F35" i="3"/>
  <c r="K13" i="6"/>
  <c r="R11" i="3"/>
  <c r="S11" i="3" s="1"/>
  <c r="U11" i="3" s="1"/>
  <c r="J11" i="3" s="1"/>
  <c r="M11" i="3" s="1"/>
  <c r="G11" i="3" s="1"/>
  <c r="L69" i="5"/>
  <c r="T13" i="5"/>
  <c r="C69" i="5"/>
  <c r="D12" i="5" s="1"/>
  <c r="D69" i="5"/>
  <c r="F15" i="5" s="1"/>
  <c r="R15" i="7"/>
  <c r="S15" i="7" s="1"/>
  <c r="U15" i="7" s="1"/>
  <c r="J15" i="7" s="1"/>
  <c r="K15" i="7"/>
  <c r="L68" i="7"/>
  <c r="Q9" i="7" s="1"/>
  <c r="D68" i="7"/>
  <c r="E68" i="7" s="1"/>
  <c r="K12" i="7"/>
  <c r="B68" i="7"/>
  <c r="F30" i="7" s="1"/>
  <c r="T12" i="7"/>
  <c r="K9" i="3"/>
  <c r="K10" i="3"/>
  <c r="L10" i="3" s="1"/>
  <c r="P11" i="16" s="1"/>
  <c r="R14" i="4"/>
  <c r="S14" i="4" s="1"/>
  <c r="U14" i="4" s="1"/>
  <c r="J14" i="4" s="1"/>
  <c r="D13" i="7"/>
  <c r="K13" i="3"/>
  <c r="O12" i="3"/>
  <c r="T12" i="3" s="1"/>
  <c r="R9" i="3"/>
  <c r="S9" i="3" s="1"/>
  <c r="Q14" i="8"/>
  <c r="T9" i="3"/>
  <c r="T14" i="3"/>
  <c r="K14" i="6"/>
  <c r="T14" i="6"/>
  <c r="F34" i="8"/>
  <c r="R14" i="5"/>
  <c r="S14" i="5" s="1"/>
  <c r="U14" i="5" s="1"/>
  <c r="J14" i="5" s="1"/>
  <c r="M14" i="5" s="1"/>
  <c r="F33" i="8"/>
  <c r="C70" i="2"/>
  <c r="D14" i="2" s="1"/>
  <c r="K14" i="3"/>
  <c r="T14" i="5"/>
  <c r="D13" i="8"/>
  <c r="R13" i="8"/>
  <c r="S13" i="8" s="1"/>
  <c r="O15" i="3"/>
  <c r="K14" i="5"/>
  <c r="Q15" i="3"/>
  <c r="R12" i="7"/>
  <c r="S12" i="7" s="1"/>
  <c r="U12" i="7" s="1"/>
  <c r="J12" i="7" s="1"/>
  <c r="D70" i="2"/>
  <c r="O13" i="2" s="1"/>
  <c r="D14" i="8"/>
  <c r="E70" i="8"/>
  <c r="R13" i="5"/>
  <c r="S13" i="5" s="1"/>
  <c r="U13" i="5" s="1"/>
  <c r="J13" i="5" s="1"/>
  <c r="M13" i="5" s="1"/>
  <c r="M67" i="2"/>
  <c r="T13" i="3"/>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M10" i="3"/>
  <c r="G10" i="3" s="1"/>
  <c r="I11" i="16" s="1"/>
  <c r="R10" i="5"/>
  <c r="S10" i="5" s="1"/>
  <c r="U10" i="5" s="1"/>
  <c r="J10" i="5" s="1"/>
  <c r="T10" i="5"/>
  <c r="K10" i="5"/>
  <c r="F12" i="2"/>
  <c r="O15" i="2"/>
  <c r="F15" i="2"/>
  <c r="O12" i="2"/>
  <c r="F31" i="6"/>
  <c r="F30" i="6"/>
  <c r="M68" i="6"/>
  <c r="F29" i="6"/>
  <c r="M67" i="8"/>
  <c r="F28" i="8"/>
  <c r="K8" i="4"/>
  <c r="T8" i="4"/>
  <c r="R8" i="4"/>
  <c r="S8" i="4" s="1"/>
  <c r="E69" i="4"/>
  <c r="D12" i="4"/>
  <c r="Q15" i="4"/>
  <c r="Q12" i="4"/>
  <c r="D15" i="4"/>
  <c r="F32" i="5"/>
  <c r="F35" i="5"/>
  <c r="M69" i="5"/>
  <c r="U8" i="3"/>
  <c r="J8" i="3" s="1"/>
  <c r="Q11" i="2"/>
  <c r="Q10" i="2"/>
  <c r="Q9" i="2"/>
  <c r="E68" i="2"/>
  <c r="D11" i="2"/>
  <c r="D10" i="2"/>
  <c r="D9" i="2"/>
  <c r="R11" i="5"/>
  <c r="S11" i="5" s="1"/>
  <c r="U11" i="5" s="1"/>
  <c r="J11" i="5" s="1"/>
  <c r="T11" i="5"/>
  <c r="K11" i="5"/>
  <c r="D12" i="2"/>
  <c r="D15" i="2"/>
  <c r="Q15" i="2"/>
  <c r="E69" i="2"/>
  <c r="Q12" i="2"/>
  <c r="E67" i="8"/>
  <c r="Q8" i="8"/>
  <c r="D8" i="8"/>
  <c r="U8" i="5"/>
  <c r="J8" i="5" s="1"/>
  <c r="C68" i="8"/>
  <c r="D68" i="8"/>
  <c r="L68" i="8"/>
  <c r="B68" i="8"/>
  <c r="L12" i="7" l="1"/>
  <c r="S13" i="16" s="1"/>
  <c r="M69" i="8"/>
  <c r="K13" i="8"/>
  <c r="L11" i="3"/>
  <c r="P12" i="16" s="1"/>
  <c r="F12" i="8"/>
  <c r="O15" i="8"/>
  <c r="F32" i="8"/>
  <c r="M70" i="2"/>
  <c r="R14" i="8"/>
  <c r="S14" i="8" s="1"/>
  <c r="L11" i="4"/>
  <c r="O12" i="16" s="1"/>
  <c r="F15" i="8"/>
  <c r="D15" i="8"/>
  <c r="Q12" i="8"/>
  <c r="R12" i="8" s="1"/>
  <c r="S12" i="8" s="1"/>
  <c r="E69" i="8"/>
  <c r="Q15" i="8"/>
  <c r="T13" i="7"/>
  <c r="F34" i="2"/>
  <c r="T12" i="6"/>
  <c r="K12" i="6"/>
  <c r="L13" i="4"/>
  <c r="O14" i="16" s="1"/>
  <c r="F14" i="2"/>
  <c r="R15" i="6"/>
  <c r="S15" i="6" s="1"/>
  <c r="U15" i="6" s="1"/>
  <c r="J15" i="6" s="1"/>
  <c r="M15" i="6" s="1"/>
  <c r="M68" i="7"/>
  <c r="U14" i="6"/>
  <c r="J14" i="6" s="1"/>
  <c r="M14" i="6" s="1"/>
  <c r="Q10" i="7"/>
  <c r="R8" i="7"/>
  <c r="S8" i="7" s="1"/>
  <c r="U8" i="7" s="1"/>
  <c r="J8" i="7" s="1"/>
  <c r="M8" i="7" s="1"/>
  <c r="R12" i="6"/>
  <c r="S12" i="6" s="1"/>
  <c r="U12" i="6" s="1"/>
  <c r="J12" i="6" s="1"/>
  <c r="K12" i="3"/>
  <c r="R8" i="6"/>
  <c r="S8" i="6" s="1"/>
  <c r="U8" i="6" s="1"/>
  <c r="J8" i="6" s="1"/>
  <c r="M8" i="6" s="1"/>
  <c r="F29" i="7"/>
  <c r="T8" i="7"/>
  <c r="O14" i="2"/>
  <c r="T8" i="6"/>
  <c r="F31" i="7"/>
  <c r="F13" i="2"/>
  <c r="K15" i="6"/>
  <c r="D15" i="5"/>
  <c r="Q11" i="7"/>
  <c r="O12" i="5"/>
  <c r="R12" i="3"/>
  <c r="S12" i="3" s="1"/>
  <c r="U12" i="3" s="1"/>
  <c r="J12" i="3" s="1"/>
  <c r="E69" i="5"/>
  <c r="F10" i="7"/>
  <c r="K8" i="2"/>
  <c r="U13" i="8"/>
  <c r="J13" i="8" s="1"/>
  <c r="M13" i="8" s="1"/>
  <c r="G13" i="8" s="1"/>
  <c r="K14" i="16" s="1"/>
  <c r="O10" i="7"/>
  <c r="R10" i="7" s="1"/>
  <c r="S10" i="7" s="1"/>
  <c r="F12" i="5"/>
  <c r="D13" i="2"/>
  <c r="O11" i="7"/>
  <c r="O15" i="5"/>
  <c r="F9" i="7"/>
  <c r="Q15" i="5"/>
  <c r="Q12" i="5"/>
  <c r="I12" i="16"/>
  <c r="E11" i="9"/>
  <c r="I12" i="13"/>
  <c r="K14" i="8"/>
  <c r="F11" i="7"/>
  <c r="O9" i="7"/>
  <c r="R9" i="7" s="1"/>
  <c r="S9" i="7" s="1"/>
  <c r="T14" i="8"/>
  <c r="L13" i="6"/>
  <c r="R14" i="16" s="1"/>
  <c r="R15" i="3"/>
  <c r="S15" i="3" s="1"/>
  <c r="U15" i="3" s="1"/>
  <c r="J15" i="3" s="1"/>
  <c r="E70" i="2"/>
  <c r="Q14" i="2"/>
  <c r="M13" i="4"/>
  <c r="G13" i="4" s="1"/>
  <c r="G14" i="16" s="1"/>
  <c r="M12" i="7"/>
  <c r="L9" i="4"/>
  <c r="O10" i="16" s="1"/>
  <c r="R13" i="7"/>
  <c r="S13" i="7" s="1"/>
  <c r="U13" i="7" s="1"/>
  <c r="J13" i="7" s="1"/>
  <c r="M13" i="7" s="1"/>
  <c r="Q13" i="2"/>
  <c r="R13" i="2" s="1"/>
  <c r="S13" i="2" s="1"/>
  <c r="L13" i="3"/>
  <c r="P14" i="16" s="1"/>
  <c r="U9" i="3"/>
  <c r="J9" i="3" s="1"/>
  <c r="M9" i="3" s="1"/>
  <c r="G9" i="3" s="1"/>
  <c r="I10" i="13" s="1"/>
  <c r="K15" i="3"/>
  <c r="T15" i="3"/>
  <c r="N30" i="5"/>
  <c r="L14" i="5"/>
  <c r="Q15" i="16" s="1"/>
  <c r="L13" i="5"/>
  <c r="Q14" i="16" s="1"/>
  <c r="L10" i="4"/>
  <c r="O11" i="16" s="1"/>
  <c r="K13" i="7"/>
  <c r="T8" i="2"/>
  <c r="M11" i="4"/>
  <c r="G11" i="4" s="1"/>
  <c r="T14" i="7"/>
  <c r="U14" i="7" s="1"/>
  <c r="J14" i="7" s="1"/>
  <c r="K14" i="7"/>
  <c r="N30" i="3"/>
  <c r="L14" i="3"/>
  <c r="P15" i="16" s="1"/>
  <c r="M13" i="3"/>
  <c r="G13" i="3" s="1"/>
  <c r="D10" i="9"/>
  <c r="G11" i="13"/>
  <c r="E10" i="9"/>
  <c r="I11" i="13"/>
  <c r="Q12" i="9"/>
  <c r="Y13" i="13"/>
  <c r="D9" i="9"/>
  <c r="G10" i="13"/>
  <c r="U8" i="2"/>
  <c r="J8" i="2" s="1"/>
  <c r="N10" i="9"/>
  <c r="V11"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V12" i="13" l="1"/>
  <c r="T15" i="8"/>
  <c r="U12" i="13"/>
  <c r="M11" i="9"/>
  <c r="T12" i="8"/>
  <c r="N11" i="9"/>
  <c r="L8" i="2"/>
  <c r="N9" i="16" s="1"/>
  <c r="K12" i="8"/>
  <c r="U14" i="8"/>
  <c r="J14" i="8" s="1"/>
  <c r="M14" i="8" s="1"/>
  <c r="G14" i="8" s="1"/>
  <c r="K15" i="16" s="1"/>
  <c r="N30" i="6"/>
  <c r="T14" i="2"/>
  <c r="L14" i="6"/>
  <c r="R15" i="16" s="1"/>
  <c r="K15" i="8"/>
  <c r="R15" i="8"/>
  <c r="S15" i="8" s="1"/>
  <c r="U15" i="8" s="1"/>
  <c r="J15" i="8" s="1"/>
  <c r="U14" i="13"/>
  <c r="M13" i="9"/>
  <c r="K9" i="7"/>
  <c r="I13" i="9"/>
  <c r="T10" i="7"/>
  <c r="K13" i="2"/>
  <c r="T11" i="7"/>
  <c r="K10" i="7"/>
  <c r="T13" i="2"/>
  <c r="R12" i="5"/>
  <c r="S12" i="5" s="1"/>
  <c r="U12" i="5" s="1"/>
  <c r="J12" i="5" s="1"/>
  <c r="M12" i="5" s="1"/>
  <c r="T12" i="5"/>
  <c r="K15" i="5"/>
  <c r="P13" i="9"/>
  <c r="Q14" i="13"/>
  <c r="L13" i="8"/>
  <c r="T14" i="16" s="1"/>
  <c r="R15" i="5"/>
  <c r="S15" i="5" s="1"/>
  <c r="U15" i="5" s="1"/>
  <c r="J15" i="5" s="1"/>
  <c r="M15" i="5" s="1"/>
  <c r="T9" i="7"/>
  <c r="T15" i="5"/>
  <c r="N13" i="9"/>
  <c r="R11" i="7"/>
  <c r="S11" i="7" s="1"/>
  <c r="U11" i="7" s="1"/>
  <c r="J11" i="7" s="1"/>
  <c r="K12" i="5"/>
  <c r="K11" i="7"/>
  <c r="X14" i="13"/>
  <c r="R14" i="2"/>
  <c r="S14" i="2" s="1"/>
  <c r="U14" i="2" s="1"/>
  <c r="J14" i="2" s="1"/>
  <c r="M14" i="2" s="1"/>
  <c r="K14" i="2"/>
  <c r="L15" i="6"/>
  <c r="R16" i="16" s="1"/>
  <c r="W14" i="13"/>
  <c r="U10" i="13"/>
  <c r="G14" i="13"/>
  <c r="D13" i="9"/>
  <c r="L13" i="7"/>
  <c r="S14" i="16" s="1"/>
  <c r="L15" i="3"/>
  <c r="P16" i="16" s="1"/>
  <c r="M15" i="3"/>
  <c r="G15" i="3" s="1"/>
  <c r="I16" i="16" s="1"/>
  <c r="N14" i="9"/>
  <c r="L9" i="3"/>
  <c r="N9" i="9" s="1"/>
  <c r="I14" i="13"/>
  <c r="I14" i="16"/>
  <c r="G12" i="13"/>
  <c r="G12" i="16"/>
  <c r="E9" i="9"/>
  <c r="I10" i="16"/>
  <c r="M14" i="7"/>
  <c r="N30" i="7"/>
  <c r="L14" i="7"/>
  <c r="S15" i="16" s="1"/>
  <c r="L8" i="7"/>
  <c r="S9" i="16" s="1"/>
  <c r="U10" i="7"/>
  <c r="J10" i="7" s="1"/>
  <c r="O13" i="9"/>
  <c r="V14" i="13"/>
  <c r="M9" i="9"/>
  <c r="M10" i="9"/>
  <c r="O14" i="9"/>
  <c r="V15" i="13"/>
  <c r="W15" i="13"/>
  <c r="U12" i="2"/>
  <c r="J12" i="2" s="1"/>
  <c r="L12" i="2" s="1"/>
  <c r="N13" i="16" s="1"/>
  <c r="D11" i="9"/>
  <c r="E13" i="9"/>
  <c r="U11" i="13"/>
  <c r="M8" i="2"/>
  <c r="G8" i="2" s="1"/>
  <c r="E9" i="16" s="1"/>
  <c r="L8" i="6"/>
  <c r="R9" i="16" s="1"/>
  <c r="U13" i="2"/>
  <c r="J13" i="2" s="1"/>
  <c r="M13" i="2" s="1"/>
  <c r="G13" i="2" s="1"/>
  <c r="E14" i="16" s="1"/>
  <c r="U15" i="2"/>
  <c r="J15" i="2" s="1"/>
  <c r="M15" i="2" s="1"/>
  <c r="G15" i="2" s="1"/>
  <c r="E16" i="16" s="1"/>
  <c r="U9" i="7"/>
  <c r="J9" i="7" s="1"/>
  <c r="M9" i="7" s="1"/>
  <c r="U12" i="4"/>
  <c r="J12" i="4" s="1"/>
  <c r="L12" i="4" s="1"/>
  <c r="O13" i="16" s="1"/>
  <c r="U11" i="6"/>
  <c r="J11" i="6" s="1"/>
  <c r="M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U9" i="6"/>
  <c r="J9" i="6" s="1"/>
  <c r="U8" i="8"/>
  <c r="J8" i="8" s="1"/>
  <c r="M12" i="6"/>
  <c r="L12" i="6"/>
  <c r="R13" i="16" s="1"/>
  <c r="M8" i="4"/>
  <c r="G8" i="4" s="1"/>
  <c r="G9" i="16" s="1"/>
  <c r="L8" i="4"/>
  <c r="O9" i="16" s="1"/>
  <c r="R10" i="8"/>
  <c r="S10" i="8" s="1"/>
  <c r="T10" i="8"/>
  <c r="K10" i="8"/>
  <c r="U12" i="8"/>
  <c r="J12" i="8" s="1"/>
  <c r="U15" i="4"/>
  <c r="J15" i="4" s="1"/>
  <c r="U10" i="6"/>
  <c r="J10" i="6" s="1"/>
  <c r="K11" i="8"/>
  <c r="T11" i="8"/>
  <c r="R11" i="8"/>
  <c r="S11" i="8" s="1"/>
  <c r="L12" i="3"/>
  <c r="P13" i="16" s="1"/>
  <c r="M12" i="3"/>
  <c r="G12" i="3" s="1"/>
  <c r="I13" i="16" s="1"/>
  <c r="K9" i="8"/>
  <c r="T9" i="8"/>
  <c r="T9" i="13" l="1"/>
  <c r="L8" i="9"/>
  <c r="L14" i="8"/>
  <c r="T15" i="16" s="1"/>
  <c r="N30" i="8"/>
  <c r="P14" i="9"/>
  <c r="X15" i="13"/>
  <c r="P15" i="9"/>
  <c r="E15" i="9"/>
  <c r="L12" i="5"/>
  <c r="Q13" i="16" s="1"/>
  <c r="R13" i="9"/>
  <c r="Z14" i="13"/>
  <c r="Y14" i="13"/>
  <c r="L10" i="7"/>
  <c r="S11" i="16" s="1"/>
  <c r="P8" i="9"/>
  <c r="Q13" i="9"/>
  <c r="L15" i="5"/>
  <c r="Q16" i="16" s="1"/>
  <c r="N15" i="9"/>
  <c r="C8" i="9"/>
  <c r="E9" i="13"/>
  <c r="V16" i="13"/>
  <c r="X16" i="13"/>
  <c r="I16" i="13"/>
  <c r="G14" i="2"/>
  <c r="E15" i="16" s="1"/>
  <c r="I14" i="9"/>
  <c r="Q15" i="13"/>
  <c r="M10" i="7"/>
  <c r="V10" i="13"/>
  <c r="L10" i="2"/>
  <c r="N11" i="16" s="1"/>
  <c r="Y15" i="13"/>
  <c r="Q14" i="9"/>
  <c r="L11" i="6"/>
  <c r="R12" i="16" s="1"/>
  <c r="X9" i="13"/>
  <c r="P10" i="16"/>
  <c r="Y9" i="13"/>
  <c r="M12" i="2"/>
  <c r="G12" i="2" s="1"/>
  <c r="C12" i="9" s="1"/>
  <c r="Q8" i="9"/>
  <c r="L15" i="2"/>
  <c r="N16" i="16" s="1"/>
  <c r="L13" i="2"/>
  <c r="N14" i="16" s="1"/>
  <c r="L11" i="2"/>
  <c r="N12" i="16" s="1"/>
  <c r="M12" i="4"/>
  <c r="G12" i="4" s="1"/>
  <c r="M9" i="2"/>
  <c r="G9" i="2" s="1"/>
  <c r="L9" i="7"/>
  <c r="S10" i="16" s="1"/>
  <c r="L14" i="2"/>
  <c r="N15" i="16" s="1"/>
  <c r="N30" i="2"/>
  <c r="C15" i="9"/>
  <c r="E16" i="13"/>
  <c r="L9" i="9"/>
  <c r="T10" i="13"/>
  <c r="C11" i="9"/>
  <c r="E12" i="13"/>
  <c r="M8" i="9"/>
  <c r="U9"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M10" i="6"/>
  <c r="L10" i="6"/>
  <c r="R11" i="16" s="1"/>
  <c r="C14" i="9" l="1"/>
  <c r="R14" i="9"/>
  <c r="Z15" i="13"/>
  <c r="O12" i="9"/>
  <c r="Q10" i="9"/>
  <c r="W13" i="13"/>
  <c r="Y11" i="13"/>
  <c r="E15" i="13"/>
  <c r="W16" i="13"/>
  <c r="O15" i="9"/>
  <c r="L15" i="9"/>
  <c r="T11" i="13"/>
  <c r="L10" i="9"/>
  <c r="T16" i="13"/>
  <c r="L13" i="9"/>
  <c r="P11" i="9"/>
  <c r="T14" i="13"/>
  <c r="X12"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<sst xmlns="http://schemas.openxmlformats.org/spreadsheetml/2006/main" count="654" uniqueCount="141">
  <si>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</si>
  <si>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</si>
  <si>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</si>
  <si>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</si>
  <si>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</si>
  <si>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</si>
  <si>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</si>
  <si>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</si>
  <si>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</si>
  <si>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</si>
  <si>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</si>
  <si>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</si>
  <si>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</si>
  <si>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</si>
  <si>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</si>
  <si>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</si>
  <si>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</si>
  <si>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</si>
  <si>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</si>
  <si>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</si>
  <si>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</si>
  <si>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</si>
  <si>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</si>
  <si>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</si>
  <si>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</si>
  <si>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</si>
  <si>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</si>
  <si>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</si>
  <si>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</si>
  <si>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</si>
  <si>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</si>
  <si>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</si>
  <si>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</si>
  <si>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</si>
  <si>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</si>
  <si>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</si>
  <si>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</si>
  <si>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</si>
  <si>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</si>
  <si>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</si>
  <si>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</si>
  <si>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</si>
  <si>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</si>
  <si>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</si>
  <si>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</si>
  <si>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</si>
  <si>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</si>
  <si>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</si>
  <si>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</si>
  <si>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</si>
  <si>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</si>
  <si>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</si>
  <si>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</si>
  <si>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</si>
  <si>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</si>
  <si>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</si>
  <si>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</si>
  <si>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</si>
  <si>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</si>
  <si>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</si>
  <si>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</si>
  <si>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</si>
  <si>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</si>
  <si>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</si>
  <si>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</si>
  <si>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</si>
  <si>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</si>
  <si>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</si>
  <si>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</si>
  <si>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</si>
  <si>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</si>
  <si>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</si>
  <si>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</si>
  <si>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</si>
  <si>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</si>
  <si>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</si>
  <si>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</si>
  <si>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</si>
  <si>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</si>
  <si>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</si>
  <si>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</si>
  <si>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</si>
  <si>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</si>
  <si>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</si>
  <si>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</si>
  <si>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</si>
  <si>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</si>
  <si>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</si>
  <si>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</si>
  <si>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</si>
  <si>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</si>
  <si>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</si>
  <si>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</si>
  <si>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</si>
  <si>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</si>
  <si>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</si>
  <si>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</si>
  <si>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</si>
  <si>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</si>
  <si>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</si>
  <si>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</si>
  <si>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</si>
  <si>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</si>
  <si>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</si>
  <si>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</si>
  <si>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</si>
  <si>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</si>
  <si>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</si>
  <si>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</si>
  <si>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</si>
  <si>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</si>
  <si>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</si>
  <si>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</si>
  <si>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</si>
  <si>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</si>
  <si>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</si>
  <si>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</si>
  <si>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</si>
  <si>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</si>
  <si>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</si>
  <si>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</si>
  <si>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</si>
  <si>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</si>
  <si>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</si>
  <si>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</si>
  <si>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</si>
  <si>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</si>
  <si>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</si>
  <si>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</si>
  <si>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</si>
  <si>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</si>
  <si>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</si>
  <si>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</si>
  <si>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</si>
  <si>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</si>
  <si>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</si>
  <si>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Kalamazoo</t>
  </si>
  <si>
    <t xml:space="preserve">1. Population at Risk (age 10 through 16) </t>
  </si>
  <si>
    <t>10/1/15 through 9/30/16</t>
  </si>
  <si>
    <t>Item 2.Arrest: Michigan State Police</t>
  </si>
  <si>
    <t>Item 1. Population (figures for 2017): U.S. Census estimate (from C. Puzzanchera, A. Sladky, and W. Kang, "Easy Access to Juvenile Populations: 1990-2017," Online, accessed August 16, 2018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</si>
</sst>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7" fillId="4" borderId="0" applyNumberFormat="0" applyBorder="0" applyAlignment="0" applyProtection="0"/>
    <xf numFmtId="0" fontId="2" fillId="5" borderId="0" applyNumberFormat="0" applyBorder="0" applyAlignment="0" applyProtection="0"/>
    <xf numFmtId="0" fontId="1" fillId="0" borderId="0"/>
  </cellStyleXfs>
  <cellXfs count="224">
    <xf numFmtId="0" fontId="0" fillId="0" borderId="0" xfId="0"/>
    <xf numFmtId="4" fontId="3" fillId="0" borderId="0" xfId="0" applyNumberFormat="1" applyFont="1" applyFill="1" applyBorder="1" applyAlignment="1" applyProtection="1"/>
    <xf numFmtId="4" fontId="4" fillId="0" borderId="0" xfId="0" applyNumberFormat="1" applyFont="1" applyFill="1" applyBorder="1" applyAlignment="1" applyProtection="1">
      <alignment horizontal="center" wrapText="1"/>
    </xf>
    <xf numFmtId="4" fontId="6" fillId="2" borderId="0" xfId="0" applyNumberFormat="1" applyFont="1" applyFill="1" applyBorder="1" applyAlignment="1" applyProtection="1">
      <alignment horizontal="left" vertical="top" wrapText="1"/>
    </xf>
    <xf numFmtId="4" fontId="6" fillId="0" borderId="0" xfId="0" applyNumberFormat="1" applyFont="1" applyFill="1" applyBorder="1" applyAlignment="1" applyProtection="1">
      <alignment horizontal="center" vertical="top" wrapText="1"/>
    </xf>
    <xf numFmtId="4" fontId="6" fillId="2" borderId="0" xfId="0" applyNumberFormat="1" applyFont="1" applyFill="1" applyBorder="1" applyAlignment="1" applyProtection="1">
      <alignment horizontal="left" vertical="top"/>
    </xf>
    <xf numFmtId="4" fontId="3" fillId="2" borderId="0" xfId="0" applyNumberFormat="1" applyFont="1" applyFill="1" applyBorder="1" applyAlignment="1" applyProtection="1">
      <alignment horizontal="left"/>
    </xf>
    <xf numFmtId="4" fontId="3" fillId="0" borderId="0" xfId="0" applyNumberFormat="1" applyFont="1" applyFill="1" applyBorder="1" applyAlignment="1" applyProtection="1">
      <alignment horizontal="left"/>
    </xf>
    <xf numFmtId="4" fontId="3" fillId="0" borderId="0" xfId="0" applyNumberFormat="1" applyFont="1" applyFill="1" applyBorder="1" applyAlignment="1" applyProtection="1">
      <alignment wrapText="1"/>
    </xf>
    <xf numFmtId="4" fontId="6" fillId="0" borderId="0" xfId="0" applyNumberFormat="1" applyFont="1" applyFill="1" applyBorder="1" applyAlignment="1" applyProtection="1">
      <alignment wrapText="1"/>
    </xf>
    <xf numFmtId="4" fontId="6" fillId="0" borderId="1" xfId="0" applyNumberFormat="1" applyFont="1" applyFill="1" applyBorder="1" applyAlignment="1" applyProtection="1">
      <alignment vertical="top" wrapText="1"/>
    </xf>
    <xf numFmtId="3" fontId="6" fillId="2" borderId="2" xfId="0" applyNumberFormat="1" applyFont="1" applyFill="1" applyBorder="1" applyAlignment="1" applyProtection="1">
      <alignment horizontal="right" vertical="center" wrapText="1"/>
    </xf>
    <xf numFmtId="4" fontId="6" fillId="0" borderId="0" xfId="0" applyNumberFormat="1" applyFont="1" applyFill="1" applyBorder="1" applyAlignment="1" applyProtection="1">
      <alignment vertical="center" wrapText="1"/>
    </xf>
    <xf numFmtId="4" fontId="7"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vertical="center"/>
    </xf>
    <xf numFmtId="4" fontId="8" fillId="0" borderId="0" xfId="0" applyNumberFormat="1" applyFont="1" applyFill="1" applyBorder="1" applyAlignment="1" applyProtection="1">
      <alignment vertical="top" wrapText="1"/>
    </xf>
    <xf numFmtId="4" fontId="6" fillId="0" borderId="0" xfId="0" applyNumberFormat="1" applyFont="1" applyFill="1" applyBorder="1" applyAlignment="1" applyProtection="1">
      <alignment vertical="top" wrapText="1"/>
    </xf>
    <xf numFmtId="4" fontId="9" fillId="0" borderId="0" xfId="0" applyNumberFormat="1" applyFont="1" applyFill="1" applyBorder="1" applyAlignment="1" applyProtection="1"/>
    <xf numFmtId="164" fontId="3" fillId="0" borderId="0" xfId="0" applyNumberFormat="1" applyFont="1" applyFill="1" applyBorder="1" applyAlignment="1" applyProtection="1"/>
    <xf numFmtId="2" fontId="3" fillId="0" borderId="0" xfId="0" applyNumberFormat="1" applyFont="1" applyFill="1" applyBorder="1" applyAlignment="1" applyProtection="1"/>
    <xf numFmtId="4" fontId="4" fillId="0" borderId="0" xfId="0" applyNumberFormat="1" applyFont="1" applyFill="1" applyBorder="1" applyAlignment="1" applyProtection="1">
      <alignment vertical="center" wrapText="1"/>
    </xf>
    <xf numFmtId="4" fontId="3" fillId="0" borderId="0" xfId="0" applyNumberFormat="1" applyFont="1" applyFill="1" applyBorder="1" applyAlignment="1" applyProtection="1">
      <protection hidden="1"/>
    </xf>
    <xf numFmtId="4" fontId="6" fillId="0" borderId="0" xfId="0" applyNumberFormat="1" applyFont="1" applyFill="1" applyBorder="1" applyAlignment="1" applyProtection="1">
      <alignment vertical="top"/>
    </xf>
    <xf numFmtId="4" fontId="6" fillId="0" borderId="3" xfId="0" applyNumberFormat="1" applyFont="1" applyFill="1" applyBorder="1" applyAlignment="1" applyProtection="1">
      <alignment horizontal="left" vertical="top" wrapText="1"/>
    </xf>
    <xf numFmtId="4" fontId="6" fillId="0" borderId="4" xfId="0" applyNumberFormat="1" applyFont="1" applyFill="1" applyBorder="1" applyAlignment="1" applyProtection="1">
      <alignment horizontal="centerContinuous" vertical="top" wrapText="1"/>
    </xf>
    <xf numFmtId="4" fontId="6" fillId="0" borderId="5"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4" fontId="7" fillId="0" borderId="5" xfId="0" applyNumberFormat="1" applyFont="1" applyFill="1" applyBorder="1" applyAlignment="1" applyProtection="1">
      <alignment horizontal="center" vertical="top" wrapText="1"/>
    </xf>
    <xf numFmtId="4" fontId="6" fillId="0" borderId="4" xfId="0" applyNumberFormat="1" applyFont="1" applyFill="1" applyBorder="1" applyAlignment="1" applyProtection="1">
      <alignment horizontal="center" vertical="top" wrapText="1"/>
    </xf>
    <xf numFmtId="4" fontId="3" fillId="0" borderId="6" xfId="0" applyNumberFormat="1" applyFont="1" applyFill="1" applyBorder="1" applyAlignment="1" applyProtection="1">
      <alignment horizontal="center"/>
      <protection hidden="1"/>
    </xf>
    <xf numFmtId="164" fontId="3" fillId="0" borderId="0" xfId="0" applyNumberFormat="1" applyFont="1" applyFill="1" applyBorder="1" applyAlignment="1" applyProtection="1">
      <protection hidden="1"/>
    </xf>
    <xf numFmtId="2" fontId="3" fillId="0" borderId="0" xfId="0" applyNumberFormat="1" applyFont="1" applyFill="1" applyBorder="1" applyAlignment="1" applyProtection="1">
      <protection hidden="1"/>
    </xf>
    <xf numFmtId="4" fontId="3" fillId="0" borderId="1" xfId="0" applyNumberFormat="1" applyFont="1" applyFill="1" applyBorder="1" applyAlignment="1" applyProtection="1">
      <alignment vertical="center" wrapText="1"/>
    </xf>
    <xf numFmtId="165" fontId="3" fillId="0" borderId="1"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right" vertical="center"/>
    </xf>
    <xf numFmtId="4" fontId="3" fillId="3" borderId="1" xfId="0" applyNumberFormat="1" applyFont="1" applyFill="1" applyBorder="1" applyAlignment="1" applyProtection="1">
      <alignment horizontal="center" vertical="center"/>
    </xf>
    <xf numFmtId="4" fontId="3" fillId="3" borderId="7" xfId="0" applyNumberFormat="1" applyFont="1" applyFill="1" applyBorder="1" applyAlignment="1" applyProtection="1">
      <alignment horizontal="center" vertical="center"/>
    </xf>
    <xf numFmtId="4" fontId="3" fillId="3" borderId="8" xfId="0" applyNumberFormat="1" applyFont="1" applyFill="1" applyBorder="1" applyAlignment="1" applyProtection="1">
      <alignment horizontal="center" vertical="center"/>
    </xf>
    <xf numFmtId="4" fontId="3" fillId="3" borderId="9"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4" fontId="3" fillId="0" borderId="9" xfId="0" applyNumberFormat="1" applyFont="1" applyFill="1" applyBorder="1" applyAlignment="1" applyProtection="1">
      <alignment horizontal="center" vertical="center"/>
    </xf>
    <xf numFmtId="4" fontId="3" fillId="0" borderId="10" xfId="0" applyNumberFormat="1" applyFont="1" applyFill="1" applyBorder="1" applyAlignment="1" applyProtection="1">
      <alignment horizontal="center" vertical="center"/>
    </xf>
    <xf numFmtId="165" fontId="3" fillId="0" borderId="0" xfId="0" applyNumberFormat="1" applyFont="1" applyFill="1" applyBorder="1" applyAlignment="1" applyProtection="1">
      <protection hidden="1"/>
    </xf>
    <xf numFmtId="4" fontId="8" fillId="0" borderId="0" xfId="0" applyNumberFormat="1" applyFont="1" applyFill="1" applyBorder="1" applyAlignment="1" applyProtection="1">
      <alignment horizontal="left" vertical="top"/>
    </xf>
    <xf numFmtId="4" fontId="9" fillId="0" borderId="0" xfId="0" applyNumberFormat="1" applyFont="1" applyFill="1" applyBorder="1" applyAlignment="1" applyProtection="1">
      <alignment horizontal="center" vertical="top"/>
    </xf>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13" fillId="0" borderId="0" xfId="0" applyNumberFormat="1" applyFont="1" applyFill="1" applyBorder="1" applyAlignment="1" applyProtection="1"/>
    <xf numFmtId="4" fontId="7" fillId="0" borderId="0" xfId="0" applyNumberFormat="1" applyFont="1" applyFill="1" applyBorder="1" applyAlignment="1" applyProtection="1"/>
    <xf numFmtId="4" fontId="3" fillId="0" borderId="0" xfId="0" applyNumberFormat="1" applyFont="1" applyFill="1" applyBorder="1" applyAlignment="1" applyProtection="1">
      <alignment wrapText="1"/>
      <protection hidden="1"/>
    </xf>
    <xf numFmtId="4" fontId="6" fillId="0" borderId="11" xfId="0" applyNumberFormat="1" applyFont="1" applyFill="1" applyBorder="1" applyAlignment="1" applyProtection="1"/>
    <xf numFmtId="4" fontId="3" fillId="0" borderId="11" xfId="0" applyNumberFormat="1" applyFont="1" applyFill="1" applyBorder="1" applyAlignment="1" applyProtection="1"/>
    <xf numFmtId="4" fontId="6" fillId="0" borderId="12" xfId="0" applyNumberFormat="1" applyFont="1" applyFill="1" applyBorder="1" applyAlignment="1" applyProtection="1"/>
    <xf numFmtId="4" fontId="3" fillId="0" borderId="12" xfId="0" applyNumberFormat="1" applyFont="1" applyFill="1" applyBorder="1" applyAlignment="1" applyProtection="1"/>
    <xf numFmtId="4" fontId="7"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horizontal="right" wrapText="1"/>
      <protection hidden="1"/>
    </xf>
    <xf numFmtId="165" fontId="3" fillId="0" borderId="0" xfId="0" applyNumberFormat="1" applyFont="1" applyFill="1" applyBorder="1" applyAlignment="1" applyProtection="1">
      <alignment wrapText="1"/>
      <protection hidden="1"/>
    </xf>
    <xf numFmtId="3" fontId="3" fillId="0" borderId="0" xfId="0" applyNumberFormat="1" applyFont="1" applyFill="1" applyBorder="1" applyAlignment="1" applyProtection="1"/>
    <xf numFmtId="3" fontId="3" fillId="0" borderId="0" xfId="0" applyNumberFormat="1" applyFont="1" applyFill="1" applyBorder="1" applyAlignment="1" applyProtection="1">
      <alignment wrapText="1"/>
      <protection hidden="1"/>
    </xf>
    <xf numFmtId="4" fontId="14" fillId="0" borderId="0" xfId="0" applyNumberFormat="1" applyFont="1" applyFill="1" applyBorder="1" applyAlignment="1" applyProtection="1"/>
    <xf numFmtId="4" fontId="10" fillId="0" borderId="0" xfId="0" applyNumberFormat="1" applyFont="1" applyFill="1" applyBorder="1" applyAlignment="1" applyProtection="1"/>
    <xf numFmtId="4" fontId="15" fillId="0" borderId="0" xfId="0" applyNumberFormat="1" applyFont="1" applyFill="1" applyBorder="1" applyAlignment="1" applyProtection="1"/>
    <xf numFmtId="4" fontId="3" fillId="0" borderId="0" xfId="0" applyNumberFormat="1" applyFont="1" applyFill="1" applyBorder="1" applyAlignment="1" applyProtection="1">
      <alignment vertical="top" wrapText="1"/>
    </xf>
    <xf numFmtId="4" fontId="7" fillId="0" borderId="13" xfId="0" applyNumberFormat="1" applyFont="1" applyFill="1" applyBorder="1" applyAlignment="1" applyProtection="1"/>
    <xf numFmtId="4" fontId="3" fillId="0" borderId="14" xfId="0" applyNumberFormat="1" applyFont="1" applyFill="1" applyBorder="1" applyAlignment="1" applyProtection="1"/>
    <xf numFmtId="4" fontId="3" fillId="0" borderId="15" xfId="0" applyNumberFormat="1" applyFont="1" applyFill="1" applyBorder="1" applyAlignment="1" applyProtection="1"/>
    <xf numFmtId="4" fontId="3" fillId="0" borderId="16" xfId="0" applyNumberFormat="1" applyFont="1" applyFill="1" applyBorder="1" applyAlignment="1" applyProtection="1"/>
    <xf numFmtId="4" fontId="3" fillId="0" borderId="17" xfId="0" applyNumberFormat="1" applyFont="1" applyFill="1" applyBorder="1" applyAlignment="1" applyProtection="1"/>
    <xf numFmtId="4" fontId="3" fillId="0" borderId="18" xfId="0" applyNumberFormat="1" applyFont="1" applyFill="1" applyBorder="1" applyAlignment="1" applyProtection="1">
      <alignment wrapText="1"/>
    </xf>
    <xf numFmtId="4" fontId="3" fillId="0" borderId="19" xfId="0" applyNumberFormat="1" applyFont="1" applyFill="1" applyBorder="1" applyAlignment="1" applyProtection="1">
      <alignment wrapText="1"/>
    </xf>
    <xf numFmtId="4" fontId="3" fillId="0" borderId="20" xfId="0" applyNumberFormat="1" applyFont="1" applyFill="1" applyBorder="1" applyAlignment="1" applyProtection="1">
      <alignment wrapText="1"/>
    </xf>
    <xf numFmtId="4" fontId="6" fillId="0" borderId="18" xfId="0" applyNumberFormat="1" applyFont="1" applyFill="1" applyBorder="1" applyAlignment="1" applyProtection="1">
      <alignment vertical="top" wrapText="1"/>
    </xf>
    <xf numFmtId="4" fontId="3" fillId="0" borderId="19" xfId="0" applyNumberFormat="1" applyFont="1" applyFill="1" applyBorder="1" applyAlignment="1" applyProtection="1">
      <alignment horizontal="center" vertical="center"/>
    </xf>
    <xf numFmtId="4" fontId="3" fillId="0" borderId="20" xfId="0" applyNumberFormat="1" applyFont="1" applyFill="1" applyBorder="1" applyAlignment="1" applyProtection="1">
      <alignment horizontal="center" vertical="center"/>
    </xf>
    <xf numFmtId="4" fontId="4" fillId="0" borderId="16" xfId="0" applyNumberFormat="1" applyFont="1" applyFill="1" applyBorder="1" applyAlignment="1" applyProtection="1">
      <alignment vertical="top" wrapText="1"/>
    </xf>
    <xf numFmtId="4" fontId="7" fillId="0" borderId="0" xfId="0" applyNumberFormat="1" applyFont="1" applyFill="1" applyBorder="1" applyAlignment="1" applyProtection="1">
      <alignment horizontal="center"/>
    </xf>
    <xf numFmtId="4" fontId="8" fillId="0" borderId="21" xfId="0" applyNumberFormat="1" applyFont="1" applyFill="1" applyBorder="1" applyAlignment="1" applyProtection="1">
      <alignment vertical="top" wrapText="1"/>
    </xf>
    <xf numFmtId="4" fontId="3" fillId="0" borderId="22" xfId="0" applyNumberFormat="1" applyFont="1" applyFill="1" applyBorder="1" applyAlignment="1" applyProtection="1"/>
    <xf numFmtId="4" fontId="3" fillId="0" borderId="23" xfId="0" applyNumberFormat="1" applyFont="1" applyFill="1" applyBorder="1" applyAlignment="1" applyProtection="1"/>
    <xf numFmtId="4" fontId="7" fillId="0" borderId="16" xfId="0" applyNumberFormat="1" applyFont="1" applyFill="1" applyBorder="1" applyAlignment="1" applyProtection="1">
      <alignment vertical="top" wrapText="1"/>
    </xf>
    <xf numFmtId="4" fontId="3" fillId="0" borderId="16" xfId="0" applyNumberFormat="1" applyFont="1" applyFill="1" applyBorder="1" applyAlignment="1" applyProtection="1">
      <alignment vertical="top" wrapText="1"/>
    </xf>
    <xf numFmtId="4" fontId="3" fillId="0" borderId="24" xfId="0" applyNumberFormat="1" applyFont="1" applyFill="1" applyBorder="1" applyAlignment="1" applyProtection="1">
      <alignment vertical="top"/>
    </xf>
    <xf numFmtId="4" fontId="3" fillId="0" borderId="3" xfId="0" applyNumberFormat="1" applyFont="1" applyFill="1" applyBorder="1" applyAlignment="1" applyProtection="1"/>
    <xf numFmtId="4" fontId="3" fillId="0" borderId="25" xfId="0" applyNumberFormat="1" applyFont="1" applyFill="1" applyBorder="1" applyAlignment="1" applyProtection="1"/>
    <xf numFmtId="4" fontId="3" fillId="0" borderId="17" xfId="0" applyNumberFormat="1" applyFont="1" applyFill="1" applyBorder="1" applyAlignment="1" applyProtection="1">
      <alignment wrapText="1"/>
    </xf>
    <xf numFmtId="4" fontId="4" fillId="0" borderId="26" xfId="0" applyNumberFormat="1" applyFont="1" applyFill="1" applyBorder="1" applyAlignment="1" applyProtection="1">
      <alignment vertical="top" wrapText="1"/>
    </xf>
    <xf numFmtId="4" fontId="7" fillId="0" borderId="27" xfId="0" applyNumberFormat="1" applyFont="1" applyFill="1" applyBorder="1" applyAlignment="1" applyProtection="1"/>
    <xf numFmtId="4" fontId="7"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xf numFmtId="4" fontId="16" fillId="0" borderId="0" xfId="0" applyNumberFormat="1" applyFont="1" applyFill="1" applyBorder="1" applyAlignment="1" applyProtection="1">
      <alignment horizontal="left"/>
    </xf>
    <xf numFmtId="4" fontId="9" fillId="0" borderId="0" xfId="0" applyNumberFormat="1" applyFont="1" applyFill="1" applyBorder="1" applyAlignment="1" applyProtection="1">
      <alignment horizontal="left"/>
    </xf>
    <xf numFmtId="3" fontId="6" fillId="0" borderId="1" xfId="0" applyNumberFormat="1" applyFont="1" applyFill="1" applyBorder="1" applyAlignment="1" applyProtection="1">
      <alignment horizontal="right" vertical="center" wrapText="1"/>
    </xf>
    <xf numFmtId="3" fontId="6" fillId="2" borderId="10" xfId="0" applyNumberFormat="1" applyFont="1" applyFill="1" applyBorder="1" applyAlignment="1" applyProtection="1">
      <alignment horizontal="right" vertical="center" wrapText="1"/>
    </xf>
    <xf numFmtId="4" fontId="3" fillId="0" borderId="0" xfId="0" applyNumberFormat="1" applyFont="1" applyFill="1" applyBorder="1" applyAlignment="1" applyProtection="1">
      <alignment wrapText="1"/>
    </xf>
    <xf numFmtId="4" fontId="24" fillId="0" borderId="0" xfId="0" applyNumberFormat="1" applyFont="1" applyFill="1" applyBorder="1" applyAlignment="1" applyProtection="1"/>
    <xf numFmtId="4" fontId="28" fillId="0" borderId="0" xfId="0" applyNumberFormat="1" applyFont="1" applyFill="1" applyBorder="1" applyAlignment="1" applyProtection="1">
      <alignment vertical="top" wrapText="1"/>
    </xf>
    <xf numFmtId="4" fontId="20" fillId="0" borderId="0" xfId="1" applyNumberFormat="1" applyFont="1" applyFill="1" applyBorder="1" applyAlignment="1" applyProtection="1">
      <alignment wrapText="1"/>
    </xf>
    <xf numFmtId="4" fontId="0" fillId="0" borderId="0" xfId="0" applyNumberFormat="1"/>
    <xf numFmtId="4" fontId="20" fillId="0" borderId="58" xfId="1" applyNumberFormat="1" applyFont="1" applyFill="1" applyBorder="1" applyAlignment="1" applyProtection="1">
      <alignment wrapText="1"/>
    </xf>
    <xf numFmtId="4" fontId="25" fillId="6" borderId="68" xfId="0" applyNumberFormat="1" applyFont="1" applyFill="1" applyBorder="1" applyAlignment="1" applyProtection="1">
      <alignment horizontal="center" vertical="top" wrapText="1"/>
    </xf>
    <xf numFmtId="0" fontId="22" fillId="4" borderId="59" xfId="1" applyFont="1" applyBorder="1"/>
    <xf numFmtId="4" fontId="20" fillId="4" borderId="69" xfId="1" applyNumberFormat="1" applyFont="1" applyBorder="1" applyAlignment="1" applyProtection="1">
      <alignment wrapText="1"/>
    </xf>
    <xf numFmtId="4" fontId="20" fillId="0" borderId="72" xfId="1" applyNumberFormat="1" applyFont="1" applyFill="1" applyBorder="1" applyAlignment="1" applyProtection="1">
      <alignment wrapText="1"/>
    </xf>
    <xf numFmtId="4" fontId="20" fillId="0" borderId="22" xfId="1" applyNumberFormat="1" applyFont="1" applyFill="1" applyBorder="1" applyAlignment="1" applyProtection="1">
      <alignment wrapText="1"/>
    </xf>
    <xf numFmtId="3" fontId="23" fillId="5" borderId="67" xfId="2" applyNumberFormat="1" applyFont="1" applyBorder="1" applyAlignment="1">
      <alignment horizontal="right"/>
    </xf>
    <xf numFmtId="3" fontId="23" fillId="5" borderId="34" xfId="2" applyNumberFormat="1" applyFont="1" applyBorder="1" applyAlignment="1">
      <alignment horizontal="right"/>
    </xf>
    <xf numFmtId="4" fontId="24" fillId="6" borderId="53" xfId="0" applyNumberFormat="1" applyFont="1" applyFill="1" applyBorder="1" applyAlignment="1" applyProtection="1">
      <alignment horizontal="right"/>
    </xf>
    <xf numFmtId="3" fontId="24" fillId="6" borderId="34" xfId="0" applyNumberFormat="1" applyFont="1" applyFill="1" applyBorder="1" applyAlignment="1" applyProtection="1">
      <alignment horizontal="right"/>
    </xf>
    <xf numFmtId="4" fontId="24" fillId="6" borderId="60" xfId="0" applyNumberFormat="1" applyFont="1" applyFill="1" applyBorder="1" applyAlignment="1" applyProtection="1">
      <alignment horizontal="right"/>
    </xf>
    <xf numFmtId="3" fontId="23" fillId="5" borderId="35" xfId="2" applyNumberFormat="1" applyFont="1" applyBorder="1" applyAlignment="1">
      <alignment horizontal="right"/>
    </xf>
    <xf numFmtId="4" fontId="24" fillId="6" borderId="54" xfId="0" applyNumberFormat="1" applyFont="1" applyFill="1" applyBorder="1" applyAlignment="1" applyProtection="1">
      <alignment horizontal="right"/>
    </xf>
    <xf numFmtId="3" fontId="24" fillId="6" borderId="35" xfId="0" applyNumberFormat="1" applyFont="1" applyFill="1" applyBorder="1" applyAlignment="1" applyProtection="1">
      <alignment horizontal="right"/>
    </xf>
    <xf numFmtId="4" fontId="24" fillId="6" borderId="61" xfId="0" applyNumberFormat="1" applyFont="1" applyFill="1" applyBorder="1" applyAlignment="1" applyProtection="1">
      <alignment horizontal="right"/>
    </xf>
    <xf numFmtId="3" fontId="23" fillId="5" borderId="0" xfId="2" applyNumberFormat="1" applyFont="1" applyBorder="1" applyAlignment="1">
      <alignment horizontal="right"/>
    </xf>
    <xf numFmtId="4" fontId="24" fillId="6" borderId="55" xfId="0" applyNumberFormat="1" applyFont="1" applyFill="1" applyBorder="1" applyAlignment="1" applyProtection="1">
      <alignment horizontal="right"/>
    </xf>
    <xf numFmtId="3" fontId="24" fillId="6" borderId="0" xfId="0" applyNumberFormat="1" applyFont="1" applyFill="1" applyBorder="1" applyAlignment="1" applyProtection="1">
      <alignment horizontal="right"/>
    </xf>
    <xf numFmtId="4" fontId="24" fillId="6" borderId="62" xfId="0" applyNumberFormat="1" applyFont="1" applyFill="1" applyBorder="1" applyAlignment="1" applyProtection="1">
      <alignment horizontal="right"/>
    </xf>
    <xf numFmtId="3" fontId="23" fillId="5" borderId="32" xfId="2" applyNumberFormat="1" applyFont="1" applyBorder="1" applyAlignment="1">
      <alignment horizontal="right"/>
    </xf>
    <xf numFmtId="4" fontId="24" fillId="6" borderId="56" xfId="0" applyNumberFormat="1" applyFont="1" applyFill="1" applyBorder="1" applyAlignment="1" applyProtection="1">
      <alignment horizontal="right"/>
    </xf>
    <xf numFmtId="3" fontId="24" fillId="6" borderId="32" xfId="0" applyNumberFormat="1" applyFont="1" applyFill="1" applyBorder="1" applyAlignment="1" applyProtection="1">
      <alignment horizontal="right"/>
    </xf>
    <xf numFmtId="4" fontId="24" fillId="6" borderId="63" xfId="0" applyNumberFormat="1" applyFont="1" applyFill="1" applyBorder="1" applyAlignment="1" applyProtection="1">
      <alignment horizontal="right"/>
    </xf>
    <xf numFmtId="4" fontId="20" fillId="0" borderId="22" xfId="1" applyNumberFormat="1" applyFont="1" applyFill="1" applyBorder="1" applyAlignment="1" applyProtection="1">
      <alignment wrapText="1"/>
    </xf>
    <xf numFmtId="4" fontId="20" fillId="0" borderId="0" xfId="1" applyNumberFormat="1" applyFont="1" applyFill="1" applyBorder="1" applyAlignment="1" applyProtection="1">
      <alignment wrapText="1"/>
    </xf>
    <xf numFmtId="4" fontId="3" fillId="0" borderId="0" xfId="0" applyNumberFormat="1" applyFont="1" applyFill="1" applyBorder="1" applyAlignment="1" applyProtection="1">
      <alignment wrapText="1"/>
    </xf>
    <xf numFmtId="4" fontId="3" fillId="0" borderId="79" xfId="0" applyNumberFormat="1" applyFont="1" applyFill="1" applyBorder="1" applyAlignment="1" applyProtection="1"/>
    <xf numFmtId="0" fontId="23" fillId="4" borderId="64" xfId="1" applyFont="1" applyBorder="1"/>
    <xf numFmtId="0" fontId="23" fillId="4" borderId="66" xfId="1" applyFont="1" applyBorder="1" applyAlignment="1">
      <alignment horizontal="center"/>
    </xf>
    <xf numFmtId="0" fontId="23" fillId="4" borderId="51" xfId="1" applyFont="1" applyBorder="1" applyAlignment="1">
      <alignment horizontal="center"/>
    </xf>
    <xf numFmtId="0" fontId="23" fillId="4" borderId="52" xfId="1" applyFont="1" applyBorder="1" applyAlignment="1">
      <alignment horizontal="center"/>
    </xf>
    <xf numFmtId="0" fontId="23" fillId="4" borderId="31" xfId="1" applyFont="1" applyBorder="1" applyAlignment="1">
      <alignment horizontal="center"/>
    </xf>
    <xf numFmtId="0" fontId="23" fillId="4" borderId="64" xfId="1" applyFont="1" applyBorder="1" applyAlignment="1">
      <alignment wrapText="1"/>
    </xf>
    <xf numFmtId="0" fontId="23" fillId="4" borderId="65" xfId="1" applyFont="1" applyBorder="1"/>
    <xf numFmtId="4" fontId="30" fillId="0" borderId="0" xfId="0" applyNumberFormat="1" applyFont="1"/>
    <xf numFmtId="4" fontId="26" fillId="6" borderId="33" xfId="0" applyNumberFormat="1" applyFont="1" applyFill="1" applyBorder="1" applyAlignment="1" applyProtection="1">
      <alignment horizontal="center"/>
    </xf>
    <xf numFmtId="4" fontId="29" fillId="4" borderId="43" xfId="1" applyNumberFormat="1" applyFont="1" applyBorder="1" applyAlignment="1" applyProtection="1">
      <alignment horizontal="center" wrapText="1"/>
    </xf>
    <xf numFmtId="4" fontId="3" fillId="0" borderId="0" xfId="0" applyNumberFormat="1" applyFont="1" applyFill="1" applyBorder="1" applyAlignment="1" applyProtection="1">
      <alignment wrapText="1"/>
    </xf>
    <xf numFmtId="4" fontId="29" fillId="4" borderId="44" xfId="1" applyNumberFormat="1" applyFont="1" applyBorder="1" applyAlignment="1" applyProtection="1">
      <alignment horizontal="center" wrapText="1"/>
    </xf>
    <xf numFmtId="4" fontId="29" fillId="4" borderId="45" xfId="1" applyNumberFormat="1" applyFont="1" applyBorder="1" applyAlignment="1" applyProtection="1">
      <alignment horizontal="center" wrapText="1"/>
    </xf>
    <xf numFmtId="4" fontId="29" fillId="4" borderId="44" xfId="1" applyNumberFormat="1" applyFont="1" applyBorder="1" applyAlignment="1" applyProtection="1">
      <alignment horizontal="right" wrapText="1"/>
    </xf>
    <xf numFmtId="4" fontId="29" fillId="4" borderId="44" xfId="1" applyNumberFormat="1" applyFont="1" applyBorder="1" applyAlignment="1" applyProtection="1">
      <alignment horizontal="left" wrapText="1"/>
    </xf>
    <xf numFmtId="0" fontId="30" fillId="0" borderId="0" xfId="0" applyFont="1" applyAlignment="1"/>
    <xf numFmtId="0" fontId="0" fillId="0" borderId="0" xfId="0" applyAlignment="1"/>
    <xf numFmtId="4" fontId="31" fillId="2" borderId="0" xfId="0" applyNumberFormat="1" applyFont="1" applyFill="1" applyBorder="1" applyAlignment="1" applyProtection="1">
      <alignment horizontal="left" vertical="top" wrapText="1"/>
    </xf>
    <xf numFmtId="0" fontId="30" fillId="0" borderId="0" xfId="0" applyFont="1"/>
    <xf numFmtId="4" fontId="26" fillId="6" borderId="82" xfId="0" applyNumberFormat="1" applyFont="1" applyFill="1" applyBorder="1" applyAlignment="1" applyProtection="1">
      <alignment horizontal="center"/>
    </xf>
    <xf numFmtId="4" fontId="26" fillId="6" borderId="57"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vertical="top" wrapText="1"/>
    </xf>
    <xf numFmtId="4" fontId="25" fillId="6" borderId="82" xfId="0" applyNumberFormat="1" applyFont="1" applyFill="1" applyBorder="1" applyAlignment="1" applyProtection="1">
      <alignment horizontal="center" vertical="top" wrapText="1"/>
    </xf>
    <xf numFmtId="4" fontId="23" fillId="4" borderId="64" xfId="1" applyNumberFormat="1" applyFont="1" applyBorder="1"/>
    <xf numFmtId="0" fontId="22" fillId="4" borderId="64" xfId="1" applyFont="1" applyBorder="1"/>
    <xf numFmtId="4" fontId="22" fillId="4" borderId="64" xfId="1" applyNumberFormat="1" applyFont="1" applyBorder="1"/>
    <xf numFmtId="0" fontId="22" fillId="4" borderId="64" xfId="1" applyFont="1" applyBorder="1" applyAlignment="1">
      <alignment wrapText="1"/>
    </xf>
    <xf numFmtId="0" fontId="22" fillId="4" borderId="65"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9" fontId="0" fillId="0" borderId="0" xfId="0" applyNumberFormat="1"/>
    <xf numFmtId="49" fontId="30" fillId="0" borderId="0" xfId="0" applyNumberFormat="1" applyFont="1" applyAlignment="1">
      <alignment wrapText="1"/>
    </xf>
    <xf numFmtId="0" fontId="32" fillId="4" borderId="64" xfId="1" applyFont="1" applyBorder="1"/>
    <xf numFmtId="4" fontId="27" fillId="6" borderId="80" xfId="0" applyNumberFormat="1" applyFont="1" applyFill="1" applyBorder="1" applyAlignment="1" applyProtection="1"/>
    <xf numFmtId="4" fontId="27" fillId="6" borderId="42" xfId="0" applyNumberFormat="1" applyFont="1" applyFill="1" applyBorder="1" applyAlignment="1" applyProtection="1"/>
    <xf numFmtId="4" fontId="27" fillId="6" borderId="36" xfId="0" applyNumberFormat="1" applyFont="1" applyFill="1" applyBorder="1" applyAlignment="1" applyProtection="1"/>
    <xf numFmtId="4" fontId="27" fillId="6" borderId="37" xfId="0" applyNumberFormat="1" applyFont="1" applyFill="1" applyBorder="1" applyAlignment="1" applyProtection="1"/>
    <xf numFmtId="4" fontId="27" fillId="6" borderId="40" xfId="0" applyNumberFormat="1" applyFont="1" applyFill="1" applyBorder="1" applyAlignment="1" applyProtection="1"/>
    <xf numFmtId="0" fontId="34" fillId="4" borderId="64" xfId="1" applyFont="1" applyBorder="1"/>
    <xf numFmtId="4" fontId="27" fillId="6" borderId="35" xfId="0" applyNumberFormat="1" applyFont="1" applyFill="1" applyBorder="1" applyAlignment="1" applyProtection="1"/>
    <xf numFmtId="4" fontId="27" fillId="6" borderId="49" xfId="0" applyNumberFormat="1" applyFont="1" applyFill="1" applyBorder="1" applyAlignment="1" applyProtection="1"/>
    <xf numFmtId="4" fontId="27" fillId="6" borderId="50" xfId="0" applyNumberFormat="1" applyFont="1" applyFill="1" applyBorder="1" applyAlignment="1" applyProtection="1"/>
    <xf numFmtId="4" fontId="33" fillId="6" borderId="41" xfId="0" applyNumberFormat="1" applyFont="1" applyFill="1" applyBorder="1" applyAlignment="1" applyProtection="1"/>
    <xf numFmtId="4" fontId="27" fillId="6" borderId="81" xfId="0" applyNumberFormat="1" applyFont="1" applyFill="1" applyBorder="1" applyAlignment="1" applyProtection="1"/>
    <xf numFmtId="4" fontId="27" fillId="6" borderId="29" xfId="0" applyNumberFormat="1" applyFont="1" applyFill="1" applyBorder="1" applyAlignment="1" applyProtection="1"/>
    <xf numFmtId="4" fontId="27" fillId="6" borderId="75" xfId="0" applyNumberFormat="1" applyFont="1" applyFill="1" applyBorder="1" applyAlignment="1" applyProtection="1"/>
    <xf numFmtId="4" fontId="27" fillId="6" borderId="76" xfId="0" applyNumberFormat="1" applyFont="1" applyFill="1" applyBorder="1" applyAlignment="1" applyProtection="1"/>
    <xf numFmtId="4" fontId="27" fillId="6" borderId="38" xfId="0" applyNumberFormat="1" applyFont="1" applyFill="1" applyBorder="1" applyAlignment="1" applyProtection="1"/>
    <xf numFmtId="4" fontId="35" fillId="4" borderId="69" xfId="1" applyNumberFormat="1" applyFont="1" applyBorder="1" applyAlignment="1" applyProtection="1">
      <alignment wrapText="1"/>
    </xf>
    <xf numFmtId="4" fontId="5" fillId="0" borderId="0" xfId="0" applyNumberFormat="1" applyFont="1" applyFill="1" applyBorder="1" applyAlignment="1" applyProtection="1">
      <alignment vertical="top" wrapText="1"/>
    </xf>
    <xf numFmtId="4" fontId="3" fillId="2" borderId="0" xfId="0" applyNumberFormat="1" applyFont="1" applyFill="1" applyBorder="1" applyAlignment="1" applyProtection="1">
      <alignment vertical="top" wrapText="1"/>
    </xf>
    <xf numFmtId="4" fontId="6" fillId="2" borderId="0" xfId="0" applyNumberFormat="1" applyFont="1" applyFill="1" applyBorder="1" applyAlignment="1" applyProtection="1">
      <alignment horizontal="left" vertical="top" wrapText="1"/>
    </xf>
    <xf numFmtId="4" fontId="18" fillId="0" borderId="46" xfId="0" applyNumberFormat="1" applyFont="1" applyFill="1" applyBorder="1" applyAlignment="1" applyProtection="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4" fontId="35" fillId="4" borderId="32" xfId="1" applyNumberFormat="1" applyFont="1" applyBorder="1" applyAlignment="1" applyProtection="1">
      <alignment horizontal="center" wrapText="1"/>
    </xf>
    <xf numFmtId="0" fontId="36" fillId="0" borderId="70" xfId="0" applyFont="1" applyBorder="1" applyAlignment="1">
      <alignment horizontal="center" wrapText="1"/>
    </xf>
    <xf numFmtId="4" fontId="20" fillId="0" borderId="22" xfId="1" applyNumberFormat="1" applyFont="1" applyFill="1" applyBorder="1" applyAlignment="1" applyProtection="1">
      <alignment wrapText="1"/>
    </xf>
    <xf numFmtId="0" fontId="21" fillId="0" borderId="22" xfId="0" applyFont="1" applyFill="1" applyBorder="1" applyAlignment="1"/>
    <xf numFmtId="0" fontId="21" fillId="0" borderId="73" xfId="0" applyFont="1" applyFill="1" applyBorder="1" applyAlignment="1"/>
    <xf numFmtId="4" fontId="20" fillId="0" borderId="0" xfId="1" applyNumberFormat="1" applyFont="1" applyFill="1" applyBorder="1" applyAlignment="1" applyProtection="1">
      <alignment wrapText="1"/>
    </xf>
    <xf numFmtId="0" fontId="21" fillId="0" borderId="0" xfId="0" applyFont="1" applyFill="1" applyBorder="1" applyAlignment="1"/>
    <xf numFmtId="0" fontId="21" fillId="0" borderId="30" xfId="0" applyFont="1" applyFill="1" applyBorder="1" applyAlignment="1"/>
    <xf numFmtId="0" fontId="36" fillId="0" borderId="71" xfId="0" applyFont="1" applyBorder="1" applyAlignment="1">
      <alignment horizontal="center" wrapText="1"/>
    </xf>
    <xf numFmtId="4" fontId="20" fillId="4" borderId="32" xfId="1" applyNumberFormat="1" applyFont="1" applyBorder="1" applyAlignment="1" applyProtection="1">
      <alignment horizontal="center" wrapText="1"/>
    </xf>
    <xf numFmtId="0" fontId="21" fillId="0" borderId="70" xfId="0" applyFont="1" applyBorder="1" applyAlignment="1">
      <alignment horizontal="center" wrapText="1"/>
    </xf>
    <xf numFmtId="0" fontId="21" fillId="0" borderId="71" xfId="0" applyFont="1" applyBorder="1" applyAlignment="1">
      <alignment horizontal="center" wrapText="1"/>
    </xf>
    <xf numFmtId="4" fontId="20"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7" fillId="6" borderId="80" xfId="0" applyNumberFormat="1" applyFont="1" applyFill="1" applyBorder="1" applyAlignment="1" applyProtection="1"/>
    <xf numFmtId="0" fontId="27" fillId="0" borderId="41" xfId="0" applyFont="1" applyBorder="1" applyAlignment="1"/>
    <xf numFmtId="4" fontId="27" fillId="6" borderId="29" xfId="0" applyNumberFormat="1" applyFont="1" applyFill="1" applyBorder="1" applyAlignment="1" applyProtection="1"/>
    <xf numFmtId="0" fontId="27" fillId="0" borderId="37" xfId="0" applyFont="1" applyBorder="1" applyAlignment="1"/>
    <xf numFmtId="4" fontId="27" fillId="6" borderId="36" xfId="0" applyNumberFormat="1" applyFont="1" applyFill="1" applyBorder="1" applyAlignment="1" applyProtection="1"/>
    <xf numFmtId="0" fontId="27" fillId="0" borderId="29" xfId="0" applyFont="1" applyBorder="1" applyAlignment="1"/>
    <xf numFmtId="4" fontId="27" fillId="6" borderId="38" xfId="0" applyNumberFormat="1" applyFont="1" applyFill="1" applyBorder="1" applyAlignment="1" applyProtection="1"/>
    <xf numFmtId="0" fontId="27" fillId="0" borderId="39" xfId="0" applyFont="1" applyBorder="1" applyAlignment="1"/>
    <xf numFmtId="4" fontId="29" fillId="4" borderId="43" xfId="1" applyNumberFormat="1" applyFont="1" applyBorder="1" applyAlignment="1" applyProtection="1">
      <alignment horizontal="center" wrapText="1"/>
    </xf>
    <xf numFmtId="0" fontId="27" fillId="0" borderId="44" xfId="0" applyFont="1" applyBorder="1" applyAlignment="1">
      <alignment horizontal="center"/>
    </xf>
    <xf numFmtId="0" fontId="27" fillId="0" borderId="44" xfId="0" applyFont="1" applyBorder="1" applyAlignment="1"/>
    <xf numFmtId="0" fontId="0" fillId="0" borderId="44" xfId="0" applyBorder="1" applyAlignment="1"/>
    <xf numFmtId="0" fontId="0" fillId="0" borderId="45" xfId="0" applyBorder="1" applyAlignment="1"/>
    <xf numFmtId="4" fontId="27" fillId="6" borderId="75" xfId="0" applyNumberFormat="1" applyFont="1" applyFill="1" applyBorder="1" applyAlignment="1" applyProtection="1"/>
    <xf numFmtId="0" fontId="30" fillId="0" borderId="76" xfId="0" applyFont="1" applyBorder="1" applyAlignment="1"/>
    <xf numFmtId="0" fontId="30" fillId="0" borderId="74" xfId="0" applyFont="1" applyBorder="1" applyAlignment="1"/>
    <xf numFmtId="4" fontId="33" fillId="6" borderId="41" xfId="0" applyNumberFormat="1" applyFont="1" applyFill="1" applyBorder="1" applyAlignment="1" applyProtection="1"/>
    <xf numFmtId="0" fontId="27" fillId="0" borderId="42" xfId="0" applyFont="1" applyBorder="1" applyAlignment="1"/>
    <xf numFmtId="4" fontId="14" fillId="0" borderId="0" xfId="0" applyNumberFormat="1" applyFont="1" applyFill="1" applyBorder="1" applyAlignment="1" applyProtection="1">
      <alignment wrapText="1"/>
    </xf>
    <xf numFmtId="4" fontId="10" fillId="0" borderId="0" xfId="0" applyNumberFormat="1" applyFont="1" applyFill="1" applyBorder="1" applyAlignment="1" applyProtection="1">
      <alignment wrapText="1"/>
      <protection hidden="1"/>
    </xf>
    <xf numFmtId="4" fontId="7" fillId="0" borderId="0" xfId="0" applyNumberFormat="1" applyFont="1" applyFill="1" applyBorder="1" applyAlignment="1" applyProtection="1">
      <alignment vertical="center" wrapText="1"/>
    </xf>
    <xf numFmtId="4" fontId="7" fillId="0" borderId="13" xfId="0" applyNumberFormat="1" applyFont="1" applyFill="1" applyBorder="1" applyAlignment="1" applyProtection="1">
      <alignment vertical="top" wrapText="1"/>
    </xf>
    <xf numFmtId="4" fontId="7" fillId="0" borderId="14" xfId="0" applyNumberFormat="1" applyFont="1" applyFill="1" applyBorder="1" applyAlignment="1" applyProtection="1">
      <alignment vertical="top" wrapText="1"/>
    </xf>
    <xf numFmtId="4" fontId="9" fillId="0" borderId="0" xfId="0" applyNumberFormat="1" applyFont="1" applyFill="1" applyBorder="1" applyAlignment="1" applyProtection="1">
      <alignment horizontal="left" wrapText="1"/>
    </xf>
    <xf numFmtId="4" fontId="3"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Kalamazoo 2017</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N=788</c:v>
                </c:pt>
                <c:pt idx="7">
                  <c:v>Population, total N=22235</c:v>
                </c:pt>
              </c:strCache>
            </c:strRef>
          </c:cat>
          <c:val>
            <c:numRef>
              <c:f>'Stacked 100%'!$B$7:$B$14</c:f>
              <c:numCache>
                <c:formatCode>0%</c:formatCode>
                <c:ptCount val="8"/>
                <c:pt idx="0">
                  <c:v>0</c:v>
                </c:pt>
                <c:pt idx="1">
                  <c:v>0</c:v>
                </c:pt>
                <c:pt idx="2">
                  <c:v>0</c:v>
                </c:pt>
                <c:pt idx="3">
                  <c:v>0</c:v>
                </c:pt>
                <c:pt idx="4">
                  <c:v>0</c:v>
                </c:pt>
                <c:pt idx="5">
                  <c:v>0</c:v>
                </c:pt>
                <c:pt idx="6">
                  <c:v>0.64213197969543145</c:v>
                </c:pt>
                <c:pt idx="7">
                  <c:v>0.17841241286260401</c:v>
                </c:pt>
              </c:numCache>
            </c:numRef>
          </c:val>
        </c:ser>
        <c:ser>
          <c:idx val="1"/>
          <c:order val="1"/>
          <c:tx>
            <c:strRef>
              <c:f>'Stacked 100%'!$C$6</c:f>
              <c:strCache>
                <c:ptCount val="1"/>
                <c:pt idx="0">
                  <c:v>Hispanic or Latino</c:v>
                </c:pt>
              </c:strCache>
            </c:strRef>
          </c:tx>
          <c:spPr>
            <a:solidFill>
              <a:srgbClr val="F05193"/>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N=788</c:v>
                </c:pt>
                <c:pt idx="7">
                  <c:v>Population, total N=22235</c:v>
                </c:pt>
              </c:strCache>
            </c:strRef>
          </c:cat>
          <c:val>
            <c:numRef>
              <c:f>'Stacked 100%'!$C$7:$C$14</c:f>
              <c:numCache>
                <c:formatCode>0%</c:formatCode>
                <c:ptCount val="8"/>
                <c:pt idx="0">
                  <c:v>0</c:v>
                </c:pt>
                <c:pt idx="1">
                  <c:v>0</c:v>
                </c:pt>
                <c:pt idx="2">
                  <c:v>0</c:v>
                </c:pt>
                <c:pt idx="3">
                  <c:v>0</c:v>
                </c:pt>
                <c:pt idx="4">
                  <c:v>0</c:v>
                </c:pt>
                <c:pt idx="5">
                  <c:v>0</c:v>
                </c:pt>
                <c:pt idx="6">
                  <c:v>2.9187817258883249E-2</c:v>
                </c:pt>
                <c:pt idx="7">
                  <c:v>7.6276141218799193E-2</c:v>
                </c:pt>
              </c:numCache>
            </c:numRef>
          </c:val>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N=788</c:v>
                </c:pt>
                <c:pt idx="7">
                  <c:v>Population, total N=22235</c:v>
                </c:pt>
              </c:strCache>
            </c:strRef>
          </c:cat>
          <c:val>
            <c:numRef>
              <c:f>'Stacked 100%'!$H$7:$H$14</c:f>
              <c:numCache>
                <c:formatCode>0%</c:formatCode>
                <c:ptCount val="8"/>
                <c:pt idx="0">
                  <c:v>0</c:v>
                </c:pt>
                <c:pt idx="1">
                  <c:v>0</c:v>
                </c:pt>
                <c:pt idx="2">
                  <c:v>0</c:v>
                </c:pt>
                <c:pt idx="3">
                  <c:v>0</c:v>
                </c:pt>
                <c:pt idx="4">
                  <c:v>0</c:v>
                </c:pt>
                <c:pt idx="5">
                  <c:v>0</c:v>
                </c:pt>
                <c:pt idx="6">
                  <c:v>4.831353552011131E-6</c:v>
                </c:pt>
                <c:pt idx="7">
                  <c:v>1.660614744003646E-6</c:v>
                </c:pt>
              </c:numCache>
            </c:numRef>
          </c:val>
        </c:ser>
        <c:ser>
          <c:idx val="3"/>
          <c:order val="3"/>
          <c:tx>
            <c:strRef>
              <c:f>'Stacked 100%'!$I$6</c:f>
              <c:strCache>
                <c:ptCount val="1"/>
                <c:pt idx="0">
                  <c:v>White</c:v>
                </c:pt>
              </c:strCache>
            </c:strRef>
          </c:tx>
          <c:spPr>
            <a:solidFill>
              <a:srgbClr val="A6C9F7"/>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N=788</c:v>
                </c:pt>
                <c:pt idx="7">
                  <c:v>Population, total N=22235</c:v>
                </c:pt>
              </c:strCache>
            </c:strRef>
          </c:cat>
          <c:val>
            <c:numRef>
              <c:f>'Stacked 100%'!$I$7:$I$14</c:f>
              <c:numCache>
                <c:formatCode>0%</c:formatCode>
                <c:ptCount val="8"/>
                <c:pt idx="0">
                  <c:v>0</c:v>
                </c:pt>
                <c:pt idx="1">
                  <c:v>0</c:v>
                </c:pt>
                <c:pt idx="2">
                  <c:v>0</c:v>
                </c:pt>
                <c:pt idx="3">
                  <c:v>0</c:v>
                </c:pt>
                <c:pt idx="4">
                  <c:v>0</c:v>
                </c:pt>
                <c:pt idx="5">
                  <c:v>0</c:v>
                </c:pt>
                <c:pt idx="6">
                  <c:v>0.26269035532994922</c:v>
                </c:pt>
                <c:pt idx="7">
                  <c:v>0.70838767708567574</c:v>
                </c:pt>
              </c:numCache>
            </c:numRef>
          </c:val>
        </c:ser>
        <c:dLbls>
          <c:showLegendKey val="0"/>
          <c:showVal val="0"/>
          <c:showCatName val="0"/>
          <c:showSerName val="0"/>
          <c:showPercent val="0"/>
          <c:showBubbleSize val="0"/>
        </c:dLbls>
        <c:gapWidth val="150"/>
        <c:overlap val="100"/>
        <c:axId val="150745472"/>
        <c:axId val="150747008"/>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N=788</c:v>
                </c:pt>
                <c:pt idx="7">
                  <c:v>Population, total N=22235</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150957440"/>
        <c:axId val="150955136"/>
      </c:barChart>
      <c:catAx>
        <c:axId val="15074547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50747008"/>
        <c:crosses val="autoZero"/>
        <c:auto val="1"/>
        <c:lblAlgn val="ctr"/>
        <c:lblOffset val="100"/>
        <c:noMultiLvlLbl val="0"/>
      </c:catAx>
      <c:valAx>
        <c:axId val="150747008"/>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50745472"/>
        <c:crosses val="autoZero"/>
        <c:crossBetween val="between"/>
      </c:valAx>
      <c:valAx>
        <c:axId val="150955136"/>
        <c:scaling>
          <c:orientation val="minMax"/>
        </c:scaling>
        <c:delete val="1"/>
        <c:axPos val="t"/>
        <c:numFmt formatCode="0%" sourceLinked="1"/>
        <c:majorTickMark val="out"/>
        <c:minorTickMark val="none"/>
        <c:tickLblPos val="nextTo"/>
        <c:crossAx val="150957440"/>
        <c:crosses val="max"/>
        <c:crossBetween val="between"/>
      </c:valAx>
      <c:catAx>
        <c:axId val="150957440"/>
        <c:scaling>
          <c:orientation val="minMax"/>
        </c:scaling>
        <c:delete val="1"/>
        <c:axPos val="l"/>
        <c:majorTickMark val="out"/>
        <c:minorTickMark val="none"/>
        <c:tickLblPos val="nextTo"/>
        <c:crossAx val="150955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2"/>
  <sheetViews>
    <sheetView zoomScaleNormal="100" workbookViewId="0">
      <selection activeCell="K7" sqref="K7:K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136</v>
      </c>
      <c r="B3" s="4"/>
      <c r="C3" s="5" t="s">
        <v>107</v>
      </c>
      <c r="D3" s="6"/>
      <c r="E3" s="6"/>
      <c r="F3" s="6"/>
      <c r="G3" s="7"/>
      <c r="H3" s="7"/>
    </row>
    <row r="4" spans="1:11" ht="15" customHeight="1" x14ac:dyDescent="0.25">
      <c r="A4" s="4"/>
      <c r="B4" s="4"/>
      <c r="C4" s="178" t="s">
        <v>138</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137</v>
      </c>
      <c r="B6" s="11">
        <f t="shared" ref="B6:B12" si="0">SUM(C6:I6)+K6</f>
        <v>22235</v>
      </c>
      <c r="C6" s="11">
        <v>15751</v>
      </c>
      <c r="D6" s="11">
        <v>3967</v>
      </c>
      <c r="E6" s="11">
        <v>1696</v>
      </c>
      <c r="F6" s="11">
        <v>702</v>
      </c>
      <c r="G6" s="11"/>
      <c r="H6" s="11">
        <v>119</v>
      </c>
      <c r="I6" s="11"/>
      <c r="J6" s="91">
        <f t="shared" ref="J6:J12" si="1">SUM(D6:I6)</f>
        <v>6484</v>
      </c>
      <c r="K6" s="92"/>
    </row>
    <row r="7" spans="1:11" ht="15.75" customHeight="1" thickBot="1" x14ac:dyDescent="0.25">
      <c r="A7" s="10" t="s">
        <v>8</v>
      </c>
      <c r="B7" s="11">
        <f t="shared" si="0"/>
        <v>788</v>
      </c>
      <c r="C7" s="11">
        <v>207</v>
      </c>
      <c r="D7" s="11">
        <v>506</v>
      </c>
      <c r="E7" s="11">
        <v>23</v>
      </c>
      <c r="F7" s="11">
        <v>2</v>
      </c>
      <c r="G7" s="11"/>
      <c r="H7" s="11">
        <v>1</v>
      </c>
      <c r="I7" s="11"/>
      <c r="J7" s="91">
        <f t="shared" si="1"/>
        <v>532</v>
      </c>
      <c r="K7" s="92">
        <v>49</v>
      </c>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ref="B13:B15" si="2">SUM(C13:I13)+K13</f>
        <v>0</v>
      </c>
      <c r="C13" s="11"/>
      <c r="D13" s="11"/>
      <c r="E13" s="11"/>
      <c r="F13" s="11"/>
      <c r="G13" s="11"/>
      <c r="H13" s="11"/>
      <c r="I13" s="11"/>
      <c r="J13" s="91">
        <f t="shared" ref="J13:J15" si="3">SUM(D13:I13)</f>
        <v>0</v>
      </c>
      <c r="K13" s="92"/>
    </row>
    <row r="14" spans="1:11" ht="26.25" customHeight="1" thickBot="1" x14ac:dyDescent="0.25">
      <c r="A14" s="10" t="s">
        <v>123</v>
      </c>
      <c r="B14" s="11">
        <f t="shared" si="2"/>
        <v>0</v>
      </c>
      <c r="C14" s="11"/>
      <c r="D14" s="11"/>
      <c r="E14" s="11"/>
      <c r="F14" s="11"/>
      <c r="G14" s="11"/>
      <c r="H14" s="11"/>
      <c r="I14" s="11"/>
      <c r="J14" s="91">
        <f t="shared" si="3"/>
        <v>0</v>
      </c>
      <c r="K14" s="92"/>
    </row>
    <row r="15" spans="1:11" ht="15.75" customHeight="1" thickBot="1" x14ac:dyDescent="0.25">
      <c r="A15" s="10" t="s">
        <v>16</v>
      </c>
      <c r="B15" s="11">
        <f t="shared" si="2"/>
        <v>0</v>
      </c>
      <c r="C15" s="11"/>
      <c r="D15" s="11"/>
      <c r="E15" s="11"/>
      <c r="F15" s="11"/>
      <c r="G15" s="11"/>
      <c r="H15" s="11"/>
      <c r="I15" s="11"/>
      <c r="J15" s="91">
        <f t="shared" si="3"/>
        <v>0</v>
      </c>
      <c r="K15" s="92"/>
    </row>
    <row r="16" spans="1:11" s="14" customFormat="1" ht="15" customHeight="1" x14ac:dyDescent="0.2">
      <c r="A16" s="12" t="s">
        <v>17</v>
      </c>
      <c r="B16" s="13" t="str">
        <f>IF((B6 &gt; ($B6/100)),"Yes","No")</f>
        <v>Yes</v>
      </c>
      <c r="C16" s="13" t="str">
        <f>IF((C6 &gt; ($B6/100)),"Yes","No")</f>
        <v>Yes</v>
      </c>
      <c r="D16" s="13" t="str">
        <f t="shared" ref="D16:J16" si="4">IF((D6 &gt; ($B6/100)),"Yes","No")</f>
        <v>Yes</v>
      </c>
      <c r="E16" s="13" t="str">
        <f t="shared" si="4"/>
        <v>Yes</v>
      </c>
      <c r="F16" s="13" t="str">
        <f t="shared" si="4"/>
        <v>Yes</v>
      </c>
      <c r="G16" s="13" t="str">
        <f t="shared" si="4"/>
        <v>No</v>
      </c>
      <c r="H16" s="13" t="str">
        <f t="shared" si="4"/>
        <v>No</v>
      </c>
      <c r="I16" s="13" t="str">
        <f t="shared" si="4"/>
        <v>No</v>
      </c>
      <c r="J16" s="13" t="str">
        <f t="shared" si="4"/>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140</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90"/>
  <sheetViews>
    <sheetView showGridLines="0" showRowColHeaders="0" topLeftCell="A4" zoomScale="95" zoomScaleNormal="95" workbookViewId="0">
      <selection activeCell="G11" sqref="G11"/>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207</v>
      </c>
      <c r="Q7" s="42">
        <f>C6-C7</f>
        <v>15544</v>
      </c>
      <c r="R7" s="42">
        <f t="shared" ref="R7:R15" si="5">SUM(N7:Q7)</f>
        <v>15751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206.99999999999997</v>
      </c>
      <c r="R8" s="42">
        <f t="shared" si="5"/>
        <v>207.04999999999998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206.99999999999997</v>
      </c>
      <c r="R9" s="42">
        <f t="shared" si="5"/>
        <v>206.99999999999997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206.99999999999997</v>
      </c>
      <c r="R10" s="42">
        <f t="shared" si="5"/>
        <v>206.99999999999997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206.99999999999997</v>
      </c>
      <c r="R11" s="42">
        <f t="shared" si="5"/>
        <v>206.99999999999997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206.99999999999997</v>
      </c>
      <c r="R12" s="42">
        <f t="shared" si="5"/>
        <v>206.99999999999997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206.99999999999997</v>
      </c>
      <c r="R13" s="42">
        <f t="shared" si="5"/>
        <v>206.99999999999997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206.99999999999997</v>
      </c>
      <c r="R14" s="42">
        <f t="shared" si="5"/>
        <v>206.99999999999997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206.99999999999997</v>
      </c>
      <c r="R15" s="42">
        <f t="shared" si="5"/>
        <v>206.99999999999997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0</v>
      </c>
      <c r="E42" s="56">
        <f>MAX(C42:D42)</f>
        <v>15.750999999999999</v>
      </c>
      <c r="G42" s="1" t="str">
        <f>B42</f>
        <v>per 1000 youth</v>
      </c>
      <c r="L42" s="57">
        <v>1000</v>
      </c>
      <c r="M42" s="57"/>
      <c r="R42" s="49"/>
    </row>
    <row r="43" spans="2:18" ht="15" hidden="1" customHeight="1" x14ac:dyDescent="0.25">
      <c r="B43" s="49" t="s">
        <v>87</v>
      </c>
      <c r="C43" s="56">
        <f>C7/100</f>
        <v>2.0699999999999998</v>
      </c>
      <c r="D43" s="56">
        <f>E7/100</f>
        <v>0</v>
      </c>
      <c r="E43" s="56">
        <f>MAX(C43:D43,0)</f>
        <v>2.0699999999999998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0</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0</v>
      </c>
      <c r="E49" s="49">
        <f>MAX(C49:D49)</f>
        <v>2.0699999999999998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0</v>
      </c>
      <c r="E50" s="49">
        <f>MAX(C50:D50)</f>
        <v>2.0699999999999998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0</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0</v>
      </c>
      <c r="E55" s="49">
        <f>MAX(C55:D55)</f>
        <v>2.0699999999999998</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0</v>
      </c>
      <c r="E56" s="49">
        <f>MAX(C56:D56)</f>
        <v>2.0699999999999998</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0</v>
      </c>
      <c r="E57" s="49">
        <f>MAX(C57:D57)</f>
        <v>2.0699999999999998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0</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0</v>
      </c>
      <c r="E61" s="49">
        <f>MAX(C61:D61)</f>
        <v>2.0699999999999998</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0</v>
      </c>
      <c r="E62" s="49">
        <f>MAX(C62:D62)</f>
        <v>2.0699999999999998</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0</v>
      </c>
      <c r="E63" s="49">
        <f>MAX(C63:D63)</f>
        <v>2.0699999999999998</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0</v>
      </c>
      <c r="E64" s="56">
        <f>MAX(C64:D64)</f>
        <v>2.0699999999999998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0</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0</v>
      </c>
      <c r="E67" s="49">
        <f>MAX(C67:D67)</f>
        <v>2.0699999999999998</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0</v>
      </c>
      <c r="E68" s="49">
        <f>MAX(C68:D68)</f>
        <v>2.0699999999999998</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0</v>
      </c>
      <c r="E69" s="49">
        <f>MAX(C69:D69)</f>
        <v>2.0699999999999998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0</v>
      </c>
      <c r="E70" s="56">
        <f>MAX(C70:D70)</f>
        <v>2.0699999999999998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Entry'!J6</f>
        <v>6484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Entry'!J7</f>
        <v>532</v>
      </c>
      <c r="F7" s="34">
        <f>IF((AND($E$7&gt;0,$D$66&gt;0)),($E$7/$D$66),0)</f>
        <v>82.048118445404072</v>
      </c>
      <c r="G7" s="39">
        <f t="shared" ref="G7:G15" si="0">IF(L$6=100,"*",IF(M7=FALSE,"--",IF(K7=20,"**",($F7/$D7))))</f>
        <v>6.2431879885679198</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532</v>
      </c>
      <c r="O7" s="42">
        <f>E6-E7</f>
        <v>5952</v>
      </c>
      <c r="P7" s="42">
        <f t="shared" ref="P7:P15" si="4">C7</f>
        <v>207</v>
      </c>
      <c r="Q7" s="42">
        <f>C6-C7</f>
        <v>15544</v>
      </c>
      <c r="R7" s="42">
        <f t="shared" ref="R7:R15" si="5">SUM(N7:Q7)</f>
        <v>22235</v>
      </c>
      <c r="S7" s="30">
        <f t="shared" ref="S7:S15" si="6">R7*((((N7*Q7)-(O7*P7))^2))</f>
        <v>1.101170822120361E+18</v>
      </c>
      <c r="T7" s="30">
        <f t="shared" ref="T7:T15" si="7">(N7+O7)*(P7+Q7)*(N7+P7)*(O7+Q7)</f>
        <v>1622382411779296</v>
      </c>
      <c r="U7" s="31">
        <f t="shared" ref="U7:U15" si="8">IF((S7&gt;0),S7/T7,"- -")</f>
        <v>678.7369082192447</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532.04999999999995</v>
      </c>
      <c r="P8" s="42">
        <f t="shared" si="4"/>
        <v>0</v>
      </c>
      <c r="Q8" s="42">
        <f>(C$67*L67)-C8</f>
        <v>206.99999999999997</v>
      </c>
      <c r="R8" s="42">
        <f t="shared" si="5"/>
        <v>739.05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532</v>
      </c>
      <c r="P9" s="42">
        <f t="shared" si="4"/>
        <v>0</v>
      </c>
      <c r="Q9" s="42">
        <f>(C$68*L68)-C9</f>
        <v>206.99999999999997</v>
      </c>
      <c r="R9" s="42">
        <f t="shared" si="5"/>
        <v>739</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532</v>
      </c>
      <c r="P10" s="42">
        <f t="shared" si="4"/>
        <v>0</v>
      </c>
      <c r="Q10" s="42">
        <f>(C$68*L68)-C10</f>
        <v>206.99999999999997</v>
      </c>
      <c r="R10" s="42">
        <f t="shared" si="5"/>
        <v>739</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532</v>
      </c>
      <c r="P11" s="42">
        <f t="shared" si="4"/>
        <v>0</v>
      </c>
      <c r="Q11" s="42">
        <f>(C$68*L68)-C11</f>
        <v>206.99999999999997</v>
      </c>
      <c r="R11" s="42">
        <f t="shared" si="5"/>
        <v>739</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532</v>
      </c>
      <c r="P12" s="42">
        <f t="shared" si="4"/>
        <v>0</v>
      </c>
      <c r="Q12" s="42">
        <f>(C69*L69)-C12</f>
        <v>206.99999999999997</v>
      </c>
      <c r="R12" s="42">
        <f t="shared" si="5"/>
        <v>739</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532</v>
      </c>
      <c r="P13" s="42">
        <f t="shared" si="4"/>
        <v>0</v>
      </c>
      <c r="Q13" s="42">
        <f>(C70*L70)-C13</f>
        <v>206.99999999999997</v>
      </c>
      <c r="R13" s="42">
        <f t="shared" si="5"/>
        <v>739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532</v>
      </c>
      <c r="P14" s="42">
        <f t="shared" si="4"/>
        <v>0</v>
      </c>
      <c r="Q14" s="42">
        <f>(C70*L70)-C14</f>
        <v>206.99999999999997</v>
      </c>
      <c r="R14" s="42">
        <f t="shared" si="5"/>
        <v>739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532</v>
      </c>
      <c r="P15" s="42">
        <f t="shared" si="4"/>
        <v>0</v>
      </c>
      <c r="Q15" s="42">
        <f>(C69*L69)-C15</f>
        <v>206.99999999999997</v>
      </c>
      <c r="R15" s="42">
        <f t="shared" si="5"/>
        <v>739</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6.484</v>
      </c>
      <c r="E42" s="56">
        <f>MAX(C42:D42)</f>
        <v>15.750999999999999</v>
      </c>
      <c r="G42" s="1" t="str">
        <f>B42</f>
        <v>per 1000 youth</v>
      </c>
      <c r="L42" s="57">
        <v>1000</v>
      </c>
      <c r="M42" s="57"/>
      <c r="R42" s="49"/>
    </row>
    <row r="43" spans="2:18" ht="15" hidden="1" customHeight="1" x14ac:dyDescent="0.25">
      <c r="B43" s="49" t="s">
        <v>87</v>
      </c>
      <c r="C43" s="56">
        <f>C7/100</f>
        <v>2.0699999999999998</v>
      </c>
      <c r="D43" s="56">
        <f>E7/100</f>
        <v>5.32</v>
      </c>
      <c r="E43" s="56">
        <f>MAX(C43:D43,0)</f>
        <v>5.32</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6.484</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5.32</v>
      </c>
      <c r="E49" s="49">
        <f>MAX(C49:D49)</f>
        <v>5.32</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5.32</v>
      </c>
      <c r="E50" s="49">
        <f>MAX(C50:D50)</f>
        <v>5.32</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6.484</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5.32</v>
      </c>
      <c r="E55" s="49">
        <f>MAX(C55:D55)</f>
        <v>5.32</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5.32</v>
      </c>
      <c r="E56" s="49">
        <f>MAX(C56:D56)</f>
        <v>5.32</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5.32</v>
      </c>
      <c r="E57" s="49">
        <f>MAX(C57:D57)</f>
        <v>5.32</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6.484</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5.32</v>
      </c>
      <c r="E61" s="49">
        <f>MAX(C61:D61)</f>
        <v>5.32</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5.32</v>
      </c>
      <c r="E62" s="49">
        <f>MAX(C62:D62)</f>
        <v>5.32</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5.32</v>
      </c>
      <c r="E63" s="49">
        <f>MAX(C63:D63)</f>
        <v>5.32</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5.32</v>
      </c>
      <c r="E64" s="56">
        <f>MAX(C64:D64)</f>
        <v>5.32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6.484</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5.32</v>
      </c>
      <c r="E67" s="49">
        <f>MAX(C67:D67)</f>
        <v>5.32</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5.32</v>
      </c>
      <c r="E68" s="49">
        <f>MAX(C68:D68)</f>
        <v>5.32</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5.32</v>
      </c>
      <c r="E69" s="49">
        <f>MAX(C69:D69)</f>
        <v>5.32</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5.32</v>
      </c>
      <c r="E70" s="56">
        <f>MAX(C70:D70)</f>
        <v>5.32</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10/1/15 through 9/30/16</v>
      </c>
      <c r="I4" s="67"/>
    </row>
    <row r="5" spans="2:18" ht="15" customHeight="1" x14ac:dyDescent="0.25">
      <c r="B5" s="66" t="str">
        <f>'Data Entry'!A3</f>
        <v>County: Kalamazoo</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f>'Black or African-American'!$G7</f>
        <v>9.7056829958266793</v>
      </c>
      <c r="D7" s="72">
        <f>Hispanic!G7</f>
        <v>1.0319051362683438</v>
      </c>
      <c r="E7" s="72" t="str">
        <f>Asian!G7</f>
        <v>**</v>
      </c>
      <c r="F7" s="72" t="str">
        <f>Hawaiian!G7</f>
        <v>*</v>
      </c>
      <c r="G7" s="72" t="str">
        <f>'Am Indian'!G7</f>
        <v>*</v>
      </c>
      <c r="H7" s="72" t="str">
        <f>'Other - Mixed'!G7</f>
        <v>*</v>
      </c>
      <c r="I7" s="73">
        <f>'All Minorities'!G7</f>
        <v>6.2431879885679198</v>
      </c>
      <c r="L7" s="1">
        <f>'Black or African-American'!L7</f>
        <v>1</v>
      </c>
      <c r="M7" s="1">
        <f>Hispanic!L7</f>
        <v>2</v>
      </c>
      <c r="N7" s="1">
        <f>Asian!L7</f>
        <v>20</v>
      </c>
      <c r="O7" s="1" t="e">
        <f>Hawaiian!L7</f>
        <v>#VALUE!</v>
      </c>
      <c r="P7" s="1">
        <f>'Am Indian'!L7</f>
        <v>139</v>
      </c>
      <c r="Q7" s="1" t="e">
        <f>'Other - Mixed'!L7</f>
        <v>#VALUE!</v>
      </c>
      <c r="R7" s="1">
        <f>'All Minorities'!L7</f>
        <v>1</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22235</v>
      </c>
      <c r="D3" s="57">
        <f>'Data Entry'!C6</f>
        <v>15751</v>
      </c>
      <c r="E3" s="57">
        <f>'Data Entry'!D6</f>
        <v>3967</v>
      </c>
      <c r="F3" s="57">
        <f>'Data Entry'!E6</f>
        <v>1696</v>
      </c>
      <c r="G3" s="57">
        <f>'Data Entry'!F6</f>
        <v>702</v>
      </c>
      <c r="H3" s="57">
        <f>'Data Entry'!G6</f>
        <v>0</v>
      </c>
      <c r="I3" s="57">
        <f>'Data Entry'!H6</f>
        <v>119</v>
      </c>
      <c r="J3" s="57">
        <f>'Data Entry'!I6</f>
        <v>0</v>
      </c>
      <c r="K3" s="57">
        <f>'Data Entry'!J6</f>
        <v>6484</v>
      </c>
    </row>
    <row r="4" spans="2:11" ht="15" customHeight="1" x14ac:dyDescent="0.25">
      <c r="B4" s="16" t="s">
        <v>8</v>
      </c>
      <c r="C4" s="1">
        <f>IF((C$3&gt;0),(1000*('Data Entry'!B7/'Data Entry'!B$6)), 0)</f>
        <v>35.439622217225093</v>
      </c>
      <c r="D4" s="1">
        <f>IF((D$3&gt;0),(1000*('Data Entry'!C7/'Data Entry'!C$6)), 0)</f>
        <v>13.142022728715638</v>
      </c>
      <c r="E4" s="1">
        <f>IF((E$3&gt;0),(1000*('Data Entry'!D7/'Data Entry'!D$6)), 0)</f>
        <v>127.55230652886313</v>
      </c>
      <c r="F4" s="1">
        <f>IF((F$3&gt;0),(1000*('Data Entry'!E7/'Data Entry'!E$6)), 0)</f>
        <v>13.561320754716981</v>
      </c>
      <c r="G4" s="1">
        <f>IF((G$3&gt;0),(1000*('Data Entry'!F7/'Data Entry'!F$6)), 0)</f>
        <v>2.8490028490028489</v>
      </c>
      <c r="H4" s="1">
        <f>IF((H$3&gt;0),(1000*('Data Entry'!G7/'Data Entry'!G$6)), 0)</f>
        <v>0</v>
      </c>
      <c r="I4" s="1">
        <f>IF((I$3&gt;0),(1000*('Data Entry'!H7/'Data Entry'!H$6)), 0)</f>
        <v>8.4033613445378155</v>
      </c>
      <c r="J4" s="1">
        <f>IF((J$3&gt;0),(1000*('Data Entry'!I7/'Data Entry'!I$6)), 0)</f>
        <v>0</v>
      </c>
      <c r="K4" s="1">
        <f>IF((K$3&gt;0),(1000*('Data Entry'!J7/'Data Entry'!J$6)), 0)</f>
        <v>82.048118445404072</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10/1/15 through 9/30/16</v>
      </c>
      <c r="G16" s="1"/>
      <c r="H16" s="1"/>
      <c r="I16" s="1"/>
      <c r="J16" s="67"/>
    </row>
    <row r="17" spans="2:10" ht="15" customHeight="1" x14ac:dyDescent="0.25">
      <c r="B17" s="81" t="str">
        <f>'Data Entry'!A3</f>
        <v>County: Kalamazoo</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9.705682995826681</v>
      </c>
      <c r="E19" s="72">
        <f t="shared" si="1"/>
        <v>1.0319051362683438</v>
      </c>
      <c r="F19" s="72">
        <f t="shared" si="1"/>
        <v>0.21678571920117812</v>
      </c>
      <c r="G19" s="72" t="str">
        <f t="shared" si="1"/>
        <v>--</v>
      </c>
      <c r="H19" s="72">
        <f t="shared" si="1"/>
        <v>0.63942678520683638</v>
      </c>
      <c r="I19" s="72" t="str">
        <f t="shared" si="1"/>
        <v>--</v>
      </c>
      <c r="J19" s="73">
        <f t="shared" si="1"/>
        <v>6.2431879885679198</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A30"/>
  <sheetViews>
    <sheetView showGridLines="0" tabSelected="1" zoomScaleNormal="100" workbookViewId="0">
      <selection activeCell="AB9" sqref="AB9"/>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Kalamazoo</v>
      </c>
      <c r="C4" s="103"/>
      <c r="D4" s="103"/>
      <c r="E4" s="103"/>
      <c r="F4" s="103"/>
      <c r="G4" s="103"/>
      <c r="H4" s="103"/>
      <c r="I4" s="103"/>
      <c r="J4" s="103"/>
      <c r="K4" s="103"/>
      <c r="L4" s="103"/>
      <c r="M4" s="103"/>
      <c r="N4" s="184" t="str">
        <f>'Data Entry'!C4</f>
        <v>10/1/15 through 9/30/16</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15751</v>
      </c>
      <c r="D7" s="105">
        <f>'Data Entry'!D6</f>
        <v>3967</v>
      </c>
      <c r="E7" s="106"/>
      <c r="F7" s="107">
        <f>'Data Entry'!E6</f>
        <v>1696</v>
      </c>
      <c r="G7" s="106"/>
      <c r="H7" s="107">
        <f>'Data Entry'!F6</f>
        <v>702</v>
      </c>
      <c r="I7" s="106"/>
      <c r="J7" s="107">
        <f>'Data Entry'!G6</f>
        <v>0</v>
      </c>
      <c r="K7" s="106"/>
      <c r="L7" s="107">
        <f>'Data Entry'!H6</f>
        <v>119</v>
      </c>
      <c r="M7" s="106"/>
      <c r="N7" s="107">
        <f>'Data Entry'!I6</f>
        <v>0</v>
      </c>
      <c r="O7" s="106"/>
      <c r="P7" s="107">
        <f>'Data Entry'!J6</f>
        <v>6484</v>
      </c>
      <c r="Q7" s="108"/>
    </row>
    <row r="8" spans="2:26" s="1" customFormat="1" ht="15" customHeight="1" x14ac:dyDescent="0.3">
      <c r="B8" s="149" t="s">
        <v>8</v>
      </c>
      <c r="C8" s="104">
        <f>'Data Entry'!C7</f>
        <v>207</v>
      </c>
      <c r="D8" s="105">
        <f>'Data Entry'!D7</f>
        <v>506</v>
      </c>
      <c r="E8" s="106">
        <f>'Black or African-American'!$G7</f>
        <v>9.7056829958266793</v>
      </c>
      <c r="F8" s="107">
        <f>'Data Entry'!E7</f>
        <v>23</v>
      </c>
      <c r="G8" s="106">
        <f>Hispanic!G7</f>
        <v>1.0319051362683438</v>
      </c>
      <c r="H8" s="107">
        <f>'Data Entry'!F7</f>
        <v>2</v>
      </c>
      <c r="I8" s="106" t="str">
        <f>Asian!G7</f>
        <v>**</v>
      </c>
      <c r="J8" s="107">
        <f>'Data Entry'!G7</f>
        <v>0</v>
      </c>
      <c r="K8" s="106" t="str">
        <f>Hawaiian!G7</f>
        <v>*</v>
      </c>
      <c r="L8" s="107">
        <f>'Data Entry'!H7</f>
        <v>1</v>
      </c>
      <c r="M8" s="106" t="str">
        <f>'Am Indian'!G7</f>
        <v>*</v>
      </c>
      <c r="N8" s="107">
        <f>'Data Entry'!I7</f>
        <v>0</v>
      </c>
      <c r="O8" s="106" t="str">
        <f>'Other - Mixed'!G7</f>
        <v>*</v>
      </c>
      <c r="P8" s="107">
        <f>'Data Entry'!J7</f>
        <v>532</v>
      </c>
      <c r="Q8" s="108">
        <f>'All Minorities'!G7</f>
        <v>6.2431879885679198</v>
      </c>
      <c r="R8"/>
      <c r="T8" s="1">
        <f>'Black or African-American'!L7</f>
        <v>1</v>
      </c>
      <c r="U8" s="1">
        <f>Hispanic!L7</f>
        <v>2</v>
      </c>
      <c r="V8" s="1">
        <f>Asian!L7</f>
        <v>20</v>
      </c>
      <c r="W8" s="1" t="e">
        <f>Hawaiian!L7</f>
        <v>#VALUE!</v>
      </c>
      <c r="X8" s="1">
        <f>'Am Indian'!L7</f>
        <v>139</v>
      </c>
      <c r="Y8" s="1" t="e">
        <f>'Other - Mixed'!L7</f>
        <v>#VALUE!</v>
      </c>
      <c r="Z8" s="1">
        <f>'All Minorities'!L7</f>
        <v>1</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Yes</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(figures for 2017): U.S. Census estimate (from C. Puzzanchera, A. Sladky, and W. Kang, "Easy Access to Juvenile Populations: 1990-2017," Online, accessed August 16, 2018 from http://www.ojjdp.gov/ojstatbb/ezapop/)</v>
      </c>
      <c r="E26" s="1" t="str">
        <f>'Data Entry'!D19</f>
        <v>Item 2.Arrest: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L17"/>
  <sheetViews>
    <sheetView topLeftCell="A4" workbookViewId="0">
      <selection activeCell="C11" sqref="C11"/>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Kalamazoo</v>
      </c>
      <c r="B5" s="141"/>
      <c r="C5" s="141"/>
      <c r="D5" s="141"/>
      <c r="E5" s="141"/>
      <c r="F5" s="141"/>
      <c r="G5" s="141"/>
      <c r="H5" s="141"/>
      <c r="I5" s="141"/>
    </row>
    <row r="6" spans="1:12" x14ac:dyDescent="0.2">
      <c r="A6" s="140" t="str">
        <f>CONCATENATE("Percentage of Minorities at Stages of the Juvenile Justice System, ", A5, " 2017")</f>
        <v>Percentage of Minorities at Stages of the Juvenile Justice System, County: Kalamazoo 2017</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2.4292103639728557</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2.4292103639728557</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2.4292103639728557</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2.4292103639728557</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2.4292103639728557</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2.4292103639728557</v>
      </c>
    </row>
    <row r="13" spans="1:12" x14ac:dyDescent="0.2">
      <c r="A13" s="132" t="str">
        <f>CONCATENATE("Arrests, total N=", 'Data Entry'!B7)</f>
        <v>Arrests, total N=788</v>
      </c>
      <c r="B13" s="157">
        <f>'Data Entry'!D7/'Data Entry'!B7</f>
        <v>0.64213197969543145</v>
      </c>
      <c r="C13" s="157">
        <f>'Data Entry'!E7/'Data Entry'!B7</f>
        <v>2.9187817258883249E-2</v>
      </c>
      <c r="D13" s="157">
        <f>'Data Entry'!F7/'Data Entry'!B7</f>
        <v>2.5380710659898475E-3</v>
      </c>
      <c r="E13" s="157">
        <f>'Data Entry'!G7/'Data Entry'!B7</f>
        <v>0</v>
      </c>
      <c r="F13" s="157">
        <f>'Data Entry'!H7/'Data Entry'!B7</f>
        <v>1.2690355329949238E-3</v>
      </c>
      <c r="G13" s="157">
        <f>'Data Entry'!I7/'Data Entry'!B7</f>
        <v>0</v>
      </c>
      <c r="H13" s="157">
        <f>SUM(D13:G13)/'Data Entry'!B7</f>
        <v>4.831353552011131E-6</v>
      </c>
      <c r="I13" s="157">
        <f>'Data Entry'!C7/'Data Entry'!B7</f>
        <v>0.26269035532994922</v>
      </c>
      <c r="K13" s="97" t="str">
        <f t="shared" si="0"/>
        <v>Arrests, total N=788</v>
      </c>
      <c r="L13">
        <f>I14/(SUM(B14:G14))</f>
        <v>2.4292103639728557</v>
      </c>
    </row>
    <row r="14" spans="1:12" x14ac:dyDescent="0.2">
      <c r="A14" s="132" t="str">
        <f>CONCATENATE("Population, total N=", 'Data Entry'!B6)</f>
        <v>Population, total N=22235</v>
      </c>
      <c r="B14" s="157">
        <f>'Data Entry'!D6/'Data Entry'!B6</f>
        <v>0.17841241286260401</v>
      </c>
      <c r="C14" s="157">
        <f>'Data Entry'!E6/'Data Entry'!B6</f>
        <v>7.6276141218799193E-2</v>
      </c>
      <c r="D14" s="157">
        <f>'Data Entry'!F6/'Data Entry'!B6</f>
        <v>3.1571846188441645E-2</v>
      </c>
      <c r="E14" s="157">
        <f>'Data Entry'!G6/'Data Entry'!B6</f>
        <v>0</v>
      </c>
      <c r="F14" s="157">
        <f>'Data Entry'!H6/'Data Entry'!B6</f>
        <v>5.3519226444794241E-3</v>
      </c>
      <c r="G14" s="157">
        <f>'Data Entry'!I6/'Data Entry'!B6</f>
        <v>0</v>
      </c>
      <c r="H14" s="157">
        <f>SUM(D14:G14)/'Data Entry'!B6</f>
        <v>1.660614744003646E-6</v>
      </c>
      <c r="I14" s="157">
        <f>'Data Entry'!C6/'Data Entry'!B6</f>
        <v>0.70838767708567574</v>
      </c>
      <c r="K14" s="97" t="str">
        <f t="shared" si="0"/>
        <v>Population, total N=22235</v>
      </c>
      <c r="L14">
        <f>I14/(SUM(B14:G14))</f>
        <v>2.4292103639728557</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D30"/>
  <sheetViews>
    <sheetView showGridLines="0" zoomScaleNormal="100" workbookViewId="0">
      <selection activeCell="X15" sqref="X15"/>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Kalamazoo</v>
      </c>
      <c r="C4" s="121"/>
      <c r="D4" s="121"/>
      <c r="E4" s="124"/>
      <c r="F4" s="124"/>
      <c r="G4" s="124"/>
      <c r="H4" s="184" t="str">
        <f>'Data Entry'!C4</f>
        <v>10/1/15 through 9/30/16</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15751</v>
      </c>
      <c r="D7" s="105">
        <f>'Data Entry'!D6</f>
        <v>3967</v>
      </c>
      <c r="E7" s="106"/>
      <c r="F7" s="107">
        <f>'Data Entry'!E6</f>
        <v>1696</v>
      </c>
      <c r="G7" s="106"/>
      <c r="H7" s="107">
        <f>'Data Entry'!F6</f>
        <v>702</v>
      </c>
      <c r="I7" s="106"/>
      <c r="J7" s="107">
        <f>'Data Entry'!J6</f>
        <v>6484</v>
      </c>
      <c r="K7" s="108"/>
    </row>
    <row r="8" spans="2:30" s="1" customFormat="1" ht="15" customHeight="1" x14ac:dyDescent="0.3">
      <c r="B8" s="125" t="s">
        <v>8</v>
      </c>
      <c r="C8" s="104">
        <f>'Data Entry'!C7</f>
        <v>207</v>
      </c>
      <c r="D8" s="105">
        <f>'Data Entry'!D7</f>
        <v>506</v>
      </c>
      <c r="E8" s="106">
        <f>'Black or African-American'!$G7</f>
        <v>9.7056829958266793</v>
      </c>
      <c r="F8" s="107">
        <f>'Data Entry'!E7</f>
        <v>23</v>
      </c>
      <c r="G8" s="106">
        <f>Hispanic!G7</f>
        <v>1.0319051362683438</v>
      </c>
      <c r="H8" s="107">
        <f>'Data Entry'!F7</f>
        <v>2</v>
      </c>
      <c r="I8" s="106" t="str">
        <f>Asian!G7</f>
        <v>**</v>
      </c>
      <c r="J8" s="107">
        <f>'Data Entry'!J7</f>
        <v>532</v>
      </c>
      <c r="K8" s="108">
        <f>'All Minorities'!G7</f>
        <v>6.2431879885679198</v>
      </c>
      <c r="L8"/>
      <c r="N8" s="1">
        <f>'Black or African-American'!L7</f>
        <v>1</v>
      </c>
      <c r="O8" s="1">
        <f>Hispanic!L7</f>
        <v>2</v>
      </c>
      <c r="P8" s="1">
        <f>Asian!L7</f>
        <v>20</v>
      </c>
      <c r="Q8" s="1" t="e">
        <f>Hawaiian!L7</f>
        <v>#VALUE!</v>
      </c>
      <c r="R8" s="1">
        <f>'Am Indian'!L7</f>
        <v>139</v>
      </c>
      <c r="S8" s="1" t="e">
        <f>'Other - Mixed'!L7</f>
        <v>#VALUE!</v>
      </c>
      <c r="T8" s="1">
        <f>'All Minorities'!L7</f>
        <v>1</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Yes</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(figures for 2017): U.S. Census estimate (from C. Puzzanchera, A. Sladky, and W. Kang, "Easy Access to Juvenile Populations: 1990-2017," Online, accessed August 16, 2018 from http://www.ojjdp.gov/ojstatbb/ezapop/)</v>
      </c>
      <c r="E26" s="1" t="str">
        <f>'Data Entry'!D19</f>
        <v>Item 2.Arrest: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V90"/>
  <sheetViews>
    <sheetView showGridLines="0" showRowColHeaders="0" zoomScale="95" zoomScaleNormal="95" workbookViewId="0">
      <selection activeCell="W3" sqref="W3"/>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Entry'!D6</f>
        <v>3967</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Entry'!D7</f>
        <v>506</v>
      </c>
      <c r="F7" s="34">
        <f>IF((AND($E$7&gt;0,$D$66&gt;0)),($E$7/$D$66),0)</f>
        <v>127.55230652886311</v>
      </c>
      <c r="G7" s="39">
        <f>IF(L$6=100,"*",IF(M7=FALSE,"--",IF(K7=20,"**",($F7/$D7))))</f>
        <v>9.7056829958266793</v>
      </c>
      <c r="H7" s="40"/>
      <c r="I7" s="41"/>
      <c r="J7" s="40">
        <f>IF((ABS($U7)&gt;Defaults!D$7),1,2)</f>
        <v>1</v>
      </c>
      <c r="K7" s="39">
        <f>IF((AND(N7&gt;Defaults!B$12,(N7+O7)&gt;Defaults!B$13, P7 &gt; Defaults!B$12, (P7+Q7) &gt; Defaults!B$13)),1,20)</f>
        <v>1</v>
      </c>
      <c r="L7" s="1">
        <f>(J7*K7+L$6)-1</f>
        <v>1</v>
      </c>
      <c r="M7" s="1" t="b">
        <f t="shared" ref="M7:M15" si="0">(ISNUMBER(J7))</f>
        <v>1</v>
      </c>
      <c r="N7" s="42">
        <f t="shared" ref="N7:N15" si="1">E7</f>
        <v>506</v>
      </c>
      <c r="O7" s="42">
        <f>E6-E7</f>
        <v>3461</v>
      </c>
      <c r="P7" s="42">
        <f t="shared" ref="P7:P15" si="2">C7</f>
        <v>207</v>
      </c>
      <c r="Q7" s="42">
        <f>C6-C7</f>
        <v>15544</v>
      </c>
      <c r="R7" s="42">
        <f t="shared" ref="R7:R15" si="3">SUM(N7:Q7)</f>
        <v>19718</v>
      </c>
      <c r="S7" s="30">
        <f t="shared" ref="S7:S15" si="4">R7*((((N7*Q7)-(O7*P7))^2))</f>
        <v>1.0077055535837555E+18</v>
      </c>
      <c r="T7" s="30">
        <f t="shared" ref="T7:T15" si="5">(N7+O7)*(P7+Q7)*(N7+P7)*(O7+Q7)</f>
        <v>846696443932605</v>
      </c>
      <c r="U7" s="31">
        <f t="shared" ref="U7:U15" si="6">IF((S7&gt;0),S7/T7,"- -")</f>
        <v>1190.1615517638413</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506.04999999999995</v>
      </c>
      <c r="P8" s="42">
        <f t="shared" si="2"/>
        <v>0</v>
      </c>
      <c r="Q8" s="42">
        <f>(C$67*L67)-C8</f>
        <v>206.99999999999997</v>
      </c>
      <c r="R8" s="42">
        <f t="shared" si="3"/>
        <v>713.05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505.99999999999994</v>
      </c>
      <c r="P9" s="42">
        <f t="shared" si="2"/>
        <v>0</v>
      </c>
      <c r="Q9" s="42">
        <f>(C$68*L68)-C9</f>
        <v>206.99999999999997</v>
      </c>
      <c r="R9" s="42">
        <f t="shared" si="3"/>
        <v>712.99999999999989</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505.99999999999994</v>
      </c>
      <c r="P10" s="42">
        <f t="shared" si="2"/>
        <v>0</v>
      </c>
      <c r="Q10" s="42">
        <f>(C$68*L68)-C10</f>
        <v>206.99999999999997</v>
      </c>
      <c r="R10" s="42">
        <f t="shared" si="3"/>
        <v>712.99999999999989</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505.99999999999994</v>
      </c>
      <c r="P11" s="42">
        <f t="shared" si="2"/>
        <v>0</v>
      </c>
      <c r="Q11" s="42">
        <f>(C$68*L68)-C11</f>
        <v>206.99999999999997</v>
      </c>
      <c r="R11" s="42">
        <f t="shared" si="3"/>
        <v>712.99999999999989</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505.99999999999994</v>
      </c>
      <c r="P12" s="42">
        <f t="shared" si="2"/>
        <v>0</v>
      </c>
      <c r="Q12" s="42">
        <f>(C69*L69)-C12</f>
        <v>206.99999999999997</v>
      </c>
      <c r="R12" s="42">
        <f t="shared" si="3"/>
        <v>712.99999999999989</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505.99999999999994</v>
      </c>
      <c r="P13" s="42">
        <f t="shared" si="2"/>
        <v>0</v>
      </c>
      <c r="Q13" s="42">
        <f>(C70*L70)-C13</f>
        <v>206.99999999999997</v>
      </c>
      <c r="R13" s="42">
        <f t="shared" si="3"/>
        <v>712.99999999999989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505.99999999999994</v>
      </c>
      <c r="P14" s="42">
        <f t="shared" si="2"/>
        <v>0</v>
      </c>
      <c r="Q14" s="42">
        <f>(C70*L70)-C14</f>
        <v>206.99999999999997</v>
      </c>
      <c r="R14" s="42">
        <f t="shared" si="3"/>
        <v>712.99999999999989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505.99999999999994</v>
      </c>
      <c r="P15" s="42">
        <f t="shared" si="2"/>
        <v>0</v>
      </c>
      <c r="Q15" s="42">
        <f>(C69*L69)-C15</f>
        <v>206.99999999999997</v>
      </c>
      <c r="R15" s="42">
        <f t="shared" si="3"/>
        <v>712.99999999999989</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3.9670000000000001</v>
      </c>
      <c r="E42" s="56">
        <f>MAX(C42:D42)</f>
        <v>15.750999999999999</v>
      </c>
      <c r="G42" s="1" t="str">
        <f>B42</f>
        <v>per 1000 youth</v>
      </c>
      <c r="L42" s="57">
        <v>1000</v>
      </c>
      <c r="M42" s="57"/>
      <c r="R42" s="49"/>
    </row>
    <row r="43" spans="2:18" ht="15" hidden="1" customHeight="1" x14ac:dyDescent="0.25">
      <c r="B43" s="49" t="s">
        <v>87</v>
      </c>
      <c r="C43" s="56">
        <f>C7/100</f>
        <v>2.0699999999999998</v>
      </c>
      <c r="D43" s="56">
        <f>E7/100</f>
        <v>5.0599999999999996</v>
      </c>
      <c r="E43" s="56">
        <f>MAX(C43:D43,0)</f>
        <v>5.0599999999999996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3.9670000000000001</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2.0699999999999998</v>
      </c>
      <c r="D49" s="49">
        <f t="shared" si="9"/>
        <v>5.0599999999999996</v>
      </c>
      <c r="E49" s="49">
        <f>MAX(C49:D49)</f>
        <v>5.0599999999999996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5.0599999999999996</v>
      </c>
      <c r="E50" s="49">
        <f>MAX(C50:D50)</f>
        <v>5.0599999999999996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3.9670000000000001</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5.0599999999999996</v>
      </c>
      <c r="E55" s="49">
        <f>MAX(C55:D55)</f>
        <v>5.0599999999999996</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5.0599999999999996</v>
      </c>
      <c r="E56" s="49">
        <f>MAX(C56:D56)</f>
        <v>5.0599999999999996</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5.0599999999999996</v>
      </c>
      <c r="E57" s="49">
        <f>MAX(C57:D57)</f>
        <v>5.0599999999999996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3.9670000000000001</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5.0599999999999996</v>
      </c>
      <c r="E61" s="49">
        <f>MAX(C61:D61)</f>
        <v>5.0599999999999996</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5.0599999999999996</v>
      </c>
      <c r="E62" s="49">
        <f>MAX(C62:D62)</f>
        <v>5.0599999999999996</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5.0599999999999996</v>
      </c>
      <c r="E63" s="49">
        <f>MAX(C63:D63)</f>
        <v>5.0599999999999996</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5.0599999999999996</v>
      </c>
      <c r="E64" s="56">
        <f>MAX(C64:D64)</f>
        <v>5.0599999999999996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3.9670000000000001</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5.0599999999999996</v>
      </c>
      <c r="E67" s="49">
        <f>MAX(C67:D67)</f>
        <v>5.0599999999999996</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5.0599999999999996</v>
      </c>
      <c r="E68" s="49">
        <f>MAX(C68:D68)</f>
        <v>5.0599999999999996</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5.0599999999999996</v>
      </c>
      <c r="E69" s="49">
        <f>MAX(C69:D69)</f>
        <v>5.0599999999999996</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5.0599999999999996</v>
      </c>
      <c r="E70" s="56">
        <f>MAX(C70:D70)</f>
        <v>5.0599999999999996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Entry'!F6</f>
        <v>702</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Entry'!F7</f>
        <v>2</v>
      </c>
      <c r="F7" s="34">
        <f>IF((AND($E$7&gt;0,$D$66&gt;0)),($E$7/$D$66),0)</f>
        <v>2.8490028490028494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2</v>
      </c>
      <c r="O7" s="42">
        <f>E6-E7</f>
        <v>700</v>
      </c>
      <c r="P7" s="42">
        <f t="shared" ref="P7:P15" si="4">C7</f>
        <v>207</v>
      </c>
      <c r="Q7" s="42">
        <f>C6-C7</f>
        <v>15544</v>
      </c>
      <c r="R7" s="42">
        <f t="shared" ref="R7:R15" si="5">SUM(N7:Q7)</f>
        <v>16453</v>
      </c>
      <c r="S7" s="30">
        <f t="shared" ref="S7:S15" si="6">R7*((((N7*Q7)-(O7*P7))^2))</f>
        <v>213118528122832</v>
      </c>
      <c r="T7" s="30">
        <f t="shared" ref="T7:T15" si="7">(N7+O7)*(P7+Q7)*(N7+P7)*(O7+Q7)</f>
        <v>37539156561192</v>
      </c>
      <c r="U7" s="31">
        <f t="shared" ref="U7:U15" si="8">IF((S7&gt;0),S7/T7,"- -")</f>
        <v>5.6772327256588939</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206.99999999999997</v>
      </c>
      <c r="R8" s="42">
        <f t="shared" si="5"/>
        <v>209.04999999999998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206.99999999999997</v>
      </c>
      <c r="R9" s="42">
        <f t="shared" si="5"/>
        <v>208.99999999999997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206.99999999999997</v>
      </c>
      <c r="R10" s="42">
        <f t="shared" si="5"/>
        <v>208.99999999999997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206.99999999999997</v>
      </c>
      <c r="R11" s="42">
        <f t="shared" si="5"/>
        <v>208.99999999999997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206.99999999999997</v>
      </c>
      <c r="R12" s="42">
        <f t="shared" si="5"/>
        <v>208.99999999999997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206.99999999999997</v>
      </c>
      <c r="R13" s="42">
        <f t="shared" si="5"/>
        <v>208.99999999999997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206.99999999999997</v>
      </c>
      <c r="R14" s="42">
        <f t="shared" si="5"/>
        <v>208.99999999999997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206.99999999999997</v>
      </c>
      <c r="R15" s="42">
        <f t="shared" si="5"/>
        <v>208.99999999999997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0.70199999999999996</v>
      </c>
      <c r="E42" s="56">
        <f>MAX(C42:D42)</f>
        <v>15.750999999999999</v>
      </c>
      <c r="G42" s="1" t="str">
        <f>B42</f>
        <v>per 1000 youth</v>
      </c>
      <c r="L42" s="57">
        <v>1000</v>
      </c>
      <c r="M42" s="57"/>
      <c r="R42" s="49"/>
    </row>
    <row r="43" spans="2:18" ht="15" hidden="1" customHeight="1" x14ac:dyDescent="0.25">
      <c r="B43" s="49" t="s">
        <v>87</v>
      </c>
      <c r="C43" s="56">
        <f>C7/100</f>
        <v>2.0699999999999998</v>
      </c>
      <c r="D43" s="56">
        <f>E7/100</f>
        <v>0.02</v>
      </c>
      <c r="E43" s="56">
        <f>MAX(C43:D43,0)</f>
        <v>2.0699999999999998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0.70199999999999996</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0.02</v>
      </c>
      <c r="E49" s="49">
        <f>MAX(C49:D49)</f>
        <v>2.0699999999999998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0.02</v>
      </c>
      <c r="E50" s="49">
        <f>MAX(C50:D50)</f>
        <v>2.0699999999999998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0.70199999999999996</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0.02</v>
      </c>
      <c r="E55" s="49">
        <f>MAX(C55:D55)</f>
        <v>2.0699999999999998</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0.02</v>
      </c>
      <c r="E56" s="49">
        <f>MAX(C56:D56)</f>
        <v>2.0699999999999998</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0.02</v>
      </c>
      <c r="E57" s="49">
        <f>MAX(C57:D57)</f>
        <v>2.0699999999999998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0.70199999999999996</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0.02</v>
      </c>
      <c r="E61" s="49">
        <f>MAX(C61:D61)</f>
        <v>2.0699999999999998</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0.02</v>
      </c>
      <c r="E62" s="49">
        <f>MAX(C62:D62)</f>
        <v>2.0699999999999998</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0.02</v>
      </c>
      <c r="E63" s="49">
        <f>MAX(C63:D63)</f>
        <v>2.0699999999999998</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0.02</v>
      </c>
      <c r="E64" s="56">
        <f>MAX(C64:D64)</f>
        <v>2.0699999999999998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0.70199999999999996</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0.02</v>
      </c>
      <c r="E67" s="49">
        <f>MAX(C67:D67)</f>
        <v>2.0699999999999998</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0.02</v>
      </c>
      <c r="E68" s="49">
        <f>MAX(C68:D68)</f>
        <v>2.0699999999999998</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0.02</v>
      </c>
      <c r="E69" s="49">
        <f>MAX(C69:D69)</f>
        <v>2.0699999999999998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0.02</v>
      </c>
      <c r="E70" s="56">
        <f>MAX(C70:D70)</f>
        <v>2.0699999999999998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U83"/>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Entry'!E6</f>
        <v>1696</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Entry'!E7</f>
        <v>23</v>
      </c>
      <c r="F7" s="34">
        <f>IF((AND($E$7&gt;0,$D$66&gt;0)),($E$7/$D$66),0)</f>
        <v>13.561320754716981</v>
      </c>
      <c r="G7" s="39">
        <f t="shared" ref="G7:G15" si="0">IF(L$6=100,"*",IF(M7=FALSE,"--",IF(K7=20,"**",($F7/$D7))))</f>
        <v>1.0319051362683438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23</v>
      </c>
      <c r="O7" s="42">
        <f>E6-E7</f>
        <v>1673</v>
      </c>
      <c r="P7" s="42">
        <f t="shared" ref="P7:P15" si="4">C7</f>
        <v>207</v>
      </c>
      <c r="Q7" s="42">
        <f>C6-C7</f>
        <v>15544</v>
      </c>
      <c r="R7" s="42">
        <f t="shared" ref="R7:R15" si="5">SUM(N7:Q7)</f>
        <v>17447</v>
      </c>
      <c r="S7" s="30">
        <f t="shared" ref="S7:S15" si="6">R7*((((N7*Q7)-(O7*P7))^2))</f>
        <v>2188942510247</v>
      </c>
      <c r="T7" s="30">
        <f t="shared" ref="T7:T15" si="7">(N7+O7)*(P7+Q7)*(N7+P7)*(O7+Q7)</f>
        <v>105783831927360</v>
      </c>
      <c r="U7" s="31">
        <f t="shared" ref="U7:U15" si="8">IF((S7&gt;0),S7/T7,"- -")</f>
        <v>2.0692599902696951E-2</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23.05</v>
      </c>
      <c r="P8" s="42">
        <f t="shared" si="4"/>
        <v>0</v>
      </c>
      <c r="Q8" s="42">
        <f>(C$67*L67)-C8</f>
        <v>206.99999999999997</v>
      </c>
      <c r="R8" s="42">
        <f t="shared" si="5"/>
        <v>230.04999999999998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23</v>
      </c>
      <c r="P9" s="42">
        <f t="shared" si="4"/>
        <v>0</v>
      </c>
      <c r="Q9" s="42">
        <f>(C$68*L68)-C9</f>
        <v>206.99999999999997</v>
      </c>
      <c r="R9" s="42">
        <f t="shared" si="5"/>
        <v>229.99999999999997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23</v>
      </c>
      <c r="P10" s="42">
        <f t="shared" si="4"/>
        <v>0</v>
      </c>
      <c r="Q10" s="42">
        <f>(C$68*L68)-C10</f>
        <v>206.99999999999997</v>
      </c>
      <c r="R10" s="42">
        <f t="shared" si="5"/>
        <v>229.99999999999997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23</v>
      </c>
      <c r="P11" s="42">
        <f t="shared" si="4"/>
        <v>0</v>
      </c>
      <c r="Q11" s="42">
        <f>(C$68*L68)-C11</f>
        <v>206.99999999999997</v>
      </c>
      <c r="R11" s="42">
        <f t="shared" si="5"/>
        <v>229.99999999999997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23</v>
      </c>
      <c r="P12" s="42">
        <f t="shared" si="4"/>
        <v>0</v>
      </c>
      <c r="Q12" s="42">
        <f>(C69*L69)-C12</f>
        <v>206.99999999999997</v>
      </c>
      <c r="R12" s="42">
        <f t="shared" si="5"/>
        <v>229.99999999999997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23</v>
      </c>
      <c r="P13" s="42">
        <f t="shared" si="4"/>
        <v>0</v>
      </c>
      <c r="Q13" s="42">
        <f>(C70*L70)-C13</f>
        <v>206.99999999999997</v>
      </c>
      <c r="R13" s="42">
        <f t="shared" si="5"/>
        <v>229.99999999999997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23</v>
      </c>
      <c r="P14" s="42">
        <f t="shared" si="4"/>
        <v>0</v>
      </c>
      <c r="Q14" s="42">
        <f>(C70*L70)-C14</f>
        <v>206.99999999999997</v>
      </c>
      <c r="R14" s="42">
        <f t="shared" si="5"/>
        <v>229.99999999999997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23</v>
      </c>
      <c r="P15" s="42">
        <f t="shared" si="4"/>
        <v>0</v>
      </c>
      <c r="Q15" s="42">
        <f>(C69*L69)-C15</f>
        <v>206.99999999999997</v>
      </c>
      <c r="R15" s="42">
        <f t="shared" si="5"/>
        <v>229.99999999999997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1.696</v>
      </c>
      <c r="E42" s="56">
        <f>MAX(C42:D42)</f>
        <v>15.750999999999999</v>
      </c>
      <c r="G42" s="1" t="str">
        <f>B42</f>
        <v>per 1000 youth</v>
      </c>
      <c r="L42" s="57">
        <v>1000</v>
      </c>
      <c r="M42" s="57"/>
      <c r="R42" s="49"/>
    </row>
    <row r="43" spans="2:18" ht="15" hidden="1" customHeight="1" x14ac:dyDescent="0.25">
      <c r="B43" s="49" t="s">
        <v>87</v>
      </c>
      <c r="C43" s="56">
        <f>C7/100</f>
        <v>2.0699999999999998</v>
      </c>
      <c r="D43" s="56">
        <f>E7/100</f>
        <v>0.23</v>
      </c>
      <c r="E43" s="56">
        <f>MAX(C43:D43,0)</f>
        <v>2.0699999999999998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1.696</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0.23</v>
      </c>
      <c r="E49" s="49">
        <f>MAX(C49:D49)</f>
        <v>2.0699999999999998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0.23</v>
      </c>
      <c r="E50" s="49">
        <f>MAX(C50:D50)</f>
        <v>2.0699999999999998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1.696</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0.23</v>
      </c>
      <c r="E55" s="49">
        <f>MAX(C55:D55)</f>
        <v>2.0699999999999998</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0.23</v>
      </c>
      <c r="E56" s="49">
        <f>MAX(C56:D56)</f>
        <v>2.0699999999999998</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0.23</v>
      </c>
      <c r="E57" s="49">
        <f>MAX(C57:D57)</f>
        <v>2.0699999999999998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1.696</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0.23</v>
      </c>
      <c r="E61" s="49">
        <f>MAX(C61:D61)</f>
        <v>2.0699999999999998</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0.23</v>
      </c>
      <c r="E62" s="49">
        <f>MAX(C62:D62)</f>
        <v>2.0699999999999998</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0.23</v>
      </c>
      <c r="E63" s="49">
        <f>MAX(C63:D63)</f>
        <v>2.0699999999999998</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0.23</v>
      </c>
      <c r="E64" s="56">
        <f>MAX(C64:D64)</f>
        <v>2.0699999999999998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1.696</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0.23</v>
      </c>
      <c r="E67" s="49">
        <f>MAX(C67:D67)</f>
        <v>2.0699999999999998</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0.23</v>
      </c>
      <c r="E68" s="49">
        <f>MAX(C68:D68)</f>
        <v>2.0699999999999998</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0.23</v>
      </c>
      <c r="E69" s="49">
        <f>MAX(C69:D69)</f>
        <v>2.0699999999999998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0.23</v>
      </c>
      <c r="E70" s="56">
        <f>MAX(C70:D70)</f>
        <v>2.0699999999999998</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207</v>
      </c>
      <c r="Q7" s="42">
        <f>C6-C7</f>
        <v>15544</v>
      </c>
      <c r="R7" s="42">
        <f t="shared" ref="R7:R15" si="5">SUM(N7:Q7)</f>
        <v>15751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206.99999999999997</v>
      </c>
      <c r="R8" s="42">
        <f t="shared" si="5"/>
        <v>207.04999999999998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206.99999999999997</v>
      </c>
      <c r="R9" s="42">
        <f t="shared" si="5"/>
        <v>206.99999999999997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206.99999999999997</v>
      </c>
      <c r="R10" s="42">
        <f t="shared" si="5"/>
        <v>206.99999999999997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206.99999999999997</v>
      </c>
      <c r="R11" s="42">
        <f t="shared" si="5"/>
        <v>206.99999999999997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206.99999999999997</v>
      </c>
      <c r="R12" s="42">
        <f t="shared" si="5"/>
        <v>206.99999999999997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206.99999999999997</v>
      </c>
      <c r="R13" s="42">
        <f t="shared" si="5"/>
        <v>206.99999999999997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206.99999999999997</v>
      </c>
      <c r="R14" s="42">
        <f t="shared" si="5"/>
        <v>206.99999999999997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206.99999999999997</v>
      </c>
      <c r="R15" s="42">
        <f t="shared" si="5"/>
        <v>206.99999999999997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0</v>
      </c>
      <c r="E42" s="56">
        <f>MAX(C42:D42)</f>
        <v>15.750999999999999</v>
      </c>
      <c r="G42" s="1" t="str">
        <f>B42</f>
        <v>per 1000 youth</v>
      </c>
      <c r="L42" s="57">
        <v>1000</v>
      </c>
      <c r="M42" s="57"/>
      <c r="R42" s="49"/>
    </row>
    <row r="43" spans="2:18" ht="15" hidden="1" customHeight="1" x14ac:dyDescent="0.25">
      <c r="B43" s="49" t="s">
        <v>87</v>
      </c>
      <c r="C43" s="56">
        <f>C7/100</f>
        <v>2.0699999999999998</v>
      </c>
      <c r="D43" s="56">
        <f>E7/100</f>
        <v>0</v>
      </c>
      <c r="E43" s="56">
        <f>MAX(C43:D43,0)</f>
        <v>2.0699999999999998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0</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0</v>
      </c>
      <c r="E49" s="49">
        <f>MAX(C49:D49)</f>
        <v>2.0699999999999998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0</v>
      </c>
      <c r="E50" s="49">
        <f>MAX(C50:D50)</f>
        <v>2.0699999999999998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0</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0</v>
      </c>
      <c r="E55" s="49">
        <f>MAX(C55:D55)</f>
        <v>2.0699999999999998</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0</v>
      </c>
      <c r="E56" s="49">
        <f>MAX(C56:D56)</f>
        <v>2.0699999999999998</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0</v>
      </c>
      <c r="E57" s="49">
        <f>MAX(C57:D57)</f>
        <v>2.0699999999999998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0</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0</v>
      </c>
      <c r="E61" s="49">
        <f>MAX(C61:D61)</f>
        <v>2.0699999999999998</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0</v>
      </c>
      <c r="E62" s="49">
        <f>MAX(C62:D62)</f>
        <v>2.0699999999999998</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0</v>
      </c>
      <c r="E63" s="49">
        <f>MAX(C63:D63)</f>
        <v>2.0699999999999998</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0</v>
      </c>
      <c r="E64" s="56">
        <f>MAX(C64:D64)</f>
        <v>2.0699999999999998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0</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0</v>
      </c>
      <c r="E67" s="49">
        <f>MAX(C67:D67)</f>
        <v>2.0699999999999998</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0</v>
      </c>
      <c r="E68" s="49">
        <f>MAX(C68:D68)</f>
        <v>2.0699999999999998</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0</v>
      </c>
      <c r="E69" s="49">
        <f>MAX(C69:D69)</f>
        <v>2.0699999999999998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0</v>
      </c>
      <c r="E70" s="56">
        <f>MAX(C70:D70)</f>
        <v>2.0699999999999998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90"/>
  <sheetViews>
    <sheetView showGridLines="0" showRowColHeaders="0" zoomScale="95" zoomScaleNormal="95" workbookViewId="0">
      <selection activeCell="I5" sqref="I5"/>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Kalamazoo</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15751</v>
      </c>
      <c r="D6" s="34"/>
      <c r="E6" s="33">
        <f>'Data Entry'!H6</f>
        <v>119</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207</v>
      </c>
      <c r="D7" s="34">
        <f>IF((AND(C66&gt;0,C7&gt;0)),(C7/C66),0)</f>
        <v>13.142022728715638</v>
      </c>
      <c r="E7" s="33">
        <f>'Data Entry'!H7</f>
        <v>1</v>
      </c>
      <c r="F7" s="34">
        <f>IF((AND($E$7&gt;0,$D$66&gt;0)),($E$7/$D$66),0)</f>
        <v>8.4033613445378155</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1</v>
      </c>
      <c r="O7" s="42">
        <f>E6-E7</f>
        <v>118</v>
      </c>
      <c r="P7" s="42">
        <f t="shared" ref="P7:P15" si="4">C7</f>
        <v>207</v>
      </c>
      <c r="Q7" s="42">
        <f>C6-C7</f>
        <v>15544</v>
      </c>
      <c r="R7" s="42">
        <f t="shared" ref="R7:R15" si="5">SUM(N7:Q7)</f>
        <v>15870</v>
      </c>
      <c r="S7" s="30">
        <f t="shared" ref="S7:S15" si="6">R7*((((N7*Q7)-(O7*P7))^2))</f>
        <v>1251983093880</v>
      </c>
      <c r="T7" s="30">
        <f t="shared" ref="T7:T15" si="7">(N7+O7)*(P7+Q7)*(N7+P7)*(O7+Q7)</f>
        <v>6106124393824</v>
      </c>
      <c r="U7" s="31">
        <f t="shared" ref="U7:U15" si="8">IF((S7&gt;0),S7/T7,"- -")</f>
        <v>0.20503727292983259</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206.99999999999997</v>
      </c>
      <c r="R8" s="42">
        <f t="shared" si="5"/>
        <v>208.04999999999998</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206.99999999999997</v>
      </c>
      <c r="R9" s="42">
        <f t="shared" si="5"/>
        <v>207.99999999999997</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206.99999999999997</v>
      </c>
      <c r="R10" s="42">
        <f t="shared" si="5"/>
        <v>207.99999999999997</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206.99999999999997</v>
      </c>
      <c r="R11" s="42">
        <f t="shared" si="5"/>
        <v>207.99999999999997</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206.99999999999997</v>
      </c>
      <c r="R12" s="42">
        <f t="shared" si="5"/>
        <v>207.99999999999997</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206.99999999999997</v>
      </c>
      <c r="R13" s="42">
        <f t="shared" si="5"/>
        <v>207.99999999999997</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206.99999999999997</v>
      </c>
      <c r="R14" s="42">
        <f t="shared" si="5"/>
        <v>207.99999999999997</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206.99999999999997</v>
      </c>
      <c r="R15" s="42">
        <f t="shared" si="5"/>
        <v>207.99999999999997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15.750999999999999</v>
      </c>
      <c r="D42" s="56">
        <f>E6/1000</f>
        <v>0.11899999999999999</v>
      </c>
      <c r="E42" s="56">
        <f>MAX(C42:D42)</f>
        <v>15.750999999999999</v>
      </c>
      <c r="G42" s="1" t="str">
        <f>B42</f>
        <v>per 1000 youth</v>
      </c>
      <c r="L42" s="57">
        <v>1000</v>
      </c>
      <c r="M42" s="57"/>
      <c r="R42" s="49"/>
    </row>
    <row r="43" spans="2:18" ht="15" hidden="1" customHeight="1" x14ac:dyDescent="0.25">
      <c r="B43" s="49" t="s">
        <v>87</v>
      </c>
      <c r="C43" s="56">
        <f>C7/100</f>
        <v>2.0699999999999998</v>
      </c>
      <c r="D43" s="56">
        <f>E7/100</f>
        <v>0.01</v>
      </c>
      <c r="E43" s="56">
        <f>MAX(C43:D43,0)</f>
        <v>2.0699999999999998</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15.750999999999999</v>
      </c>
      <c r="D48" s="56">
        <f>D42</f>
        <v>0.11899999999999999</v>
      </c>
      <c r="E48" s="56">
        <f>MAX(C48:D48)</f>
        <v>15.750999999999999</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2.0699999999999998</v>
      </c>
      <c r="D49" s="49">
        <f t="shared" si="9"/>
        <v>0.01</v>
      </c>
      <c r="E49" s="49">
        <f>MAX(C49:D49)</f>
        <v>2.0699999999999998</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2.0699999999999998</v>
      </c>
      <c r="D50" s="49">
        <f t="shared" si="9"/>
        <v>0.01</v>
      </c>
      <c r="E50" s="49">
        <f>MAX(C50:D50)</f>
        <v>2.0699999999999998</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15.750999999999999</v>
      </c>
      <c r="D54" s="56">
        <f>D48</f>
        <v>0.11899999999999999</v>
      </c>
      <c r="E54" s="56">
        <f>MAX(C54:D54)</f>
        <v>15.750999999999999</v>
      </c>
      <c r="G54" s="1" t="str">
        <f>G48</f>
        <v>per 1000 youth</v>
      </c>
      <c r="L54" s="58">
        <f>L48</f>
        <v>1000</v>
      </c>
      <c r="M54" s="58"/>
    </row>
    <row r="55" spans="2:18" ht="15" hidden="1" customHeight="1" x14ac:dyDescent="0.25">
      <c r="B55" s="49" t="str">
        <f t="shared" ref="B55:D56" si="10">IF(($E49&gt;0),B49,B48)</f>
        <v>per 100 arrests</v>
      </c>
      <c r="C55" s="49">
        <f t="shared" si="10"/>
        <v>2.0699999999999998</v>
      </c>
      <c r="D55" s="49">
        <f t="shared" si="10"/>
        <v>0.01</v>
      </c>
      <c r="E55" s="49">
        <f>MAX(C55:D55)</f>
        <v>2.0699999999999998</v>
      </c>
      <c r="G55" s="1" t="str">
        <f>G49</f>
        <v>per 100 arrests</v>
      </c>
      <c r="L55" s="58">
        <f>IF(($E49&gt;0),L49,L48)</f>
        <v>100</v>
      </c>
      <c r="M55" s="58"/>
    </row>
    <row r="56" spans="2:18" ht="15" hidden="1" customHeight="1" x14ac:dyDescent="0.25">
      <c r="B56" s="49" t="str">
        <f t="shared" si="10"/>
        <v>per 100 arrests</v>
      </c>
      <c r="C56" s="49">
        <f t="shared" si="10"/>
        <v>2.0699999999999998</v>
      </c>
      <c r="D56" s="49">
        <f t="shared" si="10"/>
        <v>0.01</v>
      </c>
      <c r="E56" s="49">
        <f>MAX(C56:D56)</f>
        <v>2.0699999999999998</v>
      </c>
      <c r="G56" s="1" t="str">
        <f>G50</f>
        <v>per 100 referrals</v>
      </c>
      <c r="L56" s="58">
        <f>IF(($E50&gt;0),L50,L49)</f>
        <v>100</v>
      </c>
      <c r="M56" s="58"/>
    </row>
    <row r="57" spans="2:18" ht="15" hidden="1" customHeight="1" x14ac:dyDescent="0.25">
      <c r="B57" s="49" t="str">
        <f>IF(($E51&gt;0),B51,B49)</f>
        <v>per 100 arrests</v>
      </c>
      <c r="C57" s="49">
        <f>IF(($E51&gt;0),C51,C50)</f>
        <v>2.0699999999999998</v>
      </c>
      <c r="D57" s="49">
        <f>IF(($E51&gt;0),D51,D50)</f>
        <v>0.01</v>
      </c>
      <c r="E57" s="49">
        <f>MAX(C57:D57)</f>
        <v>2.0699999999999998</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15.750999999999999</v>
      </c>
      <c r="D60" s="56">
        <f>D54</f>
        <v>0.11899999999999999</v>
      </c>
      <c r="E60" s="56">
        <f>MAX(C60:D60)</f>
        <v>15.750999999999999</v>
      </c>
      <c r="G60" s="1" t="str">
        <f>G54</f>
        <v>per 1000 youth</v>
      </c>
      <c r="L60" s="58">
        <f>L54</f>
        <v>1000</v>
      </c>
      <c r="M60" s="58"/>
    </row>
    <row r="61" spans="2:18" ht="15" hidden="1" customHeight="1" x14ac:dyDescent="0.25">
      <c r="B61" s="49" t="str">
        <f t="shared" ref="B61:D62" si="11">IF(($E55&gt;0),B55,B54)</f>
        <v>per 100 arrests</v>
      </c>
      <c r="C61" s="49">
        <f t="shared" si="11"/>
        <v>2.0699999999999998</v>
      </c>
      <c r="D61" s="49">
        <f t="shared" si="11"/>
        <v>0.01</v>
      </c>
      <c r="E61" s="49">
        <f>MAX(C61:D61)</f>
        <v>2.0699999999999998</v>
      </c>
      <c r="G61" s="1" t="str">
        <f>G55</f>
        <v>per 100 arrests</v>
      </c>
      <c r="L61" s="58">
        <f>IF(($E55&gt;0),L55,L54)</f>
        <v>100</v>
      </c>
      <c r="M61" s="58"/>
    </row>
    <row r="62" spans="2:18" ht="15" hidden="1" customHeight="1" x14ac:dyDescent="0.25">
      <c r="B62" s="49" t="str">
        <f t="shared" si="11"/>
        <v>per 100 arrests</v>
      </c>
      <c r="C62" s="49">
        <f t="shared" si="11"/>
        <v>2.0699999999999998</v>
      </c>
      <c r="D62" s="49">
        <f t="shared" si="11"/>
        <v>0.01</v>
      </c>
      <c r="E62" s="49">
        <f>MAX(C62:D62)</f>
        <v>2.0699999999999998</v>
      </c>
      <c r="G62" s="1" t="str">
        <f>G56</f>
        <v>per 100 referrals</v>
      </c>
      <c r="L62" s="58">
        <f>IF(($E56&gt;0),L56,L55)</f>
        <v>100</v>
      </c>
      <c r="M62" s="58"/>
    </row>
    <row r="63" spans="2:18" ht="15" hidden="1" customHeight="1" x14ac:dyDescent="0.25">
      <c r="B63" s="49" t="str">
        <f>IF(($E57&gt;0),B57,B55)</f>
        <v>per 100 arrests</v>
      </c>
      <c r="C63" s="49">
        <f>IF(($E57&gt;0),C57,C56)</f>
        <v>2.0699999999999998</v>
      </c>
      <c r="D63" s="49">
        <f>IF(($E57&gt;0),D57,D56)</f>
        <v>0.01</v>
      </c>
      <c r="E63" s="49">
        <f>MAX(C63:D63)</f>
        <v>2.0699999999999998</v>
      </c>
      <c r="G63" s="1" t="str">
        <f>G57</f>
        <v>per 100 youth petitioned</v>
      </c>
      <c r="L63" s="58">
        <f>IF(($E57&gt;0),L57,L56)</f>
        <v>100</v>
      </c>
      <c r="M63" s="58"/>
    </row>
    <row r="64" spans="2:18" ht="15" hidden="1" customHeight="1" x14ac:dyDescent="0.25">
      <c r="B64" s="49" t="str">
        <f>IF(($E58&gt;0),B58,B57)</f>
        <v>per 100 arrests</v>
      </c>
      <c r="C64" s="49">
        <f>IF(($E58&gt;0),C58,C57)</f>
        <v>2.0699999999999998</v>
      </c>
      <c r="D64" s="49">
        <f>IF(($E58&gt;0),D58,D57)</f>
        <v>0.01</v>
      </c>
      <c r="E64" s="56">
        <f>MAX(C64:D64)</f>
        <v>2.0699999999999998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15.750999999999999</v>
      </c>
      <c r="D66" s="56">
        <f>D60</f>
        <v>0.11899999999999999</v>
      </c>
      <c r="E66" s="56">
        <f>MAX(C66:D66)</f>
        <v>15.750999999999999</v>
      </c>
      <c r="G66" s="1" t="str">
        <f>G60</f>
        <v>per 1000 youth</v>
      </c>
      <c r="L66" s="58">
        <f>L60</f>
        <v>1000</v>
      </c>
      <c r="M66" s="58">
        <f>IF((B66=G66),1,2)</f>
        <v>1</v>
      </c>
    </row>
    <row r="67" spans="2:13" ht="15" hidden="1" customHeight="1" x14ac:dyDescent="0.25">
      <c r="B67" s="49" t="str">
        <f t="shared" ref="B67:D68" si="12">IF(($E61&gt;0),B61,B60)</f>
        <v>per 100 arrests</v>
      </c>
      <c r="C67" s="49">
        <f t="shared" si="12"/>
        <v>2.0699999999999998</v>
      </c>
      <c r="D67" s="49">
        <f t="shared" si="12"/>
        <v>0.01</v>
      </c>
      <c r="E67" s="49">
        <f>MAX(C67:D67)</f>
        <v>2.0699999999999998</v>
      </c>
      <c r="G67" s="1" t="str">
        <f>G61</f>
        <v>per 100 arrests</v>
      </c>
      <c r="L67" s="58">
        <f>IF(($E61&gt;0),L61,L60)</f>
        <v>100</v>
      </c>
      <c r="M67" s="58">
        <f>IF((B67=G67),1,2)</f>
        <v>1</v>
      </c>
    </row>
    <row r="68" spans="2:13" ht="15" hidden="1" customHeight="1" x14ac:dyDescent="0.25">
      <c r="B68" s="49" t="str">
        <f t="shared" si="12"/>
        <v>per 100 arrests</v>
      </c>
      <c r="C68" s="49">
        <f t="shared" si="12"/>
        <v>2.0699999999999998</v>
      </c>
      <c r="D68" s="49">
        <f t="shared" si="12"/>
        <v>0.01</v>
      </c>
      <c r="E68" s="49">
        <f>MAX(C68:D68)</f>
        <v>2.0699999999999998</v>
      </c>
      <c r="G68" s="1" t="str">
        <f>G62</f>
        <v>per 100 referrals</v>
      </c>
      <c r="L68" s="58">
        <f>IF(($E62&gt;0),L62,L61)</f>
        <v>100</v>
      </c>
      <c r="M68" s="58">
        <f>IF((B68=G68),1,2)</f>
        <v>2</v>
      </c>
    </row>
    <row r="69" spans="2:13" ht="15" hidden="1" customHeight="1" x14ac:dyDescent="0.25">
      <c r="B69" s="49" t="str">
        <f>IF(($E63&gt;0),B63,B61)</f>
        <v>per 100 arrests</v>
      </c>
      <c r="C69" s="49">
        <f>IF(($E63&gt;0),C63,C62)</f>
        <v>2.0699999999999998</v>
      </c>
      <c r="D69" s="49">
        <f>IF(($E63&gt;0),D63,D62)</f>
        <v>0.01</v>
      </c>
      <c r="E69" s="49">
        <f>MAX(C69:D69)</f>
        <v>2.0699999999999998</v>
      </c>
      <c r="G69" s="1" t="str">
        <f>G63</f>
        <v>per 100 youth petitioned</v>
      </c>
      <c r="L69" s="58">
        <f>IF(($E63&gt;0),L63,L62)</f>
        <v>100</v>
      </c>
      <c r="M69" s="58">
        <f>IF((B69=G69),1,2)</f>
        <v>2</v>
      </c>
    </row>
    <row r="70" spans="2:13" ht="15" hidden="1" customHeight="1" x14ac:dyDescent="0.25">
      <c r="B70" s="49" t="str">
        <f>IF(($E64&gt;0),B64,B63)</f>
        <v>per 100 arrests</v>
      </c>
      <c r="C70" s="49">
        <f>IF(($E64&gt;0),C64,C63)</f>
        <v>2.0699999999999998</v>
      </c>
      <c r="D70" s="49">
        <f>IF(($E64&gt;0),D64,D63)</f>
        <v>0.01</v>
      </c>
      <c r="E70" s="56">
        <f>MAX(C70:D70)</f>
        <v>2.0699999999999998</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2020-11-19T17:39:26Z</dcterms:modified>
</cp:coreProperties>
</file>