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260" yWindow="-75" windowWidth="15480" windowHeight="10485"/>
  </bookViews>
  <sheets>
    <sheet name="Data Entry" sheetId="1" r:id="rId1"/>
    <sheet name="Standard Display" sheetId="13" r:id="rId2"/>
    <sheet name="Narrow Display" sheetId="16" r:id="rId3"/>
    <sheet name="Black or African-American" sheetId="2" r:id="rId4"/>
    <sheet name="Asian" sheetId="3" r:id="rId5"/>
    <sheet name="Hispanic" sheetId="4" r:id="rId6"/>
    <sheet name="Hawaiian" sheetId="5" r:id="rId7"/>
    <sheet name="Am Indian" sheetId="6" r:id="rId8"/>
    <sheet name="Other - Mixed" sheetId="7" r:id="rId9"/>
    <sheet name="All Minorities" sheetId="8" r:id="rId10"/>
    <sheet name="Summary" sheetId="9" r:id="rId11"/>
    <sheet name="Population based rates" sheetId="10" r:id="rId12"/>
    <sheet name="Defaults" sheetId="11" r:id="rId13"/>
  </sheets>
  <definedNames>
    <definedName name="_xlnm.Print_Area" localSheetId="0">'Data Entry'!$A$1:$K$23</definedName>
    <definedName name="_xlnm.Print_Area" localSheetId="2">'Narrow Display'!$B$2:$K$26</definedName>
    <definedName name="_xlnm.Print_Area" localSheetId="11">'Population based rates'!$B$14:$K$30</definedName>
    <definedName name="_xlnm.Print_Area" localSheetId="1">'Standard Display'!$B$2:$Q$26</definedName>
    <definedName name="_xlnm.Print_Area" localSheetId="10">Summary!$B$2:$I$25</definedName>
  </definedNames>
  <calcPr calcId="145621"/>
</workbook>
</file>

<file path=xl/calcChain.xml><?xml version="1.0" encoding="utf-8"?>
<calcChain xmlns="http://schemas.openxmlformats.org/spreadsheetml/2006/main">
  <c r="B4" i="16" l="1"/>
  <c r="B7" i="16" l="1"/>
  <c r="H7" i="16" l="1"/>
  <c r="F7" i="16"/>
  <c r="D7" i="16"/>
  <c r="C7" i="16"/>
  <c r="N7" i="13"/>
  <c r="L7" i="13"/>
  <c r="J7" i="13"/>
  <c r="H7" i="13"/>
  <c r="F7" i="13"/>
  <c r="D7" i="13"/>
  <c r="C7" i="13"/>
  <c r="B7" i="13"/>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4" i="16"/>
  <c r="H3" i="16"/>
  <c r="B3" i="16"/>
  <c r="B26" i="13" l="1"/>
  <c r="E26" i="13"/>
  <c r="B27" i="13"/>
  <c r="E27" i="13"/>
  <c r="B28" i="13"/>
  <c r="E28" i="13"/>
  <c r="B29" i="13"/>
  <c r="E29" i="13"/>
  <c r="B30" i="13"/>
  <c r="E30" i="13"/>
  <c r="B25" i="13"/>
  <c r="L5" i="13" l="1"/>
  <c r="N5" i="13"/>
  <c r="P5" i="13"/>
  <c r="B4" i="13" l="1"/>
  <c r="N4" i="13"/>
  <c r="B3" i="13"/>
  <c r="N3" i="13"/>
  <c r="F10" i="13" l="1"/>
  <c r="A17" i="1" l="1"/>
  <c r="F1" i="2"/>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E18" i="10" s="1"/>
  <c r="G2" i="10"/>
  <c r="H2" i="10"/>
  <c r="G18" i="10" s="1"/>
  <c r="I2" i="10"/>
  <c r="H18" i="10" s="1"/>
  <c r="J2" i="10"/>
  <c r="I18" i="10" s="1"/>
  <c r="B3" i="10"/>
  <c r="F15" i="10"/>
  <c r="B16" i="10"/>
  <c r="F16" i="10"/>
  <c r="B17" i="10"/>
  <c r="C18" i="10"/>
  <c r="F18" i="10"/>
  <c r="J18" i="10"/>
  <c r="B30" i="10"/>
  <c r="A15" i="11"/>
  <c r="M66" i="8"/>
  <c r="F27" i="8"/>
  <c r="F27" i="7"/>
  <c r="M66" i="7"/>
  <c r="F27" i="4"/>
  <c r="M66" i="4"/>
  <c r="F27" i="6"/>
  <c r="M66" i="6"/>
  <c r="M66" i="5"/>
  <c r="F27" i="5"/>
  <c r="F27" i="3"/>
  <c r="M66" i="3"/>
  <c r="M66" i="2"/>
  <c r="H5" i="16" l="1"/>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B12" i="1"/>
  <c r="N11" i="6"/>
  <c r="J3" i="10"/>
  <c r="E6" i="7"/>
  <c r="N11" i="3"/>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B13" i="1"/>
  <c r="E14" i="2"/>
  <c r="N14" i="2" s="1"/>
  <c r="E6" i="6"/>
  <c r="I3" i="10"/>
  <c r="E8" i="2"/>
  <c r="N9" i="3"/>
  <c r="C14" i="2"/>
  <c r="P14" i="2" s="1"/>
  <c r="C14" i="5"/>
  <c r="P14" i="5" s="1"/>
  <c r="C14" i="7"/>
  <c r="P14" i="7" s="1"/>
  <c r="C14" i="6"/>
  <c r="P14" i="6" s="1"/>
  <c r="C14" i="3"/>
  <c r="P14" i="3" s="1"/>
  <c r="C14" i="4"/>
  <c r="P14" i="4" s="1"/>
  <c r="C14" i="8"/>
  <c r="P14" i="8" s="1"/>
  <c r="D12" i="13"/>
  <c r="D46" i="7"/>
  <c r="N12" i="6"/>
  <c r="H3" i="10"/>
  <c r="E6" i="5"/>
  <c r="C7" i="3"/>
  <c r="C7" i="5"/>
  <c r="C7" i="2"/>
  <c r="C7" i="4"/>
  <c r="C7" i="7"/>
  <c r="C7" i="8"/>
  <c r="C7" i="6"/>
  <c r="N7" i="3"/>
  <c r="C10" i="3"/>
  <c r="P10" i="3" s="1"/>
  <c r="C10" i="4"/>
  <c r="P10" i="4" s="1"/>
  <c r="C10" i="8"/>
  <c r="P10" i="8" s="1"/>
  <c r="C10" i="5"/>
  <c r="P10" i="5" s="1"/>
  <c r="C10" i="2"/>
  <c r="P10" i="2" s="1"/>
  <c r="C10" i="7"/>
  <c r="P10" i="7" s="1"/>
  <c r="C10" i="6"/>
  <c r="P10" i="6" s="1"/>
  <c r="G3" i="10"/>
  <c r="E6" i="3"/>
  <c r="N8" i="5"/>
  <c r="C13" i="2"/>
  <c r="P13" i="2" s="1"/>
  <c r="C13" i="6"/>
  <c r="P13" i="6" s="1"/>
  <c r="C13" i="3"/>
  <c r="P13" i="3" s="1"/>
  <c r="C13" i="5"/>
  <c r="P13" i="5" s="1"/>
  <c r="C13" i="4"/>
  <c r="P13" i="4" s="1"/>
  <c r="C13" i="7"/>
  <c r="P13" i="7" s="1"/>
  <c r="C13" i="8"/>
  <c r="P13" i="8" s="1"/>
  <c r="N9" i="5"/>
  <c r="E10" i="2"/>
  <c r="J12" i="1"/>
  <c r="J13" i="16" s="1"/>
  <c r="E12" i="2"/>
  <c r="D43" i="7"/>
  <c r="J6" i="1"/>
  <c r="E6" i="2"/>
  <c r="D42" i="2" s="1"/>
  <c r="D48" i="2" s="1"/>
  <c r="D54" i="2" s="1"/>
  <c r="D60" i="2" s="1"/>
  <c r="D66" i="2" s="1"/>
  <c r="E3" i="10"/>
  <c r="F3" i="10"/>
  <c r="E6" i="4"/>
  <c r="J9" i="1"/>
  <c r="J10" i="16" s="1"/>
  <c r="E9" i="2"/>
  <c r="B9" i="1"/>
  <c r="C6" i="6"/>
  <c r="C6" i="7"/>
  <c r="D3" i="10"/>
  <c r="C6" i="3"/>
  <c r="C6" i="4"/>
  <c r="C6" i="5"/>
  <c r="C6" i="2"/>
  <c r="C6" i="8"/>
  <c r="C42" i="8" s="1"/>
  <c r="E7" i="2"/>
  <c r="D43" i="6"/>
  <c r="D44" i="6"/>
  <c r="N12" i="5"/>
  <c r="D16" i="13"/>
  <c r="C15" i="2"/>
  <c r="P15" i="2" s="1"/>
  <c r="C15" i="3"/>
  <c r="P15" i="3" s="1"/>
  <c r="C15" i="4"/>
  <c r="P15" i="4" s="1"/>
  <c r="C15" i="6"/>
  <c r="P15" i="6" s="1"/>
  <c r="C15" i="5"/>
  <c r="P15" i="5" s="1"/>
  <c r="C15" i="7"/>
  <c r="P15" i="7" s="1"/>
  <c r="C15" i="8"/>
  <c r="P15" i="8" s="1"/>
  <c r="N11" i="5"/>
  <c r="J7" i="16" l="1"/>
  <c r="P7" i="13"/>
  <c r="N8" i="3"/>
  <c r="N11" i="4"/>
  <c r="H16" i="1"/>
  <c r="M17" i="13" s="1"/>
  <c r="B16" i="1"/>
  <c r="N11" i="7"/>
  <c r="D46" i="3"/>
  <c r="N7" i="4"/>
  <c r="N12" i="4"/>
  <c r="O25" i="4" s="1"/>
  <c r="F16" i="1"/>
  <c r="C16" i="1"/>
  <c r="J16" i="1"/>
  <c r="G16" i="1"/>
  <c r="K17" i="13" s="1"/>
  <c r="E8" i="7"/>
  <c r="N9" i="13"/>
  <c r="E7" i="5"/>
  <c r="N7" i="5" s="1"/>
  <c r="J8" i="13"/>
  <c r="G16" i="9"/>
  <c r="H28" i="10" s="1"/>
  <c r="E9" i="8"/>
  <c r="N9" i="8" s="1"/>
  <c r="P10" i="13"/>
  <c r="E12" i="8"/>
  <c r="N12" i="8" s="1"/>
  <c r="P13" i="13"/>
  <c r="B7" i="1"/>
  <c r="E10" i="3"/>
  <c r="N10" i="3" s="1"/>
  <c r="H11" i="13"/>
  <c r="E13" i="8"/>
  <c r="N13" i="8" s="1"/>
  <c r="P14" i="13"/>
  <c r="B15" i="1"/>
  <c r="E14" i="3"/>
  <c r="N14" i="3" s="1"/>
  <c r="H15" i="13"/>
  <c r="E8" i="4"/>
  <c r="N8" i="4" s="1"/>
  <c r="F9" i="13"/>
  <c r="B8" i="1"/>
  <c r="L6" i="2"/>
  <c r="J14" i="1"/>
  <c r="J15" i="16" s="1"/>
  <c r="B11" i="1"/>
  <c r="B14" i="1"/>
  <c r="B10" i="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O7" i="5"/>
  <c r="D42" i="5"/>
  <c r="D48" i="5" s="1"/>
  <c r="D54" i="5" s="1"/>
  <c r="D60" i="5" s="1"/>
  <c r="D66" i="5" s="1"/>
  <c r="J8" i="1"/>
  <c r="J9" i="16" s="1"/>
  <c r="O7" i="6"/>
  <c r="D42" i="6"/>
  <c r="D48" i="6" s="1"/>
  <c r="D54" i="6" s="1"/>
  <c r="D60" i="6" s="1"/>
  <c r="D66" i="6" s="1"/>
  <c r="F7" i="6" s="1"/>
  <c r="P12" i="4"/>
  <c r="C46" i="4"/>
  <c r="E46" i="4" s="1"/>
  <c r="P8" i="4"/>
  <c r="C44" i="4"/>
  <c r="C44" i="3"/>
  <c r="E44" i="3" s="1"/>
  <c r="P8" i="3"/>
  <c r="I16" i="1"/>
  <c r="O17" i="13" s="1"/>
  <c r="D43" i="5"/>
  <c r="C46" i="2"/>
  <c r="P12" i="2"/>
  <c r="N8" i="7"/>
  <c r="D44" i="7"/>
  <c r="P7" i="3"/>
  <c r="C43" i="3"/>
  <c r="E43" i="3" s="1"/>
  <c r="O25" i="6"/>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D46" i="8" l="1"/>
  <c r="D44" i="4"/>
  <c r="E17" i="13"/>
  <c r="E17" i="16"/>
  <c r="G17" i="13"/>
  <c r="G17" i="16"/>
  <c r="Q17" i="13"/>
  <c r="K17" i="16"/>
  <c r="C17" i="13"/>
  <c r="C17" i="16"/>
  <c r="I17" i="13"/>
  <c r="I17" i="16"/>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E43" i="5"/>
  <c r="D49" i="5" s="1"/>
  <c r="D24" i="10"/>
  <c r="L50" i="3"/>
  <c r="C50" i="3"/>
  <c r="B50" i="3"/>
  <c r="D50" i="3"/>
  <c r="P11" i="7"/>
  <c r="C45" i="7"/>
  <c r="E45" i="7" s="1"/>
  <c r="L52" i="3"/>
  <c r="B52" i="3"/>
  <c r="D52" i="3"/>
  <c r="L52" i="7"/>
  <c r="C52" i="7"/>
  <c r="B52" i="7"/>
  <c r="D52" i="7"/>
  <c r="C45" i="6"/>
  <c r="E45" i="6" s="1"/>
  <c r="P11" i="6"/>
  <c r="P11" i="8"/>
  <c r="C45" i="8"/>
  <c r="L52" i="5"/>
  <c r="B52" i="5"/>
  <c r="D52" i="5"/>
  <c r="C48" i="6"/>
  <c r="E42" i="6"/>
  <c r="R7" i="6"/>
  <c r="S7" i="6" s="1"/>
  <c r="U7" i="6" s="1"/>
  <c r="J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B52" i="8"/>
  <c r="D45" i="2"/>
  <c r="N11" i="2"/>
  <c r="E21" i="10"/>
  <c r="F19" i="10"/>
  <c r="G9" i="7"/>
  <c r="G11" i="7"/>
  <c r="G15" i="7"/>
  <c r="G12" i="7"/>
  <c r="G8" i="7"/>
  <c r="G10" i="7"/>
  <c r="G13" i="7"/>
  <c r="G7" i="7"/>
  <c r="G14" i="7"/>
  <c r="E44" i="2"/>
  <c r="P11" i="4"/>
  <c r="C45" i="4"/>
  <c r="E45" i="4" s="1"/>
  <c r="G7" i="6"/>
  <c r="G14" i="6"/>
  <c r="G8" i="6"/>
  <c r="G13" i="6"/>
  <c r="G10" i="6"/>
  <c r="G12" i="6"/>
  <c r="G9" i="6"/>
  <c r="G11" i="6"/>
  <c r="G15" i="6"/>
  <c r="K7" i="6"/>
  <c r="K7" i="3"/>
  <c r="R7" i="5"/>
  <c r="S7" i="5" s="1"/>
  <c r="K7" i="5"/>
  <c r="T7" i="5"/>
  <c r="T7" i="4"/>
  <c r="B49" i="2"/>
  <c r="D22" i="10"/>
  <c r="I27" i="10"/>
  <c r="F27" i="10"/>
  <c r="C27" i="10"/>
  <c r="H27" i="10"/>
  <c r="E27" i="10"/>
  <c r="H24" i="10"/>
  <c r="I24" i="10"/>
  <c r="C24" i="10"/>
  <c r="G24" i="10"/>
  <c r="G25" i="10"/>
  <c r="K7" i="7"/>
  <c r="E42" i="3"/>
  <c r="C48" i="3"/>
  <c r="I20" i="10"/>
  <c r="B52" i="6"/>
  <c r="D52" i="6"/>
  <c r="L52" i="6"/>
  <c r="C52" i="6"/>
  <c r="N11" i="8"/>
  <c r="F24" i="10"/>
  <c r="F22" i="10"/>
  <c r="C45" i="5"/>
  <c r="E45" i="5" s="1"/>
  <c r="P11" i="5"/>
  <c r="C48" i="2"/>
  <c r="E42" i="2"/>
  <c r="L49" i="5"/>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E45" i="2" s="1"/>
  <c r="P11" i="2"/>
  <c r="G8" i="5"/>
  <c r="G14" i="5"/>
  <c r="G11" i="5"/>
  <c r="G7" i="5"/>
  <c r="G12" i="5"/>
  <c r="G10" i="5"/>
  <c r="G13" i="5"/>
  <c r="G9" i="5"/>
  <c r="G15" i="5"/>
  <c r="O25" i="2"/>
  <c r="C49" i="3"/>
  <c r="D49" i="3"/>
  <c r="L49" i="3"/>
  <c r="B49" i="3"/>
  <c r="E46" i="2"/>
  <c r="D52" i="4"/>
  <c r="L52" i="4"/>
  <c r="B52" i="4"/>
  <c r="C52" i="4"/>
  <c r="L49" i="6"/>
  <c r="C49" i="6"/>
  <c r="D49" i="6"/>
  <c r="B49" i="6"/>
  <c r="D23" i="10"/>
  <c r="C48" i="7"/>
  <c r="E42" i="7"/>
  <c r="C54" i="8"/>
  <c r="E48" i="8"/>
  <c r="H26" i="10"/>
  <c r="D26" i="10"/>
  <c r="I26" i="10"/>
  <c r="C26" i="10"/>
  <c r="E20" i="10"/>
  <c r="C20" i="10"/>
  <c r="G20" i="10"/>
  <c r="H20" i="10"/>
  <c r="D20" i="10"/>
  <c r="G23" i="10"/>
  <c r="G19" i="10"/>
  <c r="E44" i="7"/>
  <c r="H23" i="10"/>
  <c r="E22" i="10"/>
  <c r="E25" i="10"/>
  <c r="F20" i="10"/>
  <c r="N7" i="8" l="1"/>
  <c r="O7" i="8"/>
  <c r="D43" i="8"/>
  <c r="E43" i="8" s="1"/>
  <c r="L49" i="8" s="1"/>
  <c r="D52" i="8"/>
  <c r="D44" i="8"/>
  <c r="E44" i="8" s="1"/>
  <c r="L50" i="4"/>
  <c r="C50" i="4"/>
  <c r="E50" i="4" s="1"/>
  <c r="C56" i="4" s="1"/>
  <c r="L49" i="2"/>
  <c r="D49" i="2"/>
  <c r="U7" i="5"/>
  <c r="J7" i="5" s="1"/>
  <c r="M7" i="5" s="1"/>
  <c r="U7" i="7"/>
  <c r="J7" i="7" s="1"/>
  <c r="M7" i="7" s="1"/>
  <c r="B50" i="4"/>
  <c r="U7" i="4"/>
  <c r="J7" i="4" s="1"/>
  <c r="M7" i="4" s="1"/>
  <c r="U7" i="3"/>
  <c r="J7" i="3" s="1"/>
  <c r="M7" i="3" s="1"/>
  <c r="C52" i="3"/>
  <c r="E52" i="3" s="1"/>
  <c r="C52" i="5"/>
  <c r="B49" i="5"/>
  <c r="C49" i="5"/>
  <c r="E49" i="5" s="1"/>
  <c r="E49" i="4"/>
  <c r="C55" i="4" s="1"/>
  <c r="F9" i="9"/>
  <c r="K10" i="13"/>
  <c r="G8" i="9"/>
  <c r="M9" i="13"/>
  <c r="F10" i="9"/>
  <c r="K11" i="13"/>
  <c r="F14" i="9"/>
  <c r="K15" i="13"/>
  <c r="U7" i="2"/>
  <c r="J7" i="2" s="1"/>
  <c r="M7" i="2" s="1"/>
  <c r="G15" i="9"/>
  <c r="M16" i="13"/>
  <c r="G10" i="9"/>
  <c r="M11" i="13"/>
  <c r="G7" i="9"/>
  <c r="M8" i="13"/>
  <c r="H14" i="9"/>
  <c r="O15" i="13"/>
  <c r="H8" i="9"/>
  <c r="O9" i="13"/>
  <c r="H9" i="9"/>
  <c r="O10" i="13"/>
  <c r="C52" i="8"/>
  <c r="E52" i="8" s="1"/>
  <c r="F15" i="9"/>
  <c r="K16" i="13"/>
  <c r="F12" i="9"/>
  <c r="K13" i="13"/>
  <c r="F8" i="9"/>
  <c r="K9" i="13"/>
  <c r="G11" i="9"/>
  <c r="M12" i="13"/>
  <c r="G13" i="9"/>
  <c r="M14" i="13"/>
  <c r="H7" i="9"/>
  <c r="O8" i="13"/>
  <c r="H12" i="9"/>
  <c r="O13" i="13"/>
  <c r="L52" i="8"/>
  <c r="H15" i="9"/>
  <c r="O16" i="13"/>
  <c r="F7" i="9"/>
  <c r="K8" i="13"/>
  <c r="G9" i="9"/>
  <c r="M10" i="13"/>
  <c r="H13" i="9"/>
  <c r="O14" i="13"/>
  <c r="E52" i="4"/>
  <c r="E49" i="3"/>
  <c r="D55" i="3" s="1"/>
  <c r="F13" i="9"/>
  <c r="K14" i="13"/>
  <c r="F11" i="9"/>
  <c r="K12" i="13"/>
  <c r="G12" i="9"/>
  <c r="M13" i="13"/>
  <c r="G14" i="9"/>
  <c r="M15" i="13"/>
  <c r="H10" i="9"/>
  <c r="O11" i="13"/>
  <c r="H11" i="9"/>
  <c r="O12" i="13"/>
  <c r="E50" i="5"/>
  <c r="L56" i="5" s="1"/>
  <c r="E45" i="8"/>
  <c r="D51" i="8" s="1"/>
  <c r="E50" i="3"/>
  <c r="C56" i="3" s="1"/>
  <c r="B52" i="2"/>
  <c r="D52" i="2"/>
  <c r="C52" i="2"/>
  <c r="L52" i="2"/>
  <c r="L51" i="2"/>
  <c r="D51" i="2"/>
  <c r="C51" i="2"/>
  <c r="B51" i="2"/>
  <c r="E48" i="4"/>
  <c r="C54" i="4"/>
  <c r="C54" i="2"/>
  <c r="E48" i="2"/>
  <c r="C54" i="3"/>
  <c r="E48" i="3"/>
  <c r="L51" i="4"/>
  <c r="D51" i="4"/>
  <c r="C51" i="4"/>
  <c r="B51" i="4"/>
  <c r="C51" i="7"/>
  <c r="B51" i="7"/>
  <c r="L51" i="7"/>
  <c r="D51" i="7"/>
  <c r="L50" i="7"/>
  <c r="B50" i="7"/>
  <c r="D50" i="7"/>
  <c r="C50" i="7"/>
  <c r="C60" i="8"/>
  <c r="E54" i="8"/>
  <c r="B49" i="8"/>
  <c r="D49" i="8"/>
  <c r="L51" i="5"/>
  <c r="B51" i="5"/>
  <c r="C51" i="5"/>
  <c r="D51" i="5"/>
  <c r="M7" i="6"/>
  <c r="L7" i="6"/>
  <c r="R8" i="16" s="1"/>
  <c r="T7" i="8"/>
  <c r="R7" i="8"/>
  <c r="S7" i="8" s="1"/>
  <c r="K7" i="8"/>
  <c r="C50" i="8"/>
  <c r="L50" i="8"/>
  <c r="B50" i="8"/>
  <c r="D50" i="8"/>
  <c r="B51" i="3"/>
  <c r="D51" i="3"/>
  <c r="C51" i="3"/>
  <c r="L51" i="3"/>
  <c r="L58" i="3" s="1"/>
  <c r="E52" i="6"/>
  <c r="E49" i="2"/>
  <c r="L50" i="2"/>
  <c r="C50" i="2"/>
  <c r="D50" i="2"/>
  <c r="B50" i="2"/>
  <c r="E50" i="6"/>
  <c r="E52" i="7"/>
  <c r="C54" i="7"/>
  <c r="E48" i="7"/>
  <c r="E49" i="6"/>
  <c r="E49" i="7"/>
  <c r="E48" i="5"/>
  <c r="C54" i="5"/>
  <c r="C54" i="6"/>
  <c r="E48" i="6"/>
  <c r="E52" i="5"/>
  <c r="C58" i="5" s="1"/>
  <c r="B51" i="6"/>
  <c r="D51" i="6"/>
  <c r="C51" i="6"/>
  <c r="L51" i="6"/>
  <c r="C49" i="8" l="1"/>
  <c r="L7" i="5"/>
  <c r="Q8" i="16" s="1"/>
  <c r="D55" i="4"/>
  <c r="L7" i="7"/>
  <c r="Q7" i="9" s="1"/>
  <c r="C58" i="4"/>
  <c r="L7" i="3"/>
  <c r="P8" i="16" s="1"/>
  <c r="B51" i="8"/>
  <c r="B58" i="8" s="1"/>
  <c r="C58" i="3"/>
  <c r="D58" i="3"/>
  <c r="B58" i="3"/>
  <c r="L7" i="4"/>
  <c r="O8" i="16" s="1"/>
  <c r="E50" i="2"/>
  <c r="C56" i="2" s="1"/>
  <c r="L55" i="3"/>
  <c r="D58" i="8"/>
  <c r="C55" i="3"/>
  <c r="E55" i="3" s="1"/>
  <c r="L51" i="8"/>
  <c r="L58" i="8"/>
  <c r="B58" i="4"/>
  <c r="B55" i="4"/>
  <c r="L55" i="5"/>
  <c r="B55" i="5"/>
  <c r="C55" i="5"/>
  <c r="D55" i="5"/>
  <c r="L56" i="2"/>
  <c r="E51" i="3"/>
  <c r="B57" i="3" s="1"/>
  <c r="U7" i="8"/>
  <c r="J7" i="8" s="1"/>
  <c r="M7" i="8" s="1"/>
  <c r="L56" i="3"/>
  <c r="E51" i="4"/>
  <c r="D57" i="4" s="1"/>
  <c r="B55" i="3"/>
  <c r="B56" i="5"/>
  <c r="D56" i="3"/>
  <c r="L55" i="4"/>
  <c r="C56" i="5"/>
  <c r="L7" i="2"/>
  <c r="N8" i="16" s="1"/>
  <c r="D56" i="5"/>
  <c r="B56" i="3"/>
  <c r="C51" i="8"/>
  <c r="E51" i="8" s="1"/>
  <c r="B56" i="4"/>
  <c r="P7" i="9"/>
  <c r="X8" i="13"/>
  <c r="O7" i="9"/>
  <c r="W8" i="13"/>
  <c r="L58" i="4"/>
  <c r="D58" i="4"/>
  <c r="E58" i="4" s="1"/>
  <c r="D56" i="4"/>
  <c r="E56" i="4" s="1"/>
  <c r="U8" i="13"/>
  <c r="N7" i="9"/>
  <c r="V8" i="13"/>
  <c r="L56" i="4"/>
  <c r="E56" i="3"/>
  <c r="L62" i="3" s="1"/>
  <c r="E51" i="6"/>
  <c r="L57" i="6" s="1"/>
  <c r="E51" i="7"/>
  <c r="C57" i="7" s="1"/>
  <c r="C58" i="7"/>
  <c r="L58" i="7"/>
  <c r="B58" i="7"/>
  <c r="D58" i="7"/>
  <c r="B56" i="2"/>
  <c r="B58" i="5"/>
  <c r="D55" i="7"/>
  <c r="B55" i="7"/>
  <c r="L55" i="7"/>
  <c r="C55" i="7"/>
  <c r="L55" i="6"/>
  <c r="C55" i="6"/>
  <c r="B55" i="6"/>
  <c r="D55" i="6"/>
  <c r="L56" i="6"/>
  <c r="B56" i="6"/>
  <c r="D56" i="6"/>
  <c r="C56" i="6"/>
  <c r="L58" i="5"/>
  <c r="E50" i="7"/>
  <c r="C60" i="2"/>
  <c r="E54" i="2"/>
  <c r="C60" i="6"/>
  <c r="E54" i="6"/>
  <c r="C55" i="2"/>
  <c r="D55" i="2"/>
  <c r="B55" i="2"/>
  <c r="L55" i="2"/>
  <c r="D58" i="5"/>
  <c r="E58" i="5" s="1"/>
  <c r="E49" i="8"/>
  <c r="D56" i="2"/>
  <c r="E55" i="4"/>
  <c r="C60" i="4"/>
  <c r="E54" i="4"/>
  <c r="C60" i="5"/>
  <c r="E54" i="5"/>
  <c r="E54" i="7"/>
  <c r="C60" i="7"/>
  <c r="B58" i="6"/>
  <c r="D58" i="6"/>
  <c r="C58" i="6"/>
  <c r="L58" i="6"/>
  <c r="E50" i="8"/>
  <c r="E51" i="5"/>
  <c r="E60" i="8"/>
  <c r="C66" i="8"/>
  <c r="C60" i="3"/>
  <c r="E54" i="3"/>
  <c r="E51" i="2"/>
  <c r="E52" i="2"/>
  <c r="D57" i="6" l="1"/>
  <c r="E58" i="3"/>
  <c r="S8" i="16"/>
  <c r="Y8" i="13"/>
  <c r="M7" i="9"/>
  <c r="T8" i="13"/>
  <c r="E56" i="5"/>
  <c r="C62" i="5" s="1"/>
  <c r="C57" i="4"/>
  <c r="B57" i="4"/>
  <c r="C57" i="3"/>
  <c r="B57" i="7"/>
  <c r="L57" i="4"/>
  <c r="L64" i="4" s="1"/>
  <c r="B57" i="6"/>
  <c r="C58" i="8"/>
  <c r="E58" i="8" s="1"/>
  <c r="C57" i="6"/>
  <c r="E57" i="6" s="1"/>
  <c r="L57" i="3"/>
  <c r="L64" i="3" s="1"/>
  <c r="E55" i="5"/>
  <c r="D61" i="5" s="1"/>
  <c r="B62" i="4"/>
  <c r="L62" i="4"/>
  <c r="C62" i="4"/>
  <c r="C62" i="3"/>
  <c r="D57" i="3"/>
  <c r="E57" i="3" s="1"/>
  <c r="L7" i="9"/>
  <c r="L7" i="8"/>
  <c r="T8" i="16" s="1"/>
  <c r="B62" i="3"/>
  <c r="B57" i="8"/>
  <c r="C57" i="8"/>
  <c r="L57" i="8"/>
  <c r="D57" i="8"/>
  <c r="E58" i="6"/>
  <c r="D64" i="6" s="1"/>
  <c r="D62" i="4"/>
  <c r="L57" i="7"/>
  <c r="D62" i="3"/>
  <c r="D57" i="7"/>
  <c r="E57" i="7" s="1"/>
  <c r="C57" i="2"/>
  <c r="D57" i="2"/>
  <c r="L57" i="2"/>
  <c r="B57" i="2"/>
  <c r="L56" i="8"/>
  <c r="B56" i="8"/>
  <c r="C56" i="8"/>
  <c r="D56" i="8"/>
  <c r="E60" i="5"/>
  <c r="C66" i="5"/>
  <c r="C66" i="4"/>
  <c r="E60" i="4"/>
  <c r="B55" i="8"/>
  <c r="L55" i="8"/>
  <c r="D55" i="8"/>
  <c r="C55" i="8"/>
  <c r="C64" i="3"/>
  <c r="B64" i="3"/>
  <c r="B62" i="5"/>
  <c r="D62" i="5"/>
  <c r="L62" i="5"/>
  <c r="E66" i="8"/>
  <c r="D7" i="8"/>
  <c r="G7" i="8" s="1"/>
  <c r="K8" i="16" s="1"/>
  <c r="E60" i="7"/>
  <c r="C66" i="7"/>
  <c r="C64" i="4"/>
  <c r="B64" i="4"/>
  <c r="D61" i="4"/>
  <c r="B61" i="4"/>
  <c r="L61" i="4"/>
  <c r="C61" i="4"/>
  <c r="E55" i="2"/>
  <c r="D64" i="4"/>
  <c r="D56" i="7"/>
  <c r="B56" i="7"/>
  <c r="C56" i="7"/>
  <c r="L56" i="7"/>
  <c r="D61" i="3"/>
  <c r="L61" i="3"/>
  <c r="C61" i="3"/>
  <c r="B61" i="3"/>
  <c r="E57" i="4"/>
  <c r="L58" i="2"/>
  <c r="C58" i="2"/>
  <c r="B58" i="2"/>
  <c r="D58" i="2"/>
  <c r="C66" i="3"/>
  <c r="E60" i="3"/>
  <c r="D57" i="5"/>
  <c r="D64" i="5" s="1"/>
  <c r="L57" i="5"/>
  <c r="L64" i="5" s="1"/>
  <c r="B57" i="5"/>
  <c r="B64" i="5" s="1"/>
  <c r="C57" i="5"/>
  <c r="C64" i="5" s="1"/>
  <c r="C66" i="6"/>
  <c r="E60" i="6"/>
  <c r="C66" i="2"/>
  <c r="E60" i="2"/>
  <c r="E56" i="6"/>
  <c r="E55" i="6"/>
  <c r="E55" i="7"/>
  <c r="E56" i="2"/>
  <c r="E58" i="7"/>
  <c r="R7" i="9" l="1"/>
  <c r="D64" i="8"/>
  <c r="L64" i="6"/>
  <c r="L64" i="8"/>
  <c r="E57" i="2"/>
  <c r="C63" i="2" s="1"/>
  <c r="L61" i="5"/>
  <c r="L63" i="3"/>
  <c r="B63" i="6"/>
  <c r="C63" i="6"/>
  <c r="E64" i="5"/>
  <c r="D64" i="3"/>
  <c r="E64" i="3" s="1"/>
  <c r="C64" i="6"/>
  <c r="E64" i="6" s="1"/>
  <c r="Z8" i="13"/>
  <c r="C64" i="8"/>
  <c r="B64" i="8"/>
  <c r="E62" i="4"/>
  <c r="C68" i="4" s="1"/>
  <c r="B61" i="5"/>
  <c r="C61" i="5"/>
  <c r="E61" i="5" s="1"/>
  <c r="D67" i="5" s="1"/>
  <c r="B63" i="3"/>
  <c r="E62" i="3"/>
  <c r="C68" i="3" s="1"/>
  <c r="E57" i="8"/>
  <c r="B63" i="8" s="1"/>
  <c r="D63" i="3"/>
  <c r="D63" i="6"/>
  <c r="L63" i="6"/>
  <c r="B64" i="6"/>
  <c r="D63" i="7"/>
  <c r="B63" i="7"/>
  <c r="L63" i="7"/>
  <c r="E61" i="3"/>
  <c r="D67" i="3" s="1"/>
  <c r="I7" i="9"/>
  <c r="Q8" i="13"/>
  <c r="E64" i="4"/>
  <c r="E55" i="8"/>
  <c r="D61" i="8" s="1"/>
  <c r="C63" i="7"/>
  <c r="E63" i="7" s="1"/>
  <c r="C63" i="3"/>
  <c r="B62" i="2"/>
  <c r="C62" i="2"/>
  <c r="D62" i="2"/>
  <c r="L63" i="4"/>
  <c r="C63" i="4"/>
  <c r="B63" i="4"/>
  <c r="D63" i="4"/>
  <c r="C67" i="5"/>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2" i="5"/>
  <c r="E66" i="5"/>
  <c r="D7" i="5"/>
  <c r="L68" i="4" l="1"/>
  <c r="D70" i="3"/>
  <c r="B68" i="4"/>
  <c r="M68" i="4" s="1"/>
  <c r="E7" i="9"/>
  <c r="I8" i="13"/>
  <c r="D68" i="4"/>
  <c r="O11" i="4" s="1"/>
  <c r="E61" i="7"/>
  <c r="B68" i="3"/>
  <c r="M68" i="3" s="1"/>
  <c r="L67" i="3"/>
  <c r="O8" i="3" s="1"/>
  <c r="L68" i="3"/>
  <c r="Q11" i="3" s="1"/>
  <c r="C61" i="8"/>
  <c r="C67" i="3"/>
  <c r="E67" i="3" s="1"/>
  <c r="B61" i="8"/>
  <c r="B67" i="3"/>
  <c r="L61" i="8"/>
  <c r="C70" i="4"/>
  <c r="D13" i="4" s="1"/>
  <c r="B70" i="4"/>
  <c r="F34" i="4" s="1"/>
  <c r="D63" i="8"/>
  <c r="L63" i="8"/>
  <c r="B63" i="2"/>
  <c r="L63" i="2"/>
  <c r="D63" i="2"/>
  <c r="E64" i="8"/>
  <c r="L70" i="8" s="1"/>
  <c r="L70" i="4"/>
  <c r="D70" i="4"/>
  <c r="F14" i="4" s="1"/>
  <c r="B70" i="6"/>
  <c r="F33" i="6" s="1"/>
  <c r="L70" i="6"/>
  <c r="E63" i="6"/>
  <c r="D69" i="6" s="1"/>
  <c r="B67" i="5"/>
  <c r="F28" i="5" s="1"/>
  <c r="D70" i="6"/>
  <c r="F13" i="6" s="1"/>
  <c r="D70" i="8"/>
  <c r="F13" i="8" s="1"/>
  <c r="D68" i="3"/>
  <c r="F9" i="3" s="1"/>
  <c r="B70" i="3"/>
  <c r="M70" i="3" s="1"/>
  <c r="C70" i="3"/>
  <c r="D14" i="3" s="1"/>
  <c r="C63" i="8"/>
  <c r="E63" i="8" s="1"/>
  <c r="L67" i="5"/>
  <c r="Q8" i="5" s="1"/>
  <c r="L70" i="3"/>
  <c r="O14" i="3" s="1"/>
  <c r="C70" i="6"/>
  <c r="E70" i="6" s="1"/>
  <c r="E61" i="6"/>
  <c r="B67" i="6" s="1"/>
  <c r="D10" i="3"/>
  <c r="D9" i="3"/>
  <c r="D11" i="3"/>
  <c r="Q10" i="3"/>
  <c r="B69" i="7"/>
  <c r="F32" i="7" s="1"/>
  <c r="E63" i="3"/>
  <c r="C69" i="3" s="1"/>
  <c r="C7" i="9"/>
  <c r="E8" i="13"/>
  <c r="D7" i="9"/>
  <c r="G8" i="13"/>
  <c r="E64" i="7"/>
  <c r="D70" i="7" s="1"/>
  <c r="F13" i="7" s="1"/>
  <c r="E61" i="2"/>
  <c r="C67" i="2" s="1"/>
  <c r="F30" i="4"/>
  <c r="F29" i="4"/>
  <c r="B62" i="8"/>
  <c r="C62" i="8"/>
  <c r="L62" i="8"/>
  <c r="D62" i="8"/>
  <c r="F8" i="3"/>
  <c r="O14" i="6"/>
  <c r="F14" i="6"/>
  <c r="L68" i="5"/>
  <c r="C68" i="5"/>
  <c r="B68" i="5"/>
  <c r="D68" i="5"/>
  <c r="F9" i="4"/>
  <c r="O9" i="4"/>
  <c r="F11" i="4"/>
  <c r="D62" i="7"/>
  <c r="D69" i="7" s="1"/>
  <c r="B62" i="7"/>
  <c r="C62" i="7"/>
  <c r="C69" i="7" s="1"/>
  <c r="D12" i="7" s="1"/>
  <c r="L62" i="7"/>
  <c r="L69" i="7" s="1"/>
  <c r="F34" i="6"/>
  <c r="M70" i="6"/>
  <c r="E63" i="2"/>
  <c r="C67" i="4"/>
  <c r="L67" i="4"/>
  <c r="D67" i="4"/>
  <c r="B67" i="4"/>
  <c r="E62" i="6"/>
  <c r="D9" i="4"/>
  <c r="Q10" i="4"/>
  <c r="Q11" i="4"/>
  <c r="E68" i="4"/>
  <c r="D10" i="4"/>
  <c r="Q9" i="4"/>
  <c r="D11" i="4"/>
  <c r="L64" i="2"/>
  <c r="D64" i="2"/>
  <c r="C64" i="2"/>
  <c r="B64" i="2"/>
  <c r="E61" i="8"/>
  <c r="D8" i="3"/>
  <c r="C67" i="7"/>
  <c r="L67" i="7"/>
  <c r="D67" i="7"/>
  <c r="B67" i="7"/>
  <c r="E67" i="5"/>
  <c r="D8" i="5"/>
  <c r="F13" i="3"/>
  <c r="F14" i="3"/>
  <c r="O13" i="4"/>
  <c r="E63" i="4"/>
  <c r="E62" i="2"/>
  <c r="C69" i="6"/>
  <c r="D63" i="5"/>
  <c r="D70" i="5" s="1"/>
  <c r="F14" i="5" s="1"/>
  <c r="C63" i="5"/>
  <c r="C70" i="5" s="1"/>
  <c r="B63" i="5"/>
  <c r="B70" i="5" s="1"/>
  <c r="F33" i="5" s="1"/>
  <c r="L63" i="5"/>
  <c r="L70" i="5" s="1"/>
  <c r="F28" i="3"/>
  <c r="M67" i="3"/>
  <c r="F8" i="5"/>
  <c r="O8" i="5" l="1"/>
  <c r="L69" i="6"/>
  <c r="B69" i="6"/>
  <c r="Q14" i="4"/>
  <c r="F31" i="4"/>
  <c r="Q8" i="3"/>
  <c r="B69" i="2"/>
  <c r="F13" i="5"/>
  <c r="M70" i="4"/>
  <c r="D69" i="3"/>
  <c r="C67" i="6"/>
  <c r="E70" i="4"/>
  <c r="O13" i="6"/>
  <c r="F33" i="3"/>
  <c r="F13" i="4"/>
  <c r="F33" i="4"/>
  <c r="F10" i="4"/>
  <c r="O10" i="4"/>
  <c r="M67" i="5"/>
  <c r="O11" i="3"/>
  <c r="T11" i="3" s="1"/>
  <c r="O14" i="4"/>
  <c r="Q13" i="4"/>
  <c r="F30" i="3"/>
  <c r="O13" i="3"/>
  <c r="D13" i="3"/>
  <c r="Q9" i="3"/>
  <c r="O10" i="3"/>
  <c r="T10" i="3" s="1"/>
  <c r="E68" i="3"/>
  <c r="O9" i="3"/>
  <c r="F31" i="3"/>
  <c r="F29" i="3"/>
  <c r="D14" i="4"/>
  <c r="L70" i="7"/>
  <c r="O14" i="7" s="1"/>
  <c r="E70" i="3"/>
  <c r="Q14" i="6"/>
  <c r="R14" i="6" s="1"/>
  <c r="S14" i="6" s="1"/>
  <c r="M69" i="7"/>
  <c r="B69" i="3"/>
  <c r="M69" i="3" s="1"/>
  <c r="C70" i="8"/>
  <c r="Q13" i="8" s="1"/>
  <c r="Q13" i="6"/>
  <c r="B70" i="8"/>
  <c r="M70" i="8" s="1"/>
  <c r="O13" i="8"/>
  <c r="F14" i="8"/>
  <c r="R10" i="3"/>
  <c r="S10" i="3" s="1"/>
  <c r="O14" i="8"/>
  <c r="E64" i="2"/>
  <c r="L70" i="2" s="1"/>
  <c r="L67" i="6"/>
  <c r="F10" i="3"/>
  <c r="F11" i="3"/>
  <c r="F34" i="3"/>
  <c r="D67" i="6"/>
  <c r="Q13" i="3"/>
  <c r="K11" i="3"/>
  <c r="L69" i="3"/>
  <c r="Q12" i="3" s="1"/>
  <c r="M70" i="5"/>
  <c r="E70" i="5"/>
  <c r="Q13" i="5"/>
  <c r="D13" i="5"/>
  <c r="Q14" i="5"/>
  <c r="D14" i="5"/>
  <c r="O15" i="7"/>
  <c r="F12" i="7"/>
  <c r="F15" i="7"/>
  <c r="O13" i="5"/>
  <c r="O14" i="5"/>
  <c r="F35" i="7"/>
  <c r="Q14" i="3"/>
  <c r="R14" i="3" s="1"/>
  <c r="S14" i="3" s="1"/>
  <c r="F34" i="5"/>
  <c r="B70" i="7"/>
  <c r="F34" i="7" s="1"/>
  <c r="D14" i="6"/>
  <c r="D13" i="6"/>
  <c r="C70" i="7"/>
  <c r="D14" i="7" s="1"/>
  <c r="F14" i="7"/>
  <c r="Q15" i="7"/>
  <c r="E63" i="5"/>
  <c r="B69" i="5" s="1"/>
  <c r="Q12" i="7"/>
  <c r="D67" i="2"/>
  <c r="E67" i="2" s="1"/>
  <c r="O12" i="7"/>
  <c r="D15" i="7"/>
  <c r="E69" i="7"/>
  <c r="B67" i="2"/>
  <c r="F28" i="2" s="1"/>
  <c r="O13" i="7"/>
  <c r="E62" i="7"/>
  <c r="C68" i="7" s="1"/>
  <c r="R9" i="4"/>
  <c r="S9" i="4" s="1"/>
  <c r="L67" i="2"/>
  <c r="R8" i="5"/>
  <c r="S8" i="5" s="1"/>
  <c r="T8" i="5"/>
  <c r="K8" i="5"/>
  <c r="M69" i="2"/>
  <c r="F35" i="2"/>
  <c r="F32" i="2"/>
  <c r="F12" i="6"/>
  <c r="O15" i="6"/>
  <c r="F15" i="6"/>
  <c r="O12" i="6"/>
  <c r="B67" i="8"/>
  <c r="L67" i="8"/>
  <c r="D67" i="8"/>
  <c r="C67" i="8"/>
  <c r="M67" i="6"/>
  <c r="F28" i="6"/>
  <c r="L68" i="6"/>
  <c r="B68" i="6"/>
  <c r="D68" i="6"/>
  <c r="C68" i="6"/>
  <c r="E67" i="4"/>
  <c r="Q8" i="4"/>
  <c r="D8" i="4"/>
  <c r="L69" i="2"/>
  <c r="C69" i="2"/>
  <c r="D69" i="2"/>
  <c r="K9" i="4"/>
  <c r="T9" i="4"/>
  <c r="O11" i="5"/>
  <c r="O10" i="5"/>
  <c r="O9" i="5"/>
  <c r="F10" i="5"/>
  <c r="F9" i="5"/>
  <c r="F11" i="5"/>
  <c r="F32" i="3"/>
  <c r="E69" i="6"/>
  <c r="Q15" i="6"/>
  <c r="D12" i="6"/>
  <c r="Q12" i="6"/>
  <c r="D15" i="6"/>
  <c r="L68" i="2"/>
  <c r="D68" i="2"/>
  <c r="B68" i="2"/>
  <c r="C68" i="2"/>
  <c r="E67" i="7"/>
  <c r="D8" i="7"/>
  <c r="Q8" i="7"/>
  <c r="D8" i="6"/>
  <c r="Q8" i="6"/>
  <c r="E67" i="6"/>
  <c r="M67" i="4"/>
  <c r="F28" i="4"/>
  <c r="R11" i="4"/>
  <c r="S11" i="4" s="1"/>
  <c r="K11" i="4"/>
  <c r="T11" i="4"/>
  <c r="M68" i="5"/>
  <c r="F30" i="5"/>
  <c r="F29" i="5"/>
  <c r="F31" i="5"/>
  <c r="T8" i="3"/>
  <c r="K8" i="3"/>
  <c r="R8" i="3"/>
  <c r="S8" i="3" s="1"/>
  <c r="C69" i="4"/>
  <c r="L69" i="4"/>
  <c r="B69" i="4"/>
  <c r="D69" i="4"/>
  <c r="F28" i="7"/>
  <c r="M67" i="7"/>
  <c r="B70" i="2"/>
  <c r="O8" i="4"/>
  <c r="F8" i="4"/>
  <c r="D10" i="5"/>
  <c r="D9" i="5"/>
  <c r="E68" i="5"/>
  <c r="D11" i="5"/>
  <c r="Q10" i="5"/>
  <c r="Q9" i="5"/>
  <c r="Q11" i="5"/>
  <c r="D15" i="3"/>
  <c r="D12" i="3"/>
  <c r="E69" i="3"/>
  <c r="B69" i="8"/>
  <c r="C69" i="8"/>
  <c r="L69" i="8"/>
  <c r="D69" i="8"/>
  <c r="F35" i="6"/>
  <c r="M69" i="6"/>
  <c r="F32" i="6"/>
  <c r="T13" i="4"/>
  <c r="K13" i="4"/>
  <c r="R13" i="4"/>
  <c r="S13" i="4" s="1"/>
  <c r="O8" i="7"/>
  <c r="F8" i="7"/>
  <c r="U10" i="3"/>
  <c r="J10" i="3" s="1"/>
  <c r="O8" i="6"/>
  <c r="F8" i="6"/>
  <c r="K10" i="4"/>
  <c r="T10" i="4"/>
  <c r="R10" i="4"/>
  <c r="S10" i="4" s="1"/>
  <c r="T13" i="6"/>
  <c r="R13" i="6"/>
  <c r="S13" i="6" s="1"/>
  <c r="Q8" i="2"/>
  <c r="D8" i="2"/>
  <c r="F15" i="3"/>
  <c r="F12" i="3"/>
  <c r="E62" i="8"/>
  <c r="M70" i="7" l="1"/>
  <c r="F33" i="7"/>
  <c r="T14" i="4"/>
  <c r="T15" i="7"/>
  <c r="R13" i="3"/>
  <c r="S13" i="3" s="1"/>
  <c r="F8" i="2"/>
  <c r="K14" i="4"/>
  <c r="F35" i="3"/>
  <c r="K13" i="6"/>
  <c r="R11" i="3"/>
  <c r="S11" i="3" s="1"/>
  <c r="U11" i="3" s="1"/>
  <c r="J11" i="3" s="1"/>
  <c r="M11" i="3" s="1"/>
  <c r="G11" i="3" s="1"/>
  <c r="L69" i="5"/>
  <c r="T13" i="5"/>
  <c r="C69" i="5"/>
  <c r="D12" i="5" s="1"/>
  <c r="D69" i="5"/>
  <c r="F15" i="5" s="1"/>
  <c r="R15" i="7"/>
  <c r="S15" i="7" s="1"/>
  <c r="K15" i="7"/>
  <c r="L68" i="7"/>
  <c r="D68" i="7"/>
  <c r="E68" i="7" s="1"/>
  <c r="K12" i="7"/>
  <c r="B68" i="7"/>
  <c r="F30" i="7" s="1"/>
  <c r="T12" i="7"/>
  <c r="K9" i="3"/>
  <c r="K10" i="3"/>
  <c r="L10" i="3" s="1"/>
  <c r="P11" i="16" s="1"/>
  <c r="R14" i="4"/>
  <c r="S14" i="4" s="1"/>
  <c r="D13" i="7"/>
  <c r="K13" i="3"/>
  <c r="O12" i="3"/>
  <c r="R9" i="3"/>
  <c r="S9" i="3" s="1"/>
  <c r="Q14" i="8"/>
  <c r="R14" i="8" s="1"/>
  <c r="S14" i="8" s="1"/>
  <c r="T9" i="3"/>
  <c r="T14" i="3"/>
  <c r="K14" i="6"/>
  <c r="T14" i="6"/>
  <c r="U14" i="6" s="1"/>
  <c r="J14" i="6" s="1"/>
  <c r="M14" i="6" s="1"/>
  <c r="F34" i="8"/>
  <c r="T13" i="8"/>
  <c r="R14" i="5"/>
  <c r="S14" i="5" s="1"/>
  <c r="U14" i="5" s="1"/>
  <c r="J14" i="5" s="1"/>
  <c r="M14" i="5" s="1"/>
  <c r="F33" i="8"/>
  <c r="C70" i="2"/>
  <c r="D14" i="2" s="1"/>
  <c r="K14" i="3"/>
  <c r="T14" i="5"/>
  <c r="D13" i="8"/>
  <c r="R13" i="8"/>
  <c r="S13" i="8" s="1"/>
  <c r="K13" i="8"/>
  <c r="O15" i="3"/>
  <c r="K14" i="5"/>
  <c r="Q15" i="3"/>
  <c r="R12" i="7"/>
  <c r="S12" i="7" s="1"/>
  <c r="U12" i="7" s="1"/>
  <c r="J12" i="7" s="1"/>
  <c r="L12" i="7" s="1"/>
  <c r="S13" i="16" s="1"/>
  <c r="D70" i="2"/>
  <c r="F14" i="2" s="1"/>
  <c r="D14" i="8"/>
  <c r="E70" i="8"/>
  <c r="R13" i="5"/>
  <c r="S13" i="5" s="1"/>
  <c r="U13" i="5" s="1"/>
  <c r="J13" i="5" s="1"/>
  <c r="M13" i="5" s="1"/>
  <c r="M67" i="2"/>
  <c r="T13" i="3"/>
  <c r="Q13" i="7"/>
  <c r="T13" i="7" s="1"/>
  <c r="E70" i="7"/>
  <c r="K13" i="5"/>
  <c r="Q14" i="7"/>
  <c r="R14" i="7" s="1"/>
  <c r="S14" i="7" s="1"/>
  <c r="L11" i="3"/>
  <c r="P12" i="16" s="1"/>
  <c r="O8" i="2"/>
  <c r="R8" i="2" s="1"/>
  <c r="S8" i="2" s="1"/>
  <c r="U11" i="4"/>
  <c r="J11" i="4" s="1"/>
  <c r="L11" i="4" s="1"/>
  <c r="O12" i="16" s="1"/>
  <c r="U13" i="4"/>
  <c r="J13" i="4" s="1"/>
  <c r="L13" i="4" s="1"/>
  <c r="O14" i="16" s="1"/>
  <c r="U10" i="4"/>
  <c r="J10" i="4" s="1"/>
  <c r="M10" i="4" s="1"/>
  <c r="G10" i="4" s="1"/>
  <c r="G11" i="16" s="1"/>
  <c r="U13" i="3"/>
  <c r="J13" i="3" s="1"/>
  <c r="U14" i="3"/>
  <c r="J14" i="3" s="1"/>
  <c r="M14" i="3" s="1"/>
  <c r="G14" i="3" s="1"/>
  <c r="I15" i="16" s="1"/>
  <c r="U13" i="6"/>
  <c r="J13" i="6" s="1"/>
  <c r="M13" i="6" s="1"/>
  <c r="U9" i="4"/>
  <c r="J9" i="4" s="1"/>
  <c r="M9" i="4" s="1"/>
  <c r="G9" i="4" s="1"/>
  <c r="G10" i="16" s="1"/>
  <c r="M70" i="2"/>
  <c r="F33" i="2"/>
  <c r="F34" i="2"/>
  <c r="O12" i="4"/>
  <c r="O15" i="4"/>
  <c r="F15" i="4"/>
  <c r="F12" i="4"/>
  <c r="F30" i="2"/>
  <c r="F29" i="2"/>
  <c r="M68" i="2"/>
  <c r="F31" i="2"/>
  <c r="F29" i="7"/>
  <c r="Q10" i="6"/>
  <c r="D9" i="6"/>
  <c r="D10" i="6"/>
  <c r="D11" i="6"/>
  <c r="Q11" i="6"/>
  <c r="Q9" i="6"/>
  <c r="E68" i="6"/>
  <c r="O8" i="8"/>
  <c r="F8" i="8"/>
  <c r="R15" i="6"/>
  <c r="S15" i="6" s="1"/>
  <c r="T15" i="6"/>
  <c r="K15" i="6"/>
  <c r="T8" i="6"/>
  <c r="R8" i="6"/>
  <c r="S8" i="6" s="1"/>
  <c r="K8" i="6"/>
  <c r="Q12" i="8"/>
  <c r="Q15" i="8"/>
  <c r="D12" i="8"/>
  <c r="E69" i="8"/>
  <c r="D15" i="8"/>
  <c r="F32" i="4"/>
  <c r="M69" i="4"/>
  <c r="F35" i="4"/>
  <c r="D15" i="5"/>
  <c r="E69" i="5"/>
  <c r="O10" i="2"/>
  <c r="O11" i="2"/>
  <c r="O9" i="2"/>
  <c r="F10" i="2"/>
  <c r="F9" i="2"/>
  <c r="F11" i="2"/>
  <c r="T9" i="5"/>
  <c r="R9" i="5"/>
  <c r="S9" i="5" s="1"/>
  <c r="U9" i="5" s="1"/>
  <c r="J9" i="5" s="1"/>
  <c r="K9" i="5"/>
  <c r="Q10" i="7"/>
  <c r="Q9" i="7"/>
  <c r="D11" i="7"/>
  <c r="D9" i="7"/>
  <c r="D10" i="7"/>
  <c r="Q11" i="7"/>
  <c r="O11" i="6"/>
  <c r="O10" i="6"/>
  <c r="O9" i="6"/>
  <c r="F10" i="6"/>
  <c r="F9" i="6"/>
  <c r="F11" i="6"/>
  <c r="K12" i="3"/>
  <c r="T12" i="3"/>
  <c r="R12" i="3"/>
  <c r="S12" i="3" s="1"/>
  <c r="M10" i="3"/>
  <c r="G10" i="3" s="1"/>
  <c r="I11" i="16" s="1"/>
  <c r="F32" i="8"/>
  <c r="M69" i="8"/>
  <c r="F35" i="8"/>
  <c r="O12" i="5"/>
  <c r="U15" i="7"/>
  <c r="J15" i="7" s="1"/>
  <c r="R10" i="5"/>
  <c r="S10" i="5" s="1"/>
  <c r="U10" i="5" s="1"/>
  <c r="J10" i="5" s="1"/>
  <c r="T10" i="5"/>
  <c r="K10" i="5"/>
  <c r="F12" i="2"/>
  <c r="O15" i="2"/>
  <c r="F15" i="2"/>
  <c r="O12" i="2"/>
  <c r="F31" i="6"/>
  <c r="F30" i="6"/>
  <c r="M68" i="6"/>
  <c r="F29" i="6"/>
  <c r="M67" i="8"/>
  <c r="F28" i="8"/>
  <c r="K12" i="6"/>
  <c r="T12" i="6"/>
  <c r="R12" i="6"/>
  <c r="S12" i="6" s="1"/>
  <c r="F15" i="8"/>
  <c r="F12" i="8"/>
  <c r="O12" i="8"/>
  <c r="O15" i="8"/>
  <c r="U14" i="4"/>
  <c r="J14" i="4" s="1"/>
  <c r="K8" i="4"/>
  <c r="T8" i="4"/>
  <c r="R8" i="4"/>
  <c r="S8" i="4" s="1"/>
  <c r="O14" i="2"/>
  <c r="E69" i="4"/>
  <c r="D12" i="4"/>
  <c r="Q15" i="4"/>
  <c r="Q12" i="4"/>
  <c r="D15" i="4"/>
  <c r="F32" i="5"/>
  <c r="F35" i="5"/>
  <c r="M69" i="5"/>
  <c r="U8" i="3"/>
  <c r="J8" i="3" s="1"/>
  <c r="Q11" i="2"/>
  <c r="Q10" i="2"/>
  <c r="Q9" i="2"/>
  <c r="E68" i="2"/>
  <c r="D11" i="2"/>
  <c r="D10" i="2"/>
  <c r="D9" i="2"/>
  <c r="K8" i="2"/>
  <c r="R11" i="5"/>
  <c r="S11" i="5" s="1"/>
  <c r="U11" i="5" s="1"/>
  <c r="J11" i="5" s="1"/>
  <c r="T11" i="5"/>
  <c r="K11" i="5"/>
  <c r="F10" i="7"/>
  <c r="D12" i="2"/>
  <c r="D15" i="2"/>
  <c r="Q15" i="2"/>
  <c r="E69" i="2"/>
  <c r="Q12" i="2"/>
  <c r="E67" i="8"/>
  <c r="Q8" i="8"/>
  <c r="D8" i="8"/>
  <c r="U8" i="5"/>
  <c r="J8" i="5" s="1"/>
  <c r="C68" i="8"/>
  <c r="D68" i="8"/>
  <c r="L68" i="8"/>
  <c r="B68" i="8"/>
  <c r="K8" i="7"/>
  <c r="R8" i="7"/>
  <c r="S8" i="7" s="1"/>
  <c r="T8" i="7"/>
  <c r="F13" i="2" l="1"/>
  <c r="F31" i="7"/>
  <c r="O13" i="2"/>
  <c r="M68" i="7"/>
  <c r="U13" i="8"/>
  <c r="J13" i="8" s="1"/>
  <c r="M13" i="8" s="1"/>
  <c r="G13" i="8" s="1"/>
  <c r="K14" i="16" s="1"/>
  <c r="O10" i="7"/>
  <c r="F12" i="5"/>
  <c r="D13" i="2"/>
  <c r="O11" i="7"/>
  <c r="T11" i="7" s="1"/>
  <c r="O15" i="5"/>
  <c r="K15" i="5" s="1"/>
  <c r="F9" i="7"/>
  <c r="Q15" i="5"/>
  <c r="R15" i="5" s="1"/>
  <c r="S15" i="5" s="1"/>
  <c r="U15" i="5" s="1"/>
  <c r="J15" i="5" s="1"/>
  <c r="Q12" i="5"/>
  <c r="T12" i="5" s="1"/>
  <c r="I12" i="16"/>
  <c r="E11" i="9"/>
  <c r="I12" i="13"/>
  <c r="K14" i="8"/>
  <c r="F11" i="7"/>
  <c r="O9" i="7"/>
  <c r="T14" i="8"/>
  <c r="U14" i="8" s="1"/>
  <c r="J14" i="8" s="1"/>
  <c r="M14" i="8" s="1"/>
  <c r="L13" i="6"/>
  <c r="R14" i="16" s="1"/>
  <c r="L14" i="6"/>
  <c r="R15" i="16" s="1"/>
  <c r="R15" i="3"/>
  <c r="S15" i="3" s="1"/>
  <c r="U15" i="3" s="1"/>
  <c r="J15" i="3" s="1"/>
  <c r="E70" i="2"/>
  <c r="Q14" i="2"/>
  <c r="T14" i="2" s="1"/>
  <c r="M13" i="4"/>
  <c r="G13" i="4" s="1"/>
  <c r="G14" i="16" s="1"/>
  <c r="M12" i="7"/>
  <c r="L9" i="4"/>
  <c r="O10" i="16" s="1"/>
  <c r="R13" i="7"/>
  <c r="S13" i="7" s="1"/>
  <c r="U13" i="7" s="1"/>
  <c r="J13" i="7" s="1"/>
  <c r="M13" i="7" s="1"/>
  <c r="Q13" i="2"/>
  <c r="R13" i="2" s="1"/>
  <c r="S13" i="2" s="1"/>
  <c r="L13" i="3"/>
  <c r="P14" i="16" s="1"/>
  <c r="U9" i="3"/>
  <c r="J9" i="3" s="1"/>
  <c r="M9" i="3" s="1"/>
  <c r="G9" i="3" s="1"/>
  <c r="I10" i="13" s="1"/>
  <c r="K15" i="3"/>
  <c r="T15" i="3"/>
  <c r="V12" i="13"/>
  <c r="Q14" i="13"/>
  <c r="N11" i="9"/>
  <c r="N30" i="6"/>
  <c r="N30" i="5"/>
  <c r="L14" i="5"/>
  <c r="Q15" i="16" s="1"/>
  <c r="I13" i="9"/>
  <c r="L13" i="8"/>
  <c r="T14" i="16" s="1"/>
  <c r="L13" i="5"/>
  <c r="Q14" i="16" s="1"/>
  <c r="L10" i="4"/>
  <c r="O11" i="16" s="1"/>
  <c r="K13" i="7"/>
  <c r="T8" i="2"/>
  <c r="M11" i="4"/>
  <c r="G11" i="4" s="1"/>
  <c r="T14" i="7"/>
  <c r="U14" i="7" s="1"/>
  <c r="J14" i="7" s="1"/>
  <c r="K14" i="7"/>
  <c r="N30" i="3"/>
  <c r="L14" i="3"/>
  <c r="P15" i="16" s="1"/>
  <c r="M13" i="3"/>
  <c r="G13" i="3" s="1"/>
  <c r="U15" i="6"/>
  <c r="J15" i="6" s="1"/>
  <c r="M15" i="6" s="1"/>
  <c r="D10" i="9"/>
  <c r="G11" i="13"/>
  <c r="N13" i="9"/>
  <c r="P13" i="9"/>
  <c r="M11" i="9"/>
  <c r="U12" i="13"/>
  <c r="E10" i="9"/>
  <c r="I11" i="13"/>
  <c r="X15" i="13"/>
  <c r="M13" i="9"/>
  <c r="U14" i="13"/>
  <c r="Q12" i="9"/>
  <c r="Y13" i="13"/>
  <c r="D9" i="9"/>
  <c r="G10" i="13"/>
  <c r="U8" i="7"/>
  <c r="J8" i="7" s="1"/>
  <c r="M8" i="7" s="1"/>
  <c r="U8" i="2"/>
  <c r="J8" i="2" s="1"/>
  <c r="L8" i="2" s="1"/>
  <c r="N9" i="16" s="1"/>
  <c r="N10" i="9"/>
  <c r="V11" i="13"/>
  <c r="E14" i="9"/>
  <c r="I15" i="13"/>
  <c r="U8" i="6"/>
  <c r="J8" i="6" s="1"/>
  <c r="M8" i="6" s="1"/>
  <c r="T11" i="6"/>
  <c r="F29" i="8"/>
  <c r="M68" i="8"/>
  <c r="F30" i="8"/>
  <c r="F31" i="8"/>
  <c r="T11" i="2"/>
  <c r="K11" i="2"/>
  <c r="R11" i="2"/>
  <c r="S11" i="2" s="1"/>
  <c r="M11" i="5"/>
  <c r="L11" i="5"/>
  <c r="Q12" i="16" s="1"/>
  <c r="M14" i="4"/>
  <c r="G14" i="4" s="1"/>
  <c r="G15" i="16" s="1"/>
  <c r="N30" i="4"/>
  <c r="L14" i="4"/>
  <c r="O15" i="16" s="1"/>
  <c r="M10" i="5"/>
  <c r="L10" i="5"/>
  <c r="Q11" i="16" s="1"/>
  <c r="T15" i="5"/>
  <c r="K10" i="6"/>
  <c r="R10" i="6"/>
  <c r="S10" i="6" s="1"/>
  <c r="T10" i="6"/>
  <c r="K10" i="2"/>
  <c r="R10" i="2"/>
  <c r="S10" i="2" s="1"/>
  <c r="T10" i="2"/>
  <c r="O10" i="8"/>
  <c r="O11" i="8"/>
  <c r="O9" i="8"/>
  <c r="F9" i="8"/>
  <c r="F10" i="8"/>
  <c r="F11" i="8"/>
  <c r="R9" i="7"/>
  <c r="S9" i="7" s="1"/>
  <c r="K9" i="7"/>
  <c r="T9" i="7"/>
  <c r="T13" i="2"/>
  <c r="U8" i="4"/>
  <c r="J8" i="4" s="1"/>
  <c r="K15" i="8"/>
  <c r="T15" i="8"/>
  <c r="R15" i="8"/>
  <c r="S15" i="8" s="1"/>
  <c r="U12" i="6"/>
  <c r="J12" i="6" s="1"/>
  <c r="L15" i="7"/>
  <c r="S16" i="16" s="1"/>
  <c r="M15" i="7"/>
  <c r="K11" i="6"/>
  <c r="R11" i="6"/>
  <c r="S11" i="6" s="1"/>
  <c r="K8" i="8"/>
  <c r="R8" i="8"/>
  <c r="S8" i="8" s="1"/>
  <c r="T8" i="8"/>
  <c r="K15" i="4"/>
  <c r="R15" i="4"/>
  <c r="S15" i="4" s="1"/>
  <c r="T15" i="4"/>
  <c r="M8" i="5"/>
  <c r="L8" i="5"/>
  <c r="Q9" i="16" s="1"/>
  <c r="R10" i="7"/>
  <c r="S10" i="7" s="1"/>
  <c r="T10" i="7"/>
  <c r="K10" i="7"/>
  <c r="M8" i="3"/>
  <c r="G8" i="3" s="1"/>
  <c r="I9" i="16" s="1"/>
  <c r="L8" i="3"/>
  <c r="P9" i="16" s="1"/>
  <c r="T9" i="6"/>
  <c r="K9" i="6"/>
  <c r="R9" i="6"/>
  <c r="S9" i="6" s="1"/>
  <c r="T15" i="2"/>
  <c r="K15" i="2"/>
  <c r="R15" i="2"/>
  <c r="S15" i="2" s="1"/>
  <c r="D9" i="8"/>
  <c r="Q11" i="8"/>
  <c r="Q9" i="8"/>
  <c r="D11" i="8"/>
  <c r="Q10" i="8"/>
  <c r="E68" i="8"/>
  <c r="D10" i="8"/>
  <c r="T12" i="8"/>
  <c r="R12" i="8"/>
  <c r="S12" i="8" s="1"/>
  <c r="K12" i="8"/>
  <c r="R12" i="2"/>
  <c r="S12" i="2" s="1"/>
  <c r="T12" i="2"/>
  <c r="K12" i="2"/>
  <c r="R12" i="5"/>
  <c r="S12" i="5" s="1"/>
  <c r="U12" i="5" s="1"/>
  <c r="J12" i="5" s="1"/>
  <c r="U12" i="3"/>
  <c r="J12" i="3" s="1"/>
  <c r="L9" i="5"/>
  <c r="Q10" i="16" s="1"/>
  <c r="M9" i="5"/>
  <c r="R9" i="2"/>
  <c r="S9" i="2" s="1"/>
  <c r="K9" i="2"/>
  <c r="T9" i="2"/>
  <c r="T12" i="4"/>
  <c r="R12" i="4"/>
  <c r="S12" i="4" s="1"/>
  <c r="K12" i="4"/>
  <c r="K13" i="2" l="1"/>
  <c r="R11" i="7"/>
  <c r="S11" i="7" s="1"/>
  <c r="U11" i="7" s="1"/>
  <c r="J11" i="7" s="1"/>
  <c r="K12" i="5"/>
  <c r="K11" i="7"/>
  <c r="X14" i="13"/>
  <c r="R14" i="2"/>
  <c r="S14" i="2" s="1"/>
  <c r="K14" i="2"/>
  <c r="G14" i="8"/>
  <c r="K15" i="16" s="1"/>
  <c r="L15" i="6"/>
  <c r="R16" i="16" s="1"/>
  <c r="P14" i="9"/>
  <c r="W14" i="13"/>
  <c r="U10" i="13"/>
  <c r="G14" i="13"/>
  <c r="D13" i="9"/>
  <c r="L13" i="7"/>
  <c r="S14" i="16" s="1"/>
  <c r="N30" i="8"/>
  <c r="L14" i="8"/>
  <c r="T15" i="16" s="1"/>
  <c r="L15" i="3"/>
  <c r="P16" i="16" s="1"/>
  <c r="M15" i="3"/>
  <c r="G15" i="3" s="1"/>
  <c r="I16" i="16" s="1"/>
  <c r="N14" i="9"/>
  <c r="L9" i="3"/>
  <c r="N9" i="9" s="1"/>
  <c r="I14" i="13"/>
  <c r="I14" i="16"/>
  <c r="G12" i="13"/>
  <c r="G12" i="16"/>
  <c r="E9" i="9"/>
  <c r="I10" i="16"/>
  <c r="M14" i="7"/>
  <c r="N30" i="7"/>
  <c r="L14" i="7"/>
  <c r="S15" i="16" s="1"/>
  <c r="L8" i="7"/>
  <c r="S9" i="16" s="1"/>
  <c r="U10" i="7"/>
  <c r="J10" i="7" s="1"/>
  <c r="L10" i="7" s="1"/>
  <c r="S11" i="16" s="1"/>
  <c r="O13" i="9"/>
  <c r="V14" i="13"/>
  <c r="M9" i="9"/>
  <c r="M10" i="9"/>
  <c r="O14" i="9"/>
  <c r="Z14" i="13"/>
  <c r="V15" i="13"/>
  <c r="W15" i="13"/>
  <c r="U12" i="2"/>
  <c r="J12" i="2" s="1"/>
  <c r="L12" i="2" s="1"/>
  <c r="N13" i="16" s="1"/>
  <c r="R13" i="9"/>
  <c r="D11" i="9"/>
  <c r="E13" i="9"/>
  <c r="U11" i="13"/>
  <c r="M8" i="2"/>
  <c r="G8" i="2" s="1"/>
  <c r="E9" i="16" s="1"/>
  <c r="L8" i="6"/>
  <c r="R9" i="16" s="1"/>
  <c r="U13" i="2"/>
  <c r="J13" i="2" s="1"/>
  <c r="M13" i="2" s="1"/>
  <c r="G13" i="2" s="1"/>
  <c r="E14" i="16" s="1"/>
  <c r="U15" i="2"/>
  <c r="J15" i="2" s="1"/>
  <c r="M15" i="2" s="1"/>
  <c r="G15" i="2" s="1"/>
  <c r="E16" i="16" s="1"/>
  <c r="U9" i="7"/>
  <c r="J9" i="7" s="1"/>
  <c r="M9" i="7" s="1"/>
  <c r="U12" i="4"/>
  <c r="J12" i="4" s="1"/>
  <c r="L12" i="4" s="1"/>
  <c r="O13" i="16" s="1"/>
  <c r="U11" i="6"/>
  <c r="J11" i="6" s="1"/>
  <c r="M11" i="6" s="1"/>
  <c r="O9" i="9"/>
  <c r="W10" i="13"/>
  <c r="E15" i="9"/>
  <c r="C8" i="9"/>
  <c r="N15" i="9"/>
  <c r="U10" i="2"/>
  <c r="J10" i="2" s="1"/>
  <c r="M10" i="2" s="1"/>
  <c r="G10" i="2" s="1"/>
  <c r="E11" i="16" s="1"/>
  <c r="O10" i="9"/>
  <c r="W11" i="13"/>
  <c r="D14" i="9"/>
  <c r="G15" i="13"/>
  <c r="P15" i="9"/>
  <c r="L8" i="9"/>
  <c r="T9" i="13"/>
  <c r="N8" i="9"/>
  <c r="V9" i="13"/>
  <c r="Q13" i="9"/>
  <c r="Y14" i="13"/>
  <c r="Q15" i="9"/>
  <c r="Y16" i="13"/>
  <c r="O11" i="9"/>
  <c r="W12" i="13"/>
  <c r="E8" i="9"/>
  <c r="I9" i="13"/>
  <c r="O8" i="9"/>
  <c r="W9" i="13"/>
  <c r="P8" i="9"/>
  <c r="M14" i="9"/>
  <c r="U15" i="13"/>
  <c r="R9" i="8"/>
  <c r="S9" i="8" s="1"/>
  <c r="U9" i="2"/>
  <c r="J9" i="2" s="1"/>
  <c r="L9" i="2" s="1"/>
  <c r="N10" i="16" s="1"/>
  <c r="U11" i="2"/>
  <c r="J11" i="2" s="1"/>
  <c r="M11" i="2" s="1"/>
  <c r="G11" i="2" s="1"/>
  <c r="E12" i="16" s="1"/>
  <c r="U14" i="2"/>
  <c r="J14" i="2" s="1"/>
  <c r="M14" i="2" s="1"/>
  <c r="L15" i="5"/>
  <c r="Q16" i="16" s="1"/>
  <c r="M15" i="5"/>
  <c r="M12" i="5"/>
  <c r="L12" i="5"/>
  <c r="Q13" i="16" s="1"/>
  <c r="U9" i="6"/>
  <c r="J9" i="6" s="1"/>
  <c r="U8" i="8"/>
  <c r="J8" i="8" s="1"/>
  <c r="M12" i="6"/>
  <c r="L12" i="6"/>
  <c r="R13" i="16" s="1"/>
  <c r="M8" i="4"/>
  <c r="G8" i="4" s="1"/>
  <c r="G9" i="16" s="1"/>
  <c r="L8" i="4"/>
  <c r="O9" i="16" s="1"/>
  <c r="R10" i="8"/>
  <c r="S10" i="8" s="1"/>
  <c r="T10" i="8"/>
  <c r="K10" i="8"/>
  <c r="U12" i="8"/>
  <c r="J12" i="8" s="1"/>
  <c r="U15" i="4"/>
  <c r="J15" i="4" s="1"/>
  <c r="U15" i="8"/>
  <c r="J15" i="8" s="1"/>
  <c r="U10" i="6"/>
  <c r="J10" i="6" s="1"/>
  <c r="K11" i="8"/>
  <c r="T11" i="8"/>
  <c r="R11" i="8"/>
  <c r="S11" i="8" s="1"/>
  <c r="L12" i="3"/>
  <c r="P13" i="16" s="1"/>
  <c r="M12" i="3"/>
  <c r="G12" i="3" s="1"/>
  <c r="I13" i="16" s="1"/>
  <c r="K9" i="8"/>
  <c r="T9" i="8"/>
  <c r="V16" i="13" l="1"/>
  <c r="E9" i="13"/>
  <c r="X16" i="13"/>
  <c r="I16" i="13"/>
  <c r="G14" i="2"/>
  <c r="E15" i="16" s="1"/>
  <c r="I14" i="9"/>
  <c r="Q15" i="13"/>
  <c r="M10" i="7"/>
  <c r="V10" i="13"/>
  <c r="Z15" i="13"/>
  <c r="L10" i="2"/>
  <c r="N11" i="16" s="1"/>
  <c r="R14" i="9"/>
  <c r="Y15" i="13"/>
  <c r="Q14" i="9"/>
  <c r="L11" i="6"/>
  <c r="R12" i="16" s="1"/>
  <c r="X9" i="13"/>
  <c r="P10" i="16"/>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L15" i="9"/>
  <c r="T16" i="13"/>
  <c r="C11" i="9"/>
  <c r="E12" i="13"/>
  <c r="Q10" i="9"/>
  <c r="Y11" i="13"/>
  <c r="M8" i="9"/>
  <c r="U9" i="13"/>
  <c r="O12" i="9"/>
  <c r="W13" i="13"/>
  <c r="C13" i="9"/>
  <c r="E14" i="13"/>
  <c r="M12" i="9"/>
  <c r="U13" i="13"/>
  <c r="E12" i="9"/>
  <c r="I13" i="13"/>
  <c r="D8" i="9"/>
  <c r="G9" i="13"/>
  <c r="U9" i="8"/>
  <c r="J9" i="8" s="1"/>
  <c r="M9" i="8" s="1"/>
  <c r="G9" i="8" s="1"/>
  <c r="K10" i="16" s="1"/>
  <c r="C10" i="9"/>
  <c r="E11" i="13"/>
  <c r="L10" i="9"/>
  <c r="T11" i="13"/>
  <c r="N12" i="9"/>
  <c r="V13" i="13"/>
  <c r="P12" i="9"/>
  <c r="X13" i="13"/>
  <c r="O15" i="9"/>
  <c r="W16"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M10" i="6"/>
  <c r="L10" i="6"/>
  <c r="R11" i="16" s="1"/>
  <c r="L13" i="9" l="1"/>
  <c r="P11" i="9"/>
  <c r="T14" i="13"/>
  <c r="X12"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<sst xmlns="http://schemas.openxmlformats.org/spreadsheetml/2006/main" count="658" uniqueCount="140">
  <si>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</si>
  <si>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</si>
  <si>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</si>
  <si>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</si>
  <si>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</si>
  <si>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</si>
  <si>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</si>
  <si>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</si>
  <si>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</si>
  <si>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</si>
  <si>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</si>
  <si>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</si>
  <si>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</si>
  <si>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</si>
  <si>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</si>
  <si>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</si>
  <si>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</si>
  <si>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</si>
  <si>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</si>
  <si>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</si>
  <si>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</si>
  <si>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</si>
  <si>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</si>
  <si>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</si>
  <si>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</si>
  <si>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</si>
  <si>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</si>
  <si>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</si>
  <si>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</si>
  <si>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</si>
  <si>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</si>
  <si>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</si>
  <si>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</si>
  <si>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</si>
  <si>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</si>
  <si>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</si>
  <si>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</si>
  <si>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</si>
  <si>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</si>
  <si>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</si>
  <si>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</si>
  <si>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</si>
  <si>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</si>
  <si>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</si>
  <si>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</si>
  <si>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</si>
  <si>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</si>
  <si>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</si>
  <si>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</si>
  <si>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</si>
  <si>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</si>
  <si>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</si>
  <si>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</si>
  <si>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</si>
  <si>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</si>
  <si>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</si>
  <si>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</si>
  <si>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</si>
  <si>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</si>
  <si>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</si>
  <si>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</si>
  <si>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</si>
  <si>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</si>
  <si>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</si>
  <si>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</si>
  <si>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</si>
  <si>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</si>
  <si>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</si>
  <si>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</si>
  <si>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</si>
  <si>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</si>
  <si>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</si>
  <si>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</si>
  <si>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</si>
  <si>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</si>
  <si>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</si>
  <si>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</si>
  <si>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</si>
  <si>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</si>
  <si>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</si>
  <si>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</si>
  <si>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</si>
  <si>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</si>
  <si>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</si>
  <si>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</si>
  <si>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</si>
  <si>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</si>
  <si>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</si>
  <si>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</si>
  <si>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</si>
  <si>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</si>
  <si>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</si>
  <si>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</si>
  <si>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</si>
  <si>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</si>
  <si>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</si>
  <si>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</si>
  <si>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6. Cases Petitioned</t>
  </si>
  <si>
    <t>Group meets 1% threshold?</t>
  </si>
  <si>
    <t>Population Based Rates</t>
  </si>
  <si>
    <t>Population Based Relative Rate Index Values</t>
  </si>
  <si>
    <t>Significance Testing</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</si>
  <si>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</si>
  <si>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</si>
  <si>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</si>
  <si>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</si>
  <si>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</si>
  <si>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</si>
  <si>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</si>
  <si>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</si>
  <si>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</si>
  <si>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</si>
  <si>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</si>
  <si>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</si>
  <si>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</si>
  <si>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</si>
  <si>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</si>
  <si>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</si>
  <si>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</si>
  <si>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</si>
  <si>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</si>
  <si>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</si>
  <si>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</si>
  <si>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</si>
  <si>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</si>
  <si>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</si>
  <si>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</si>
  <si>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</si>
  <si>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</si>
  <si>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</si>
  <si>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1/1/12 through 12/31/12</t>
  </si>
  <si>
    <t>Black or African American</t>
  </si>
  <si>
    <t xml:space="preserve">1. Population at risk (age 10 through 16) </t>
  </si>
  <si>
    <t>8. Cases Resulting in Probation Placement</t>
  </si>
  <si>
    <t>3. Referred to Juvenile Court</t>
  </si>
  <si>
    <t>Native Hawaiian or Other Pacific Islanders</t>
  </si>
  <si>
    <t>County: Kalamazoo</t>
  </si>
  <si>
    <t>Item 2.Arrest: Michigan State Police (figures for 2012)</t>
  </si>
  <si>
    <t>Item 1. Population (figures for 2012): Population data are from Puzzanchera, C., Sladky, A. and Kang, W. (2013). "Easy Access to Juvenile Populations: 1990-2012." Online.  Last modified October 30, 2013, accessed March 21, 2014.  Available: http://www.ojjdp.gov/ojstatbb/ezapop/.</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</si>
  <si>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significance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</si>
</sst>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9" x14ac:knownFonts="1">
    <font>
      <sz val="10"/>
      <color indexed="8"/>
      <name val="Arial"/>
    </font>
    <font>
      <sz val="11"/>
      <color theme="1"/>
      <name val="Estrangelo Edessa"/>
      <family val="2"/>
      <scheme val="minor"/>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name val="Arial"/>
    </font>
    <font>
      <sz val="10"/>
      <color indexed="8"/>
      <name val="ARIAL"/>
      <charset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6">
    <xf numFmtId="0" fontId="0" fillId="0" borderId="0"/>
    <xf numFmtId="0" fontId="17" fillId="4" borderId="0" applyNumberFormat="0" applyBorder="0" applyAlignment="0" applyProtection="0"/>
    <xf numFmtId="0" fontId="2" fillId="5" borderId="0" applyNumberFormat="0" applyBorder="0" applyAlignment="0" applyProtection="0"/>
    <xf numFmtId="0" fontId="37" fillId="0" borderId="0"/>
    <xf numFmtId="0" fontId="38" fillId="0" borderId="0">
      <alignment vertical="top"/>
    </xf>
    <xf numFmtId="0" fontId="1" fillId="0" borderId="0"/>
  </cellStyleXfs>
  <cellXfs count="222">
    <xf numFmtId="0" fontId="0" fillId="0" borderId="0" xfId="0"/>
    <xf numFmtId="4" fontId="3" fillId="0" borderId="0" xfId="0" applyNumberFormat="1" applyFont="1" applyFill="1" applyBorder="1" applyAlignment="1" applyProtection="1"/>
    <xf numFmtId="4" fontId="4" fillId="0" borderId="0" xfId="0" applyNumberFormat="1" applyFont="1" applyFill="1" applyBorder="1" applyAlignment="1" applyProtection="1">
      <alignment horizontal="center" wrapText="1"/>
    </xf>
    <xf numFmtId="4" fontId="6" fillId="2" borderId="0" xfId="0" applyNumberFormat="1" applyFont="1" applyFill="1" applyBorder="1" applyAlignment="1" applyProtection="1">
      <alignment horizontal="left" vertical="top" wrapText="1"/>
    </xf>
    <xf numFmtId="4" fontId="6" fillId="0" borderId="0" xfId="0" applyNumberFormat="1" applyFont="1" applyFill="1" applyBorder="1" applyAlignment="1" applyProtection="1">
      <alignment horizontal="center" vertical="top" wrapText="1"/>
    </xf>
    <xf numFmtId="4" fontId="6" fillId="2" borderId="0" xfId="0" applyNumberFormat="1" applyFont="1" applyFill="1" applyBorder="1" applyAlignment="1" applyProtection="1">
      <alignment horizontal="left" vertical="top"/>
    </xf>
    <xf numFmtId="4" fontId="3" fillId="2" borderId="0" xfId="0" applyNumberFormat="1" applyFont="1" applyFill="1" applyBorder="1" applyAlignment="1" applyProtection="1">
      <alignment horizontal="left"/>
    </xf>
    <xf numFmtId="4" fontId="3" fillId="0" borderId="0" xfId="0" applyNumberFormat="1" applyFont="1" applyFill="1" applyBorder="1" applyAlignment="1" applyProtection="1">
      <alignment horizontal="left"/>
    </xf>
    <xf numFmtId="4" fontId="3" fillId="0" borderId="0" xfId="0" applyNumberFormat="1" applyFont="1" applyFill="1" applyBorder="1" applyAlignment="1" applyProtection="1">
      <alignment wrapText="1"/>
    </xf>
    <xf numFmtId="4" fontId="6" fillId="0" borderId="1" xfId="0" applyNumberFormat="1" applyFont="1" applyFill="1" applyBorder="1" applyAlignment="1" applyProtection="1">
      <alignment vertical="top" wrapText="1"/>
    </xf>
    <xf numFmtId="3" fontId="6" fillId="2" borderId="2" xfId="0" applyNumberFormat="1" applyFont="1" applyFill="1" applyBorder="1" applyAlignment="1" applyProtection="1">
      <alignment horizontal="right" vertical="center" wrapText="1"/>
    </xf>
    <xf numFmtId="4" fontId="6" fillId="0" borderId="0" xfId="0" applyNumberFormat="1" applyFont="1" applyFill="1" applyBorder="1" applyAlignment="1" applyProtection="1">
      <alignment vertical="center" wrapText="1"/>
    </xf>
    <xf numFmtId="4" fontId="7"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vertical="center"/>
    </xf>
    <xf numFmtId="4" fontId="8" fillId="0" borderId="0" xfId="0" applyNumberFormat="1" applyFont="1" applyFill="1" applyBorder="1" applyAlignment="1" applyProtection="1">
      <alignment vertical="top" wrapText="1"/>
    </xf>
    <xf numFmtId="4" fontId="6" fillId="0" borderId="0" xfId="0" applyNumberFormat="1" applyFont="1" applyFill="1" applyBorder="1" applyAlignment="1" applyProtection="1">
      <alignment vertical="top" wrapText="1"/>
    </xf>
    <xf numFmtId="4" fontId="9" fillId="0" borderId="0" xfId="0" applyNumberFormat="1" applyFont="1" applyFill="1" applyBorder="1" applyAlignment="1" applyProtection="1"/>
    <xf numFmtId="164" fontId="3" fillId="0" borderId="0" xfId="0" applyNumberFormat="1" applyFont="1" applyFill="1" applyBorder="1" applyAlignment="1" applyProtection="1"/>
    <xf numFmtId="2" fontId="3" fillId="0" borderId="0" xfId="0" applyNumberFormat="1" applyFont="1" applyFill="1" applyBorder="1" applyAlignment="1" applyProtection="1"/>
    <xf numFmtId="4" fontId="4" fillId="0" borderId="0" xfId="0" applyNumberFormat="1" applyFont="1" applyFill="1" applyBorder="1" applyAlignment="1" applyProtection="1">
      <alignment vertical="center" wrapText="1"/>
    </xf>
    <xf numFmtId="4" fontId="3" fillId="0" borderId="0" xfId="0" applyNumberFormat="1" applyFont="1" applyFill="1" applyBorder="1" applyAlignment="1" applyProtection="1">
      <protection hidden="1"/>
    </xf>
    <xf numFmtId="4" fontId="6" fillId="0" borderId="0" xfId="0" applyNumberFormat="1" applyFont="1" applyFill="1" applyBorder="1" applyAlignment="1" applyProtection="1">
      <alignment vertical="top"/>
    </xf>
    <xf numFmtId="4" fontId="6" fillId="0" borderId="3" xfId="0" applyNumberFormat="1" applyFont="1" applyFill="1" applyBorder="1" applyAlignment="1" applyProtection="1">
      <alignment horizontal="left" vertical="top" wrapText="1"/>
    </xf>
    <xf numFmtId="4" fontId="6" fillId="0" borderId="4" xfId="0" applyNumberFormat="1" applyFont="1" applyFill="1" applyBorder="1" applyAlignment="1" applyProtection="1">
      <alignment horizontal="centerContinuous" vertical="top" wrapText="1"/>
    </xf>
    <xf numFmtId="4" fontId="6" fillId="0" borderId="5"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top" wrapText="1"/>
    </xf>
    <xf numFmtId="4" fontId="7" fillId="0" borderId="5" xfId="0" applyNumberFormat="1" applyFont="1" applyFill="1" applyBorder="1" applyAlignment="1" applyProtection="1">
      <alignment horizontal="center" vertical="top" wrapText="1"/>
    </xf>
    <xf numFmtId="4" fontId="6" fillId="0" borderId="4" xfId="0" applyNumberFormat="1" applyFont="1" applyFill="1" applyBorder="1" applyAlignment="1" applyProtection="1">
      <alignment horizontal="center" vertical="top" wrapText="1"/>
    </xf>
    <xf numFmtId="4" fontId="3" fillId="0" borderId="6" xfId="0" applyNumberFormat="1" applyFont="1" applyFill="1" applyBorder="1" applyAlignment="1" applyProtection="1">
      <alignment horizontal="center"/>
      <protection hidden="1"/>
    </xf>
    <xf numFmtId="164" fontId="3" fillId="0" borderId="0" xfId="0" applyNumberFormat="1" applyFont="1" applyFill="1" applyBorder="1" applyAlignment="1" applyProtection="1">
      <protection hidden="1"/>
    </xf>
    <xf numFmtId="2" fontId="3" fillId="0" borderId="0" xfId="0" applyNumberFormat="1" applyFont="1" applyFill="1" applyBorder="1" applyAlignment="1" applyProtection="1">
      <protection hidden="1"/>
    </xf>
    <xf numFmtId="4" fontId="3" fillId="0" borderId="1" xfId="0" applyNumberFormat="1" applyFont="1" applyFill="1" applyBorder="1" applyAlignment="1" applyProtection="1">
      <alignment vertical="center" wrapText="1"/>
    </xf>
    <xf numFmtId="165" fontId="3" fillId="0" borderId="1"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right" vertical="center"/>
    </xf>
    <xf numFmtId="4" fontId="3" fillId="3" borderId="1" xfId="0" applyNumberFormat="1" applyFont="1" applyFill="1" applyBorder="1" applyAlignment="1" applyProtection="1">
      <alignment horizontal="center" vertical="center"/>
    </xf>
    <xf numFmtId="4" fontId="3" fillId="3" borderId="7" xfId="0" applyNumberFormat="1" applyFont="1" applyFill="1" applyBorder="1" applyAlignment="1" applyProtection="1">
      <alignment horizontal="center" vertical="center"/>
    </xf>
    <xf numFmtId="4" fontId="3" fillId="3" borderId="8" xfId="0" applyNumberFormat="1" applyFont="1" applyFill="1" applyBorder="1" applyAlignment="1" applyProtection="1">
      <alignment horizontal="center" vertical="center"/>
    </xf>
    <xf numFmtId="4" fontId="3" fillId="3" borderId="9"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4" fontId="3" fillId="0" borderId="9" xfId="0" applyNumberFormat="1" applyFont="1" applyFill="1" applyBorder="1" applyAlignment="1" applyProtection="1">
      <alignment horizontal="center" vertical="center"/>
    </xf>
    <xf numFmtId="4" fontId="3" fillId="0" borderId="10" xfId="0" applyNumberFormat="1" applyFont="1" applyFill="1" applyBorder="1" applyAlignment="1" applyProtection="1">
      <alignment horizontal="center" vertical="center"/>
    </xf>
    <xf numFmtId="165" fontId="3" fillId="0" borderId="0" xfId="0" applyNumberFormat="1" applyFont="1" applyFill="1" applyBorder="1" applyAlignment="1" applyProtection="1">
      <protection hidden="1"/>
    </xf>
    <xf numFmtId="4" fontId="8" fillId="0" borderId="0" xfId="0" applyNumberFormat="1" applyFont="1" applyFill="1" applyBorder="1" applyAlignment="1" applyProtection="1">
      <alignment horizontal="left" vertical="top"/>
    </xf>
    <xf numFmtId="4" fontId="9" fillId="0" borderId="0" xfId="0" applyNumberFormat="1" applyFont="1" applyFill="1" applyBorder="1" applyAlignment="1" applyProtection="1">
      <alignment horizontal="center" vertical="top"/>
    </xf>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13" fillId="0" borderId="0" xfId="0" applyNumberFormat="1" applyFont="1" applyFill="1" applyBorder="1" applyAlignment="1" applyProtection="1"/>
    <xf numFmtId="4" fontId="7" fillId="0" borderId="0" xfId="0" applyNumberFormat="1" applyFont="1" applyFill="1" applyBorder="1" applyAlignment="1" applyProtection="1"/>
    <xf numFmtId="4" fontId="3" fillId="0" borderId="0" xfId="0" applyNumberFormat="1" applyFont="1" applyFill="1" applyBorder="1" applyAlignment="1" applyProtection="1">
      <alignment wrapText="1"/>
      <protection hidden="1"/>
    </xf>
    <xf numFmtId="4" fontId="6" fillId="0" borderId="11" xfId="0" applyNumberFormat="1" applyFont="1" applyFill="1" applyBorder="1" applyAlignment="1" applyProtection="1"/>
    <xf numFmtId="4" fontId="3" fillId="0" borderId="11" xfId="0" applyNumberFormat="1" applyFont="1" applyFill="1" applyBorder="1" applyAlignment="1" applyProtection="1"/>
    <xf numFmtId="4" fontId="6" fillId="0" borderId="12" xfId="0" applyNumberFormat="1" applyFont="1" applyFill="1" applyBorder="1" applyAlignment="1" applyProtection="1"/>
    <xf numFmtId="4" fontId="3" fillId="0" borderId="12" xfId="0" applyNumberFormat="1" applyFont="1" applyFill="1" applyBorder="1" applyAlignment="1" applyProtection="1"/>
    <xf numFmtId="4" fontId="7" fillId="0" borderId="0" xfId="0" applyNumberFormat="1" applyFont="1" applyFill="1" applyBorder="1" applyAlignment="1" applyProtection="1">
      <alignment wrapText="1"/>
      <protection hidden="1"/>
    </xf>
    <xf numFmtId="4" fontId="7" fillId="0" borderId="0" xfId="0" applyNumberFormat="1" applyFont="1" applyFill="1" applyBorder="1" applyAlignment="1" applyProtection="1">
      <alignment horizontal="right" wrapText="1"/>
      <protection hidden="1"/>
    </xf>
    <xf numFmtId="165" fontId="3" fillId="0" borderId="0" xfId="0" applyNumberFormat="1" applyFont="1" applyFill="1" applyBorder="1" applyAlignment="1" applyProtection="1">
      <alignment wrapText="1"/>
      <protection hidden="1"/>
    </xf>
    <xf numFmtId="3" fontId="3" fillId="0" borderId="0" xfId="0" applyNumberFormat="1" applyFont="1" applyFill="1" applyBorder="1" applyAlignment="1" applyProtection="1"/>
    <xf numFmtId="3" fontId="3" fillId="0" borderId="0" xfId="0" applyNumberFormat="1" applyFont="1" applyFill="1" applyBorder="1" applyAlignment="1" applyProtection="1">
      <alignment wrapText="1"/>
      <protection hidden="1"/>
    </xf>
    <xf numFmtId="4" fontId="14" fillId="0" borderId="0" xfId="0" applyNumberFormat="1" applyFont="1" applyFill="1" applyBorder="1" applyAlignment="1" applyProtection="1"/>
    <xf numFmtId="4" fontId="10" fillId="0" borderId="0" xfId="0" applyNumberFormat="1" applyFont="1" applyFill="1" applyBorder="1" applyAlignment="1" applyProtection="1"/>
    <xf numFmtId="4" fontId="15" fillId="0" borderId="0" xfId="0" applyNumberFormat="1" applyFont="1" applyFill="1" applyBorder="1" applyAlignment="1" applyProtection="1"/>
    <xf numFmtId="4" fontId="3" fillId="0" borderId="0" xfId="0" applyNumberFormat="1" applyFont="1" applyFill="1" applyBorder="1" applyAlignment="1" applyProtection="1">
      <alignment vertical="top" wrapText="1"/>
    </xf>
    <xf numFmtId="4" fontId="7" fillId="0" borderId="13" xfId="0" applyNumberFormat="1" applyFont="1" applyFill="1" applyBorder="1" applyAlignment="1" applyProtection="1"/>
    <xf numFmtId="4" fontId="3" fillId="0" borderId="14" xfId="0" applyNumberFormat="1" applyFont="1" applyFill="1" applyBorder="1" applyAlignment="1" applyProtection="1"/>
    <xf numFmtId="4" fontId="3" fillId="0" borderId="15" xfId="0" applyNumberFormat="1" applyFont="1" applyFill="1" applyBorder="1" applyAlignment="1" applyProtection="1"/>
    <xf numFmtId="4" fontId="3" fillId="0" borderId="16" xfId="0" applyNumberFormat="1" applyFont="1" applyFill="1" applyBorder="1" applyAlignment="1" applyProtection="1"/>
    <xf numFmtId="4" fontId="3" fillId="0" borderId="17" xfId="0" applyNumberFormat="1" applyFont="1" applyFill="1" applyBorder="1" applyAlignment="1" applyProtection="1"/>
    <xf numFmtId="4" fontId="3" fillId="0" borderId="18" xfId="0" applyNumberFormat="1" applyFont="1" applyFill="1" applyBorder="1" applyAlignment="1" applyProtection="1">
      <alignment wrapText="1"/>
    </xf>
    <xf numFmtId="4" fontId="3" fillId="0" borderId="19" xfId="0" applyNumberFormat="1" applyFont="1" applyFill="1" applyBorder="1" applyAlignment="1" applyProtection="1">
      <alignment wrapText="1"/>
    </xf>
    <xf numFmtId="4" fontId="6" fillId="0" borderId="18" xfId="0" applyNumberFormat="1" applyFont="1" applyFill="1" applyBorder="1" applyAlignment="1" applyProtection="1">
      <alignment vertical="top" wrapText="1"/>
    </xf>
    <xf numFmtId="4" fontId="3" fillId="0" borderId="19" xfId="0" applyNumberFormat="1" applyFont="1" applyFill="1" applyBorder="1" applyAlignment="1" applyProtection="1">
      <alignment horizontal="center" vertical="center"/>
    </xf>
    <xf numFmtId="4" fontId="3" fillId="0" borderId="20" xfId="0" applyNumberFormat="1" applyFont="1" applyFill="1" applyBorder="1" applyAlignment="1" applyProtection="1">
      <alignment horizontal="center" vertical="center"/>
    </xf>
    <xf numFmtId="4" fontId="4" fillId="0" borderId="16" xfId="0" applyNumberFormat="1" applyFont="1" applyFill="1" applyBorder="1" applyAlignment="1" applyProtection="1">
      <alignment vertical="top" wrapText="1"/>
    </xf>
    <xf numFmtId="4" fontId="7" fillId="0" borderId="0" xfId="0" applyNumberFormat="1" applyFont="1" applyFill="1" applyBorder="1" applyAlignment="1" applyProtection="1">
      <alignment horizontal="center"/>
    </xf>
    <xf numFmtId="4" fontId="8" fillId="0" borderId="21" xfId="0" applyNumberFormat="1" applyFont="1" applyFill="1" applyBorder="1" applyAlignment="1" applyProtection="1">
      <alignment vertical="top" wrapText="1"/>
    </xf>
    <xf numFmtId="4" fontId="3" fillId="0" borderId="22" xfId="0" applyNumberFormat="1" applyFont="1" applyFill="1" applyBorder="1" applyAlignment="1" applyProtection="1"/>
    <xf numFmtId="4" fontId="3" fillId="0" borderId="23" xfId="0" applyNumberFormat="1" applyFont="1" applyFill="1" applyBorder="1" applyAlignment="1" applyProtection="1"/>
    <xf numFmtId="4" fontId="7" fillId="0" borderId="16" xfId="0" applyNumberFormat="1" applyFont="1" applyFill="1" applyBorder="1" applyAlignment="1" applyProtection="1">
      <alignment vertical="top" wrapText="1"/>
    </xf>
    <xf numFmtId="4" fontId="3" fillId="0" borderId="16" xfId="0" applyNumberFormat="1" applyFont="1" applyFill="1" applyBorder="1" applyAlignment="1" applyProtection="1">
      <alignment vertical="top" wrapText="1"/>
    </xf>
    <xf numFmtId="4" fontId="3" fillId="0" borderId="24" xfId="0" applyNumberFormat="1" applyFont="1" applyFill="1" applyBorder="1" applyAlignment="1" applyProtection="1">
      <alignment vertical="top"/>
    </xf>
    <xf numFmtId="4" fontId="3" fillId="0" borderId="3" xfId="0" applyNumberFormat="1" applyFont="1" applyFill="1" applyBorder="1" applyAlignment="1" applyProtection="1"/>
    <xf numFmtId="4" fontId="3" fillId="0" borderId="25" xfId="0" applyNumberFormat="1" applyFont="1" applyFill="1" applyBorder="1" applyAlignment="1" applyProtection="1"/>
    <xf numFmtId="4" fontId="4" fillId="0" borderId="26" xfId="0" applyNumberFormat="1" applyFont="1" applyFill="1" applyBorder="1" applyAlignment="1" applyProtection="1">
      <alignment vertical="top" wrapText="1"/>
    </xf>
    <xf numFmtId="4" fontId="7" fillId="0" borderId="27" xfId="0" applyNumberFormat="1" applyFont="1" applyFill="1" applyBorder="1" applyAlignment="1" applyProtection="1"/>
    <xf numFmtId="4" fontId="7"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xf numFmtId="4" fontId="16" fillId="0" borderId="0" xfId="0" applyNumberFormat="1" applyFont="1" applyFill="1" applyBorder="1" applyAlignment="1" applyProtection="1">
      <alignment horizontal="left"/>
    </xf>
    <xf numFmtId="4" fontId="9" fillId="0" borderId="0" xfId="0" applyNumberFormat="1" applyFont="1" applyFill="1" applyBorder="1" applyAlignment="1" applyProtection="1">
      <alignment horizontal="left"/>
    </xf>
    <xf numFmtId="3" fontId="6" fillId="0" borderId="1" xfId="0" applyNumberFormat="1" applyFont="1" applyFill="1" applyBorder="1" applyAlignment="1" applyProtection="1">
      <alignment horizontal="right" vertical="center" wrapText="1"/>
    </xf>
    <xf numFmtId="3" fontId="6" fillId="2" borderId="10" xfId="0" applyNumberFormat="1" applyFont="1" applyFill="1" applyBorder="1" applyAlignment="1" applyProtection="1">
      <alignment horizontal="right" vertical="center" wrapText="1"/>
    </xf>
    <xf numFmtId="4" fontId="3" fillId="0" borderId="0" xfId="0" applyNumberFormat="1" applyFont="1" applyFill="1" applyBorder="1" applyAlignment="1" applyProtection="1">
      <alignment wrapText="1"/>
    </xf>
    <xf numFmtId="4" fontId="24" fillId="0" borderId="0" xfId="0" applyNumberFormat="1" applyFont="1" applyFill="1" applyBorder="1" applyAlignment="1" applyProtection="1"/>
    <xf numFmtId="4" fontId="28" fillId="0" borderId="0" xfId="0" applyNumberFormat="1" applyFont="1" applyFill="1" applyBorder="1" applyAlignment="1" applyProtection="1">
      <alignment vertical="top" wrapText="1"/>
    </xf>
    <xf numFmtId="4" fontId="20" fillId="0" borderId="0" xfId="1" applyNumberFormat="1" applyFont="1" applyFill="1" applyBorder="1" applyAlignment="1" applyProtection="1">
      <alignment wrapText="1"/>
    </xf>
    <xf numFmtId="4" fontId="0" fillId="0" borderId="0" xfId="0" applyNumberFormat="1"/>
    <xf numFmtId="4" fontId="20" fillId="0" borderId="58" xfId="1" applyNumberFormat="1" applyFont="1" applyFill="1" applyBorder="1" applyAlignment="1" applyProtection="1">
      <alignment wrapText="1"/>
    </xf>
    <xf numFmtId="4" fontId="25" fillId="6" borderId="68" xfId="0" applyNumberFormat="1" applyFont="1" applyFill="1" applyBorder="1" applyAlignment="1" applyProtection="1">
      <alignment horizontal="center" vertical="top" wrapText="1"/>
    </xf>
    <xf numFmtId="0" fontId="22" fillId="4" borderId="59" xfId="1" applyFont="1" applyBorder="1"/>
    <xf numFmtId="4" fontId="20" fillId="4" borderId="69" xfId="1" applyNumberFormat="1" applyFont="1" applyBorder="1" applyAlignment="1" applyProtection="1">
      <alignment wrapText="1"/>
    </xf>
    <xf numFmtId="4" fontId="20" fillId="0" borderId="72" xfId="1" applyNumberFormat="1" applyFont="1" applyFill="1" applyBorder="1" applyAlignment="1" applyProtection="1">
      <alignment wrapText="1"/>
    </xf>
    <xf numFmtId="4" fontId="20" fillId="0" borderId="22" xfId="1" applyNumberFormat="1" applyFont="1" applyFill="1" applyBorder="1" applyAlignment="1" applyProtection="1">
      <alignment wrapText="1"/>
    </xf>
    <xf numFmtId="3" fontId="23" fillId="5" borderId="67" xfId="2" applyNumberFormat="1" applyFont="1" applyBorder="1" applyAlignment="1">
      <alignment horizontal="right"/>
    </xf>
    <xf numFmtId="3" fontId="23" fillId="5" borderId="34" xfId="2" applyNumberFormat="1" applyFont="1" applyBorder="1" applyAlignment="1">
      <alignment horizontal="right"/>
    </xf>
    <xf numFmtId="4" fontId="24" fillId="6" borderId="53" xfId="0" applyNumberFormat="1" applyFont="1" applyFill="1" applyBorder="1" applyAlignment="1" applyProtection="1">
      <alignment horizontal="right"/>
    </xf>
    <xf numFmtId="3" fontId="24" fillId="6" borderId="34" xfId="0" applyNumberFormat="1" applyFont="1" applyFill="1" applyBorder="1" applyAlignment="1" applyProtection="1">
      <alignment horizontal="right"/>
    </xf>
    <xf numFmtId="4" fontId="24" fillId="6" borderId="60" xfId="0" applyNumberFormat="1" applyFont="1" applyFill="1" applyBorder="1" applyAlignment="1" applyProtection="1">
      <alignment horizontal="right"/>
    </xf>
    <xf numFmtId="3" fontId="23" fillId="5" borderId="35" xfId="2" applyNumberFormat="1" applyFont="1" applyBorder="1" applyAlignment="1">
      <alignment horizontal="right"/>
    </xf>
    <xf numFmtId="4" fontId="24" fillId="6" borderId="54" xfId="0" applyNumberFormat="1" applyFont="1" applyFill="1" applyBorder="1" applyAlignment="1" applyProtection="1">
      <alignment horizontal="right"/>
    </xf>
    <xf numFmtId="3" fontId="24" fillId="6" borderId="35" xfId="0" applyNumberFormat="1" applyFont="1" applyFill="1" applyBorder="1" applyAlignment="1" applyProtection="1">
      <alignment horizontal="right"/>
    </xf>
    <xf numFmtId="4" fontId="24" fillId="6" borderId="61" xfId="0" applyNumberFormat="1" applyFont="1" applyFill="1" applyBorder="1" applyAlignment="1" applyProtection="1">
      <alignment horizontal="right"/>
    </xf>
    <xf numFmtId="3" fontId="23" fillId="5" borderId="0" xfId="2" applyNumberFormat="1" applyFont="1" applyBorder="1" applyAlignment="1">
      <alignment horizontal="right"/>
    </xf>
    <xf numFmtId="4" fontId="24" fillId="6" borderId="55" xfId="0" applyNumberFormat="1" applyFont="1" applyFill="1" applyBorder="1" applyAlignment="1" applyProtection="1">
      <alignment horizontal="right"/>
    </xf>
    <xf numFmtId="3" fontId="24" fillId="6" borderId="0" xfId="0" applyNumberFormat="1" applyFont="1" applyFill="1" applyBorder="1" applyAlignment="1" applyProtection="1">
      <alignment horizontal="right"/>
    </xf>
    <xf numFmtId="4" fontId="24" fillId="6" borderId="62" xfId="0" applyNumberFormat="1" applyFont="1" applyFill="1" applyBorder="1" applyAlignment="1" applyProtection="1">
      <alignment horizontal="right"/>
    </xf>
    <xf numFmtId="3" fontId="23" fillId="5" borderId="32" xfId="2" applyNumberFormat="1" applyFont="1" applyBorder="1" applyAlignment="1">
      <alignment horizontal="right"/>
    </xf>
    <xf numFmtId="4" fontId="24" fillId="6" borderId="56" xfId="0" applyNumberFormat="1" applyFont="1" applyFill="1" applyBorder="1" applyAlignment="1" applyProtection="1">
      <alignment horizontal="right"/>
    </xf>
    <xf numFmtId="3" fontId="24" fillId="6" borderId="32" xfId="0" applyNumberFormat="1" applyFont="1" applyFill="1" applyBorder="1" applyAlignment="1" applyProtection="1">
      <alignment horizontal="right"/>
    </xf>
    <xf numFmtId="4" fontId="24" fillId="6" borderId="63" xfId="0" applyNumberFormat="1" applyFont="1" applyFill="1" applyBorder="1" applyAlignment="1" applyProtection="1">
      <alignment horizontal="right"/>
    </xf>
    <xf numFmtId="4" fontId="20" fillId="0" borderId="22" xfId="1" applyNumberFormat="1" applyFont="1" applyFill="1" applyBorder="1" applyAlignment="1" applyProtection="1">
      <alignment wrapText="1"/>
    </xf>
    <xf numFmtId="4" fontId="20" fillId="0" borderId="0" xfId="1" applyNumberFormat="1" applyFont="1" applyFill="1" applyBorder="1" applyAlignment="1" applyProtection="1">
      <alignment wrapText="1"/>
    </xf>
    <xf numFmtId="4" fontId="3" fillId="0" borderId="0" xfId="0" applyNumberFormat="1" applyFont="1" applyFill="1" applyBorder="1" applyAlignment="1" applyProtection="1">
      <alignment wrapText="1"/>
    </xf>
    <xf numFmtId="4" fontId="3" fillId="0" borderId="79" xfId="0" applyNumberFormat="1" applyFont="1" applyFill="1" applyBorder="1" applyAlignment="1" applyProtection="1"/>
    <xf numFmtId="0" fontId="23" fillId="4" borderId="64" xfId="1" applyFont="1" applyBorder="1"/>
    <xf numFmtId="0" fontId="23" fillId="4" borderId="66" xfId="1" applyFont="1" applyBorder="1" applyAlignment="1">
      <alignment horizontal="center"/>
    </xf>
    <xf numFmtId="0" fontId="23" fillId="4" borderId="51" xfId="1" applyFont="1" applyBorder="1" applyAlignment="1">
      <alignment horizontal="center"/>
    </xf>
    <xf numFmtId="0" fontId="23" fillId="4" borderId="52" xfId="1" applyFont="1" applyBorder="1" applyAlignment="1">
      <alignment horizontal="center"/>
    </xf>
    <xf numFmtId="0" fontId="23" fillId="4" borderId="31" xfId="1" applyFont="1" applyBorder="1" applyAlignment="1">
      <alignment horizontal="center"/>
    </xf>
    <xf numFmtId="0" fontId="23" fillId="4" borderId="64" xfId="1" applyFont="1" applyBorder="1" applyAlignment="1">
      <alignment wrapText="1"/>
    </xf>
    <xf numFmtId="0" fontId="23" fillId="4" borderId="65" xfId="1" applyFont="1" applyBorder="1"/>
    <xf numFmtId="4" fontId="26" fillId="6" borderId="33" xfId="0" applyNumberFormat="1" applyFont="1" applyFill="1" applyBorder="1" applyAlignment="1" applyProtection="1">
      <alignment horizontal="center"/>
    </xf>
    <xf numFmtId="4" fontId="29" fillId="4" borderId="43" xfId="1" applyNumberFormat="1" applyFont="1" applyBorder="1" applyAlignment="1" applyProtection="1">
      <alignment horizontal="center" wrapText="1"/>
    </xf>
    <xf numFmtId="4" fontId="3" fillId="0" borderId="0" xfId="0" applyNumberFormat="1" applyFont="1" applyFill="1" applyBorder="1" applyAlignment="1" applyProtection="1">
      <alignment wrapText="1"/>
    </xf>
    <xf numFmtId="4" fontId="29" fillId="4" borderId="44" xfId="1" applyNumberFormat="1" applyFont="1" applyBorder="1" applyAlignment="1" applyProtection="1">
      <alignment horizontal="center" wrapText="1"/>
    </xf>
    <xf numFmtId="4" fontId="29" fillId="4" borderId="45" xfId="1" applyNumberFormat="1" applyFont="1" applyBorder="1" applyAlignment="1" applyProtection="1">
      <alignment horizontal="center" wrapText="1"/>
    </xf>
    <xf numFmtId="4" fontId="29" fillId="4" borderId="44" xfId="1" applyNumberFormat="1" applyFont="1" applyBorder="1" applyAlignment="1" applyProtection="1">
      <alignment horizontal="right" wrapText="1"/>
    </xf>
    <xf numFmtId="4" fontId="29" fillId="4" borderId="44" xfId="1" applyNumberFormat="1" applyFont="1" applyBorder="1" applyAlignment="1" applyProtection="1">
      <alignment horizontal="left" wrapText="1"/>
    </xf>
    <xf numFmtId="4" fontId="31" fillId="2" borderId="0" xfId="0" applyNumberFormat="1" applyFont="1" applyFill="1" applyBorder="1" applyAlignment="1" applyProtection="1">
      <alignment horizontal="left" vertical="top" wrapText="1"/>
    </xf>
    <xf numFmtId="4" fontId="26" fillId="6" borderId="82" xfId="0" applyNumberFormat="1" applyFont="1" applyFill="1" applyBorder="1" applyAlignment="1" applyProtection="1">
      <alignment horizontal="center"/>
    </xf>
    <xf numFmtId="4" fontId="26" fillId="6" borderId="57"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vertical="top" wrapText="1"/>
    </xf>
    <xf numFmtId="4" fontId="25" fillId="6" borderId="82" xfId="0" applyNumberFormat="1" applyFont="1" applyFill="1" applyBorder="1" applyAlignment="1" applyProtection="1">
      <alignment horizontal="center" vertical="top" wrapText="1"/>
    </xf>
    <xf numFmtId="4" fontId="23" fillId="4" borderId="64" xfId="1" applyNumberFormat="1" applyFont="1" applyBorder="1"/>
    <xf numFmtId="0" fontId="22" fillId="4" borderId="64" xfId="1" applyFont="1" applyBorder="1"/>
    <xf numFmtId="4" fontId="22" fillId="4" borderId="64" xfId="1" applyNumberFormat="1" applyFont="1" applyBorder="1"/>
    <xf numFmtId="0" fontId="22" fillId="4" borderId="64" xfId="1" applyFont="1" applyBorder="1" applyAlignment="1">
      <alignment wrapText="1"/>
    </xf>
    <xf numFmtId="0" fontId="22" fillId="4" borderId="65"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32" fillId="4" borderId="64" xfId="1" applyFont="1" applyBorder="1"/>
    <xf numFmtId="4" fontId="27" fillId="6" borderId="80" xfId="0" applyNumberFormat="1" applyFont="1" applyFill="1" applyBorder="1" applyAlignment="1" applyProtection="1"/>
    <xf numFmtId="4" fontId="27" fillId="6" borderId="42" xfId="0" applyNumberFormat="1" applyFont="1" applyFill="1" applyBorder="1" applyAlignment="1" applyProtection="1"/>
    <xf numFmtId="4" fontId="27" fillId="6" borderId="36" xfId="0" applyNumberFormat="1" applyFont="1" applyFill="1" applyBorder="1" applyAlignment="1" applyProtection="1"/>
    <xf numFmtId="4" fontId="27" fillId="6" borderId="37" xfId="0" applyNumberFormat="1" applyFont="1" applyFill="1" applyBorder="1" applyAlignment="1" applyProtection="1"/>
    <xf numFmtId="4" fontId="27" fillId="6" borderId="40" xfId="0" applyNumberFormat="1" applyFont="1" applyFill="1" applyBorder="1" applyAlignment="1" applyProtection="1"/>
    <xf numFmtId="0" fontId="34" fillId="4" borderId="64" xfId="1" applyFont="1" applyBorder="1"/>
    <xf numFmtId="4" fontId="27" fillId="6" borderId="35" xfId="0" applyNumberFormat="1" applyFont="1" applyFill="1" applyBorder="1" applyAlignment="1" applyProtection="1"/>
    <xf numFmtId="4" fontId="27" fillId="6" borderId="49" xfId="0" applyNumberFormat="1" applyFont="1" applyFill="1" applyBorder="1" applyAlignment="1" applyProtection="1"/>
    <xf numFmtId="4" fontId="27" fillId="6" borderId="50" xfId="0" applyNumberFormat="1" applyFont="1" applyFill="1" applyBorder="1" applyAlignment="1" applyProtection="1"/>
    <xf numFmtId="4" fontId="33" fillId="6" borderId="41" xfId="0" applyNumberFormat="1" applyFont="1" applyFill="1" applyBorder="1" applyAlignment="1" applyProtection="1"/>
    <xf numFmtId="4" fontId="27" fillId="6" borderId="81" xfId="0" applyNumberFormat="1" applyFont="1" applyFill="1" applyBorder="1" applyAlignment="1" applyProtection="1"/>
    <xf numFmtId="4" fontId="27" fillId="6" borderId="29" xfId="0" applyNumberFormat="1" applyFont="1" applyFill="1" applyBorder="1" applyAlignment="1" applyProtection="1"/>
    <xf numFmtId="4" fontId="27" fillId="6" borderId="75" xfId="0" applyNumberFormat="1" applyFont="1" applyFill="1" applyBorder="1" applyAlignment="1" applyProtection="1"/>
    <xf numFmtId="4" fontId="27" fillId="6" borderId="76" xfId="0" applyNumberFormat="1" applyFont="1" applyFill="1" applyBorder="1" applyAlignment="1" applyProtection="1"/>
    <xf numFmtId="4" fontId="27" fillId="6" borderId="38" xfId="0" applyNumberFormat="1" applyFont="1" applyFill="1" applyBorder="1" applyAlignment="1" applyProtection="1"/>
    <xf numFmtId="4" fontId="35" fillId="4" borderId="69" xfId="1" applyNumberFormat="1" applyFont="1" applyBorder="1" applyAlignment="1" applyProtection="1">
      <alignment wrapText="1"/>
    </xf>
    <xf numFmtId="4" fontId="3" fillId="2" borderId="0" xfId="0" applyNumberFormat="1" applyFont="1" applyFill="1" applyBorder="1" applyAlignment="1" applyProtection="1">
      <alignment vertical="top" wrapText="1"/>
    </xf>
    <xf numFmtId="4" fontId="3" fillId="0" borderId="0" xfId="0" applyNumberFormat="1" applyFont="1" applyFill="1" applyBorder="1" applyAlignment="1" applyProtection="1">
      <alignment wrapText="1"/>
    </xf>
    <xf numFmtId="4" fontId="5" fillId="0" borderId="0" xfId="0" applyNumberFormat="1" applyFont="1" applyFill="1" applyBorder="1" applyAlignment="1" applyProtection="1">
      <alignment vertical="top" wrapText="1"/>
    </xf>
    <xf numFmtId="4" fontId="3" fillId="2" borderId="0" xfId="0" applyNumberFormat="1" applyFont="1" applyFill="1" applyBorder="1" applyAlignment="1" applyProtection="1">
      <alignment vertical="top" wrapText="1"/>
    </xf>
    <xf numFmtId="4" fontId="6" fillId="2" borderId="0" xfId="0" applyNumberFormat="1" applyFont="1" applyFill="1" applyBorder="1" applyAlignment="1" applyProtection="1">
      <alignment horizontal="left" vertical="top" wrapText="1"/>
    </xf>
    <xf numFmtId="4" fontId="18" fillId="0" borderId="46" xfId="0" applyNumberFormat="1" applyFont="1" applyFill="1" applyBorder="1" applyAlignment="1" applyProtection="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4" fontId="35" fillId="4" borderId="32" xfId="1" applyNumberFormat="1" applyFont="1" applyBorder="1" applyAlignment="1" applyProtection="1">
      <alignment horizontal="center" wrapText="1"/>
    </xf>
    <xf numFmtId="0" fontId="36" fillId="0" borderId="70" xfId="0" applyFont="1" applyBorder="1" applyAlignment="1">
      <alignment horizontal="center" wrapText="1"/>
    </xf>
    <xf numFmtId="4" fontId="20" fillId="0" borderId="22" xfId="1" applyNumberFormat="1" applyFont="1" applyFill="1" applyBorder="1" applyAlignment="1" applyProtection="1">
      <alignment wrapText="1"/>
    </xf>
    <xf numFmtId="0" fontId="21" fillId="0" borderId="22" xfId="0" applyFont="1" applyFill="1" applyBorder="1" applyAlignment="1"/>
    <xf numFmtId="0" fontId="21" fillId="0" borderId="73" xfId="0" applyFont="1" applyFill="1" applyBorder="1" applyAlignment="1"/>
    <xf numFmtId="4" fontId="20" fillId="0" borderId="0" xfId="1" applyNumberFormat="1" applyFont="1" applyFill="1" applyBorder="1" applyAlignment="1" applyProtection="1">
      <alignment wrapText="1"/>
    </xf>
    <xf numFmtId="0" fontId="21" fillId="0" borderId="0" xfId="0" applyFont="1" applyFill="1" applyBorder="1" applyAlignment="1"/>
    <xf numFmtId="0" fontId="21" fillId="0" borderId="30" xfId="0" applyFont="1" applyFill="1" applyBorder="1" applyAlignment="1"/>
    <xf numFmtId="0" fontId="36" fillId="0" borderId="71" xfId="0" applyFont="1" applyBorder="1" applyAlignment="1">
      <alignment horizontal="center" wrapText="1"/>
    </xf>
    <xf numFmtId="4" fontId="20" fillId="4" borderId="32" xfId="1" applyNumberFormat="1" applyFont="1" applyBorder="1" applyAlignment="1" applyProtection="1">
      <alignment horizontal="center" wrapText="1"/>
    </xf>
    <xf numFmtId="0" fontId="21" fillId="0" borderId="70" xfId="0" applyFont="1" applyBorder="1" applyAlignment="1">
      <alignment horizontal="center" wrapText="1"/>
    </xf>
    <xf numFmtId="0" fontId="21" fillId="0" borderId="71" xfId="0" applyFont="1" applyBorder="1" applyAlignment="1">
      <alignment horizontal="center" wrapText="1"/>
    </xf>
    <xf numFmtId="4" fontId="20"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7" fillId="6" borderId="80" xfId="0" applyNumberFormat="1" applyFont="1" applyFill="1" applyBorder="1" applyAlignment="1" applyProtection="1"/>
    <xf numFmtId="0" fontId="27" fillId="0" borderId="41" xfId="0" applyFont="1" applyBorder="1" applyAlignment="1"/>
    <xf numFmtId="4" fontId="27" fillId="6" borderId="29" xfId="0" applyNumberFormat="1" applyFont="1" applyFill="1" applyBorder="1" applyAlignment="1" applyProtection="1"/>
    <xf numFmtId="0" fontId="27" fillId="0" borderId="37" xfId="0" applyFont="1" applyBorder="1" applyAlignment="1"/>
    <xf numFmtId="4" fontId="27" fillId="6" borderId="36" xfId="0" applyNumberFormat="1" applyFont="1" applyFill="1" applyBorder="1" applyAlignment="1" applyProtection="1"/>
    <xf numFmtId="0" fontId="27" fillId="0" borderId="29" xfId="0" applyFont="1" applyBorder="1" applyAlignment="1"/>
    <xf numFmtId="4" fontId="27" fillId="6" borderId="38" xfId="0" applyNumberFormat="1" applyFont="1" applyFill="1" applyBorder="1" applyAlignment="1" applyProtection="1"/>
    <xf numFmtId="0" fontId="27" fillId="0" borderId="39" xfId="0" applyFont="1" applyBorder="1" applyAlignment="1"/>
    <xf numFmtId="4" fontId="29" fillId="4" borderId="43" xfId="1" applyNumberFormat="1" applyFont="1" applyBorder="1" applyAlignment="1" applyProtection="1">
      <alignment horizontal="center" wrapText="1"/>
    </xf>
    <xf numFmtId="0" fontId="27" fillId="0" borderId="44" xfId="0" applyFont="1" applyBorder="1" applyAlignment="1">
      <alignment horizontal="center"/>
    </xf>
    <xf numFmtId="0" fontId="27" fillId="0" borderId="44" xfId="0" applyFont="1" applyBorder="1" applyAlignment="1"/>
    <xf numFmtId="0" fontId="0" fillId="0" borderId="44" xfId="0" applyBorder="1" applyAlignment="1"/>
    <xf numFmtId="0" fontId="0" fillId="0" borderId="45" xfId="0" applyBorder="1" applyAlignment="1"/>
    <xf numFmtId="4" fontId="27" fillId="6" borderId="75" xfId="0" applyNumberFormat="1" applyFont="1" applyFill="1" applyBorder="1" applyAlignment="1" applyProtection="1"/>
    <xf numFmtId="0" fontId="30" fillId="0" borderId="76" xfId="0" applyFont="1" applyBorder="1" applyAlignment="1"/>
    <xf numFmtId="0" fontId="30" fillId="0" borderId="74" xfId="0" applyFont="1" applyBorder="1" applyAlignment="1"/>
    <xf numFmtId="4" fontId="33" fillId="6" borderId="41" xfId="0" applyNumberFormat="1" applyFont="1" applyFill="1" applyBorder="1" applyAlignment="1" applyProtection="1"/>
    <xf numFmtId="0" fontId="27" fillId="0" borderId="42" xfId="0" applyFont="1" applyBorder="1" applyAlignment="1"/>
    <xf numFmtId="4" fontId="14" fillId="0" borderId="0" xfId="0" applyNumberFormat="1" applyFont="1" applyFill="1" applyBorder="1" applyAlignment="1" applyProtection="1">
      <alignment wrapText="1"/>
    </xf>
    <xf numFmtId="4" fontId="10" fillId="0" borderId="0" xfId="0" applyNumberFormat="1" applyFont="1" applyFill="1" applyBorder="1" applyAlignment="1" applyProtection="1">
      <alignment wrapText="1"/>
      <protection hidden="1"/>
    </xf>
    <xf numFmtId="4" fontId="7" fillId="0" borderId="0" xfId="0" applyNumberFormat="1" applyFont="1" applyFill="1" applyBorder="1" applyAlignment="1" applyProtection="1">
      <alignment vertical="center" wrapText="1"/>
    </xf>
    <xf numFmtId="4" fontId="7" fillId="0" borderId="13" xfId="0" applyNumberFormat="1" applyFont="1" applyFill="1" applyBorder="1" applyAlignment="1" applyProtection="1">
      <alignment vertical="top" wrapText="1"/>
    </xf>
    <xf numFmtId="4" fontId="7" fillId="0" borderId="14" xfId="0" applyNumberFormat="1" applyFont="1" applyFill="1" applyBorder="1" applyAlignment="1" applyProtection="1">
      <alignment vertical="top" wrapText="1"/>
    </xf>
    <xf numFmtId="4" fontId="9" fillId="0" borderId="0" xfId="0" applyNumberFormat="1" applyFont="1" applyFill="1" applyBorder="1" applyAlignment="1" applyProtection="1">
      <alignment horizontal="left" wrapText="1"/>
    </xf>
    <xf numFmtId="4" fontId="3" fillId="0" borderId="0" xfId="0" applyNumberFormat="1" applyFont="1" applyFill="1" applyBorder="1" applyAlignment="1" applyProtection="1">
      <alignment wrapText="1"/>
    </xf>
    <xf numFmtId="4" fontId="3" fillId="0" borderId="0" xfId="0" applyNumberFormat="1" applyFont="1" applyFill="1" applyBorder="1" applyAlignment="1" applyProtection="1">
      <alignment horizontal="center" wrapText="1"/>
    </xf>
    <xf numFmtId="4" fontId="3" fillId="0" borderId="17" xfId="0" applyNumberFormat="1" applyFont="1" applyFill="1" applyBorder="1" applyAlignment="1" applyProtection="1">
      <alignment horizontal="center" wrapText="1"/>
    </xf>
    <xf numFmtId="4" fontId="3" fillId="0" borderId="19" xfId="0" applyNumberFormat="1" applyFont="1" applyFill="1" applyBorder="1" applyAlignment="1" applyProtection="1">
      <alignment horizontal="center" wrapText="1"/>
    </xf>
    <xf numFmtId="4" fontId="3" fillId="0" borderId="20" xfId="0" applyNumberFormat="1" applyFont="1" applyFill="1" applyBorder="1" applyAlignment="1" applyProtection="1">
      <alignment horizontal="center" wrapText="1"/>
    </xf>
    <xf numFmtId="4" fontId="6" fillId="0" borderId="0" xfId="0" applyNumberFormat="1" applyFont="1" applyFill="1" applyBorder="1" applyAlignment="1" applyProtection="1">
      <alignment horizontal="center" wrapText="1"/>
    </xf>
  </cellXfs>
  <cellStyles count="6">
    <cellStyle name="40% - Accent1" xfId="2" builtinId="31"/>
    <cellStyle name="Accent1" xfId="1" builtinId="29"/>
    <cellStyle name="Normal" xfId="0" builtinId="0"/>
    <cellStyle name="Normal 2" xfId="4"/>
    <cellStyle name="Normal 3" xfId="5"/>
    <cellStyle name="Normal 4" xfId="3"/>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zoomScaleNormal="100" workbookViewId="0">
      <selection activeCell="B5" sqref="B5:K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9" t="s">
        <v>1</v>
      </c>
      <c r="C1" s="169"/>
      <c r="D1" s="169"/>
      <c r="E1" s="169"/>
      <c r="F1" s="169"/>
      <c r="G1" s="169"/>
      <c r="H1" s="169"/>
    </row>
    <row r="2" spans="1:11" ht="15" customHeight="1" x14ac:dyDescent="0.25">
      <c r="A2" s="3" t="s">
        <v>123</v>
      </c>
      <c r="B2" s="4"/>
      <c r="C2" s="4"/>
      <c r="D2" s="4"/>
      <c r="E2" s="4"/>
      <c r="F2" s="4"/>
    </row>
    <row r="3" spans="1:11" ht="15" customHeight="1" x14ac:dyDescent="0.25">
      <c r="A3" s="136" t="s">
        <v>136</v>
      </c>
      <c r="B3" s="4"/>
      <c r="C3" s="5" t="s">
        <v>108</v>
      </c>
      <c r="D3" s="6"/>
      <c r="E3" s="6"/>
      <c r="F3" s="6"/>
      <c r="G3" s="7"/>
      <c r="H3" s="7"/>
    </row>
    <row r="4" spans="1:11" ht="15" customHeight="1" x14ac:dyDescent="0.25">
      <c r="A4" s="4"/>
      <c r="B4" s="4"/>
      <c r="C4" s="171" t="s">
        <v>130</v>
      </c>
      <c r="D4" s="171"/>
      <c r="E4" s="171"/>
      <c r="F4" s="171"/>
      <c r="G4" s="8"/>
    </row>
    <row r="5" spans="1:11" ht="65.25" customHeight="1" thickBot="1" x14ac:dyDescent="0.3">
      <c r="A5" s="8"/>
      <c r="B5" s="221" t="s">
        <v>2</v>
      </c>
      <c r="C5" s="221" t="s">
        <v>3</v>
      </c>
      <c r="D5" s="221" t="s">
        <v>131</v>
      </c>
      <c r="E5" s="221" t="s">
        <v>4</v>
      </c>
      <c r="F5" s="221" t="s">
        <v>5</v>
      </c>
      <c r="G5" s="221" t="s">
        <v>135</v>
      </c>
      <c r="H5" s="221" t="s">
        <v>6</v>
      </c>
      <c r="I5" s="221" t="s">
        <v>125</v>
      </c>
      <c r="J5" s="221" t="s">
        <v>7</v>
      </c>
      <c r="K5" s="221" t="s">
        <v>117</v>
      </c>
    </row>
    <row r="6" spans="1:11" ht="15.75" customHeight="1" thickBot="1" x14ac:dyDescent="0.25">
      <c r="A6" s="9" t="s">
        <v>132</v>
      </c>
      <c r="B6" s="10">
        <f t="shared" ref="B6:B12" si="0">SUM(C6:I6)+K6</f>
        <v>22287</v>
      </c>
      <c r="C6" s="10">
        <v>16169</v>
      </c>
      <c r="D6" s="10">
        <v>3962</v>
      </c>
      <c r="E6" s="10">
        <v>1402</v>
      </c>
      <c r="F6" s="10">
        <v>615</v>
      </c>
      <c r="G6" s="10"/>
      <c r="H6" s="10">
        <v>139</v>
      </c>
      <c r="I6" s="10"/>
      <c r="J6" s="88">
        <f t="shared" ref="J6:J12" si="1">SUM(D6:I6)</f>
        <v>6118</v>
      </c>
      <c r="K6" s="89"/>
    </row>
    <row r="7" spans="1:11" ht="15.75" customHeight="1" thickBot="1" x14ac:dyDescent="0.25">
      <c r="A7" s="9" t="s">
        <v>8</v>
      </c>
      <c r="B7" s="10">
        <f t="shared" si="0"/>
        <v>569</v>
      </c>
      <c r="C7" s="10">
        <v>233</v>
      </c>
      <c r="D7" s="10">
        <v>295</v>
      </c>
      <c r="E7" s="10">
        <v>7</v>
      </c>
      <c r="F7" s="10">
        <v>2</v>
      </c>
      <c r="G7" s="10">
        <v>0</v>
      </c>
      <c r="H7" s="10">
        <v>0</v>
      </c>
      <c r="I7" s="10">
        <v>0</v>
      </c>
      <c r="J7" s="88">
        <f t="shared" si="1"/>
        <v>304</v>
      </c>
      <c r="K7" s="89">
        <v>32</v>
      </c>
    </row>
    <row r="8" spans="1:11" ht="15.75" customHeight="1" thickBot="1" x14ac:dyDescent="0.25">
      <c r="A8" s="9" t="s">
        <v>9</v>
      </c>
      <c r="B8" s="10">
        <f t="shared" si="0"/>
        <v>1673</v>
      </c>
      <c r="C8" s="10">
        <v>630</v>
      </c>
      <c r="D8" s="10">
        <v>880</v>
      </c>
      <c r="E8" s="10">
        <v>0</v>
      </c>
      <c r="F8" s="10">
        <v>0</v>
      </c>
      <c r="G8" s="10">
        <v>0</v>
      </c>
      <c r="H8" s="10">
        <v>5</v>
      </c>
      <c r="I8" s="10">
        <v>95</v>
      </c>
      <c r="J8" s="88">
        <f t="shared" si="1"/>
        <v>980</v>
      </c>
      <c r="K8" s="89">
        <v>63</v>
      </c>
    </row>
    <row r="9" spans="1:11" ht="15.75" customHeight="1" thickBot="1" x14ac:dyDescent="0.25">
      <c r="A9" s="9" t="s">
        <v>10</v>
      </c>
      <c r="B9" s="10">
        <f t="shared" si="0"/>
        <v>957</v>
      </c>
      <c r="C9" s="10">
        <v>401</v>
      </c>
      <c r="D9" s="10">
        <v>494</v>
      </c>
      <c r="E9" s="10">
        <v>0</v>
      </c>
      <c r="F9" s="10">
        <v>0</v>
      </c>
      <c r="G9" s="10">
        <v>0</v>
      </c>
      <c r="H9" s="10">
        <v>3</v>
      </c>
      <c r="I9" s="10">
        <v>53</v>
      </c>
      <c r="J9" s="88">
        <f t="shared" si="1"/>
        <v>550</v>
      </c>
      <c r="K9" s="89">
        <v>6</v>
      </c>
    </row>
    <row r="10" spans="1:11" ht="15.75" customHeight="1" thickBot="1" x14ac:dyDescent="0.25">
      <c r="A10" s="9" t="s">
        <v>11</v>
      </c>
      <c r="B10" s="10">
        <f t="shared" si="0"/>
        <v>498</v>
      </c>
      <c r="C10" s="10">
        <v>158</v>
      </c>
      <c r="D10" s="10">
        <v>297</v>
      </c>
      <c r="E10" s="10">
        <v>0</v>
      </c>
      <c r="F10" s="10">
        <v>0</v>
      </c>
      <c r="G10" s="10">
        <v>1</v>
      </c>
      <c r="H10" s="10">
        <v>2</v>
      </c>
      <c r="I10" s="10">
        <v>30</v>
      </c>
      <c r="J10" s="88">
        <f t="shared" si="1"/>
        <v>330</v>
      </c>
      <c r="K10" s="89">
        <v>10</v>
      </c>
    </row>
    <row r="11" spans="1:11" ht="15.75" customHeight="1" thickBot="1" x14ac:dyDescent="0.25">
      <c r="A11" s="9" t="s">
        <v>12</v>
      </c>
      <c r="B11" s="10">
        <f t="shared" si="0"/>
        <v>667</v>
      </c>
      <c r="C11" s="10">
        <v>229</v>
      </c>
      <c r="D11" s="10">
        <v>386</v>
      </c>
      <c r="E11" s="10">
        <v>0</v>
      </c>
      <c r="F11" s="10">
        <v>0</v>
      </c>
      <c r="G11" s="10">
        <v>0</v>
      </c>
      <c r="H11" s="10">
        <v>2</v>
      </c>
      <c r="I11" s="10">
        <v>42</v>
      </c>
      <c r="J11" s="88">
        <f t="shared" si="1"/>
        <v>430</v>
      </c>
      <c r="K11" s="89">
        <v>8</v>
      </c>
    </row>
    <row r="12" spans="1:11" ht="15.75" customHeight="1" thickBot="1" x14ac:dyDescent="0.25">
      <c r="A12" s="9" t="s">
        <v>13</v>
      </c>
      <c r="B12" s="10">
        <f t="shared" si="0"/>
        <v>290</v>
      </c>
      <c r="C12" s="10">
        <v>105</v>
      </c>
      <c r="D12" s="10">
        <v>170</v>
      </c>
      <c r="E12" s="10">
        <v>0</v>
      </c>
      <c r="F12" s="10">
        <v>0</v>
      </c>
      <c r="G12" s="10">
        <v>0</v>
      </c>
      <c r="H12" s="10">
        <v>0</v>
      </c>
      <c r="I12" s="10">
        <v>15</v>
      </c>
      <c r="J12" s="88">
        <f t="shared" si="1"/>
        <v>185</v>
      </c>
      <c r="K12" s="89"/>
    </row>
    <row r="13" spans="1:11" ht="15.75" customHeight="1" thickBot="1" x14ac:dyDescent="0.25">
      <c r="A13" s="9" t="s">
        <v>133</v>
      </c>
      <c r="B13" s="10">
        <f t="shared" ref="B13:B15" si="2">SUM(C13:I13)+K13</f>
        <v>243</v>
      </c>
      <c r="C13" s="10">
        <v>92</v>
      </c>
      <c r="D13" s="10">
        <v>117</v>
      </c>
      <c r="E13" s="10">
        <v>0</v>
      </c>
      <c r="F13" s="10">
        <v>0</v>
      </c>
      <c r="G13" s="10">
        <v>0</v>
      </c>
      <c r="H13" s="10">
        <v>0</v>
      </c>
      <c r="I13" s="10">
        <v>34</v>
      </c>
      <c r="J13" s="88">
        <f t="shared" ref="J13:J15" si="3">SUM(D13:I13)</f>
        <v>151</v>
      </c>
      <c r="K13" s="89">
        <v>0</v>
      </c>
    </row>
    <row r="14" spans="1:11" ht="26.25" customHeight="1" thickBot="1" x14ac:dyDescent="0.25">
      <c r="A14" s="9" t="s">
        <v>124</v>
      </c>
      <c r="B14" s="10">
        <f t="shared" si="2"/>
        <v>29</v>
      </c>
      <c r="C14" s="10">
        <v>10</v>
      </c>
      <c r="D14" s="10">
        <v>17</v>
      </c>
      <c r="E14" s="10">
        <v>0</v>
      </c>
      <c r="F14" s="10">
        <v>0</v>
      </c>
      <c r="G14" s="10">
        <v>0</v>
      </c>
      <c r="H14" s="10">
        <v>0</v>
      </c>
      <c r="I14" s="10">
        <v>2</v>
      </c>
      <c r="J14" s="88">
        <f t="shared" si="3"/>
        <v>19</v>
      </c>
      <c r="K14" s="89">
        <v>0</v>
      </c>
    </row>
    <row r="15" spans="1:11" ht="15.75" customHeight="1" thickBot="1" x14ac:dyDescent="0.25">
      <c r="A15" s="9" t="s">
        <v>16</v>
      </c>
      <c r="B15" s="10">
        <f t="shared" si="2"/>
        <v>1</v>
      </c>
      <c r="C15" s="10">
        <v>0</v>
      </c>
      <c r="D15" s="10">
        <v>1</v>
      </c>
      <c r="E15" s="10">
        <v>0</v>
      </c>
      <c r="F15" s="10">
        <v>0</v>
      </c>
      <c r="G15" s="10">
        <v>0</v>
      </c>
      <c r="H15" s="10">
        <v>0</v>
      </c>
      <c r="I15" s="10">
        <v>0</v>
      </c>
      <c r="J15" s="88">
        <f t="shared" si="3"/>
        <v>1</v>
      </c>
      <c r="K15" s="89">
        <v>0</v>
      </c>
    </row>
    <row r="16" spans="1:11" s="13" customFormat="1" ht="15" customHeight="1" x14ac:dyDescent="0.2">
      <c r="A16" s="11" t="s">
        <v>17</v>
      </c>
      <c r="B16" s="12" t="str">
        <f>IF((B6 &gt; ($B6/100)),"Yes","No")</f>
        <v>Yes</v>
      </c>
      <c r="C16" s="12" t="str">
        <f>IF((C6 &gt; ($B6/100)),"Yes","No")</f>
        <v>Yes</v>
      </c>
      <c r="D16" s="12" t="str">
        <f t="shared" ref="D16:J16" si="4">IF((D6 &gt; ($B6/100)),"Yes","No")</f>
        <v>Yes</v>
      </c>
      <c r="E16" s="12" t="str">
        <f t="shared" si="4"/>
        <v>Yes</v>
      </c>
      <c r="F16" s="12" t="str">
        <f t="shared" si="4"/>
        <v>Yes</v>
      </c>
      <c r="G16" s="12" t="str">
        <f t="shared" si="4"/>
        <v>No</v>
      </c>
      <c r="H16" s="12" t="str">
        <f t="shared" si="4"/>
        <v>No</v>
      </c>
      <c r="I16" s="12" t="str">
        <f t="shared" si="4"/>
        <v>No</v>
      </c>
      <c r="J16" s="12" t="str">
        <f t="shared" si="4"/>
        <v>Yes</v>
      </c>
    </row>
    <row r="17" spans="1:9" ht="15" customHeight="1" x14ac:dyDescent="0.25">
      <c r="A17" s="14" t="str">
        <f>'Black or African-American'!B16</f>
        <v>release 10/17/05</v>
      </c>
    </row>
    <row r="18" spans="1:9" ht="15" customHeight="1" x14ac:dyDescent="0.25">
      <c r="A18" s="15" t="s">
        <v>18</v>
      </c>
      <c r="B18" s="15"/>
      <c r="C18" s="15"/>
      <c r="D18" s="15"/>
      <c r="E18" s="15"/>
      <c r="F18" s="15"/>
      <c r="G18" s="15"/>
    </row>
    <row r="19" spans="1:9" ht="15" customHeight="1" x14ac:dyDescent="0.25">
      <c r="A19" s="167" t="s">
        <v>138</v>
      </c>
      <c r="B19" s="167"/>
      <c r="C19" s="168"/>
      <c r="D19" s="170" t="s">
        <v>137</v>
      </c>
      <c r="E19" s="170"/>
      <c r="F19" s="170"/>
      <c r="G19" s="170"/>
      <c r="H19" s="170"/>
      <c r="I19" s="170"/>
    </row>
    <row r="20" spans="1:9" ht="15" customHeight="1" x14ac:dyDescent="0.25">
      <c r="A20" s="170" t="s">
        <v>109</v>
      </c>
      <c r="B20" s="170"/>
      <c r="C20" s="168"/>
      <c r="D20" s="170" t="s">
        <v>110</v>
      </c>
      <c r="E20" s="170"/>
      <c r="F20" s="170"/>
      <c r="G20" s="170"/>
      <c r="H20" s="170"/>
      <c r="I20" s="170"/>
    </row>
    <row r="21" spans="1:9" ht="15" customHeight="1" x14ac:dyDescent="0.25">
      <c r="A21" s="170" t="s">
        <v>111</v>
      </c>
      <c r="B21" s="170"/>
      <c r="C21" s="168"/>
      <c r="D21" s="170" t="s">
        <v>112</v>
      </c>
      <c r="E21" s="170"/>
      <c r="F21" s="170"/>
      <c r="G21" s="170"/>
      <c r="H21" s="170"/>
      <c r="I21" s="170"/>
    </row>
    <row r="22" spans="1:9" ht="15" customHeight="1" x14ac:dyDescent="0.25">
      <c r="A22" s="170" t="s">
        <v>113</v>
      </c>
      <c r="B22" s="170"/>
      <c r="C22" s="8"/>
      <c r="D22" s="170" t="s">
        <v>114</v>
      </c>
      <c r="E22" s="170"/>
      <c r="F22" s="170"/>
      <c r="G22" s="170"/>
      <c r="H22" s="170"/>
      <c r="I22" s="170"/>
    </row>
    <row r="23" spans="1:9" ht="15" customHeight="1" x14ac:dyDescent="0.25">
      <c r="A23" s="170" t="s">
        <v>115</v>
      </c>
      <c r="B23" s="170"/>
      <c r="C23" s="8"/>
      <c r="D23" s="170" t="s">
        <v>116</v>
      </c>
      <c r="E23" s="170"/>
      <c r="F23" s="170"/>
      <c r="G23" s="170"/>
      <c r="H23" s="170"/>
      <c r="I23" s="170"/>
    </row>
    <row r="24" spans="1:9" ht="15" customHeight="1" x14ac:dyDescent="0.25">
      <c r="A24" s="8"/>
      <c r="B24" s="8"/>
      <c r="C24" s="8"/>
      <c r="D24" s="8"/>
      <c r="E24" s="8"/>
      <c r="F24" s="8"/>
      <c r="G24" s="8"/>
      <c r="H24" s="8"/>
      <c r="I24" s="8"/>
    </row>
    <row r="27" spans="1:9" s="8" customFormat="1" ht="81.75" customHeight="1" x14ac:dyDescent="0.25"/>
    <row r="33" spans="1:3" ht="15.75" customHeight="1" x14ac:dyDescent="0.25">
      <c r="C33" s="16"/>
    </row>
    <row r="34" spans="1:3" ht="15.75" customHeight="1" x14ac:dyDescent="0.25">
      <c r="A34" s="1" t="s">
        <v>19</v>
      </c>
      <c r="B34" s="1" t="s">
        <v>28</v>
      </c>
      <c r="C34" s="16"/>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1">
    <mergeCell ref="A22:B22"/>
    <mergeCell ref="A23:B23"/>
    <mergeCell ref="D23:I23"/>
    <mergeCell ref="D22:I22"/>
    <mergeCell ref="D20:I20"/>
    <mergeCell ref="B1:H1"/>
    <mergeCell ref="A21:B21"/>
    <mergeCell ref="A20:B20"/>
    <mergeCell ref="C4:F4"/>
    <mergeCell ref="D21:I21"/>
    <mergeCell ref="D19:I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6" width="0" style="1" hidden="1" customWidth="1"/>
  </cols>
  <sheetData>
    <row r="1" spans="2:21" ht="27.75" customHeight="1" x14ac:dyDescent="0.25">
      <c r="B1" s="15" t="s">
        <v>29</v>
      </c>
      <c r="D1" s="19" t="s">
        <v>30</v>
      </c>
      <c r="E1" s="13"/>
      <c r="F1" s="212" t="str">
        <f>'Data Entry'!J5</f>
        <v>All Minorities</v>
      </c>
      <c r="G1" s="212"/>
      <c r="H1" s="212"/>
      <c r="I1" s="212"/>
      <c r="J1" s="212"/>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Kalamazoo</v>
      </c>
      <c r="C3" s="21"/>
      <c r="D3" s="21"/>
      <c r="E3" s="21"/>
      <c r="F3" s="21"/>
      <c r="G3" s="7"/>
      <c r="H3" s="7"/>
      <c r="I3" s="7"/>
      <c r="J3" s="7"/>
      <c r="K3" s="7"/>
      <c r="N3" s="211" t="s">
        <v>31</v>
      </c>
      <c r="O3" s="211"/>
      <c r="P3" s="211"/>
      <c r="Q3" s="211"/>
      <c r="R3" s="211"/>
      <c r="S3" s="211"/>
      <c r="T3" s="211"/>
      <c r="U3" s="211"/>
    </row>
    <row r="4" spans="2:21" ht="8.2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Entry'!J6</f>
        <v>6118</v>
      </c>
      <c r="F6" s="33"/>
      <c r="G6" s="34"/>
      <c r="H6" s="35"/>
      <c r="I6" s="36"/>
      <c r="J6" s="37"/>
      <c r="K6" s="36"/>
      <c r="L6" s="1">
        <f>IF( ('Data Entry'!J6&gt;('Data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Entry'!J7</f>
        <v>304</v>
      </c>
      <c r="F7" s="33">
        <f>IF((AND($E$7&gt;0,$D$66&gt;0)),($E$7/$D$66),0)</f>
        <v>49.689440993788814</v>
      </c>
      <c r="G7" s="38">
        <f t="shared" ref="G7:G15" si="0">IF(L$6=100,"*",IF(M7=FALSE,"--",IF(K7=20,"**",($F7/$D7))))</f>
        <v>3.4481912936848556</v>
      </c>
      <c r="H7" s="39"/>
      <c r="I7" s="40"/>
      <c r="J7" s="39">
        <f>IF((ABS($U7)&gt;Defaults!D$7),1,2)</f>
        <v>1</v>
      </c>
      <c r="K7" s="38">
        <f>IF((AND(N7&gt;Defaults!B$12,(N7+O7)&gt;Defaults!B$13, P7 &gt; Defaults!B$12, (P7+Q7) &gt; Defaults!B$13)),1,20)</f>
        <v>1</v>
      </c>
      <c r="L7" s="1">
        <f t="shared" ref="L7:L15" si="1">(J7*K7+L$6)-1</f>
        <v>1</v>
      </c>
      <c r="M7" s="1" t="b">
        <f t="shared" ref="M7:M15" si="2">(ISNUMBER(J7))</f>
        <v>1</v>
      </c>
      <c r="N7" s="41">
        <f t="shared" ref="N7:N15" si="3">E7</f>
        <v>304</v>
      </c>
      <c r="O7" s="41">
        <f>E6-E7</f>
        <v>5814</v>
      </c>
      <c r="P7" s="41">
        <f t="shared" ref="P7:P15" si="4">C7</f>
        <v>233</v>
      </c>
      <c r="Q7" s="41">
        <f>C6-C7</f>
        <v>15936</v>
      </c>
      <c r="R7" s="41">
        <f t="shared" ref="R7:R15" si="5">SUM(N7:Q7)</f>
        <v>22287</v>
      </c>
      <c r="S7" s="29">
        <f t="shared" ref="S7:S15" si="6">R7*((((N7*Q7)-(O7*P7))^2))</f>
        <v>2.7143953254564419E+17</v>
      </c>
      <c r="T7" s="29">
        <f t="shared" ref="T7:T15" si="7">(N7+O7)*(P7+Q7)*(N7+P7)*(O7+Q7)</f>
        <v>1155383552074500</v>
      </c>
      <c r="U7" s="30">
        <f t="shared" ref="U7:U15" si="8">IF((S7&gt;0),S7/T7,"- -")</f>
        <v>234.93456528636958</v>
      </c>
    </row>
    <row r="8" spans="2:21" ht="18" customHeight="1" x14ac:dyDescent="0.25">
      <c r="B8" s="31" t="str">
        <f>'Data Entry'!A8</f>
        <v>3. Refer to Juvenile Court</v>
      </c>
      <c r="C8" s="32">
        <f>'Data Entry'!C8</f>
        <v>630</v>
      </c>
      <c r="D8" s="33">
        <f>IF((AND(C67&gt;0,C8&gt;0)),(C8/C67),0)</f>
        <v>270.38626609442059</v>
      </c>
      <c r="E8" s="32">
        <f>'Data Entry'!J8</f>
        <v>980</v>
      </c>
      <c r="F8" s="33">
        <f>IF((AND($E$8&gt;0,$D$67&gt;0)),($E8/$D67),0)</f>
        <v>322.36842105263156</v>
      </c>
      <c r="G8" s="38">
        <f t="shared" si="0"/>
        <v>1.192251461988304</v>
      </c>
      <c r="H8" s="39"/>
      <c r="I8" s="40"/>
      <c r="J8" s="39">
        <f>IF((ABS($U8)&gt;Defaults!D$7),1,2)</f>
        <v>1</v>
      </c>
      <c r="K8" s="38">
        <f>IF((AND(N8&gt;Defaults!B$12,(N8+O8)&gt;Defaults!B$13, P8 &gt; Defaults!B$12, (P8+Q8) &gt; Defaults!B$13)),1,20)</f>
        <v>1</v>
      </c>
      <c r="L8" s="1">
        <f t="shared" si="1"/>
        <v>1</v>
      </c>
      <c r="M8" s="1" t="b">
        <f t="shared" si="2"/>
        <v>1</v>
      </c>
      <c r="N8" s="41">
        <f t="shared" si="3"/>
        <v>980</v>
      </c>
      <c r="O8" s="41">
        <f>((D67*L67)-E8)+0.05</f>
        <v>-675.95</v>
      </c>
      <c r="P8" s="41">
        <f t="shared" si="4"/>
        <v>630</v>
      </c>
      <c r="Q8" s="41">
        <f>(C$67*L67)-C8</f>
        <v>-397</v>
      </c>
      <c r="R8" s="41">
        <f t="shared" si="5"/>
        <v>537.04999999999995</v>
      </c>
      <c r="S8" s="29">
        <f t="shared" si="6"/>
        <v>726840103904.86243</v>
      </c>
      <c r="T8" s="29">
        <f t="shared" si="7"/>
        <v>-122378827770.67499</v>
      </c>
      <c r="U8" s="30">
        <f t="shared" si="8"/>
        <v>-5.9392634914503679</v>
      </c>
    </row>
    <row r="9" spans="2:21" ht="18" customHeight="1" x14ac:dyDescent="0.25">
      <c r="B9" s="31" t="str">
        <f>'Data Entry'!A9</f>
        <v xml:space="preserve">4. Cases Diverted </v>
      </c>
      <c r="C9" s="32">
        <f>'Data Entry'!C9</f>
        <v>401</v>
      </c>
      <c r="D9" s="33">
        <f>IF((AND(C68&gt;0,C9&gt;0)),((C9/C68)),0)</f>
        <v>63.650793650793652</v>
      </c>
      <c r="E9" s="32">
        <f>'Data Entry'!J9</f>
        <v>550</v>
      </c>
      <c r="F9" s="33">
        <f>IF((AND($E$9&gt;0,$D$68&gt;0)),(($E$9/$D$68)),0)</f>
        <v>56.12244897959183</v>
      </c>
      <c r="G9" s="38">
        <f t="shared" si="0"/>
        <v>0.88172426077662969</v>
      </c>
      <c r="H9" s="39"/>
      <c r="I9" s="40"/>
      <c r="J9" s="39">
        <f>IF((ABS($U9)&gt;Defaults!D$7),1,2)</f>
        <v>1</v>
      </c>
      <c r="K9" s="38">
        <f>IF((AND(N9&gt;Defaults!B$12,(N9+O9)&gt;Defaults!B$13, P9 &gt; Defaults!B$12, (P9+Q9) &gt; Defaults!B$13)),1,20)</f>
        <v>1</v>
      </c>
      <c r="L9" s="1">
        <f t="shared" si="1"/>
        <v>1</v>
      </c>
      <c r="M9" s="1" t="b">
        <f t="shared" si="2"/>
        <v>1</v>
      </c>
      <c r="N9" s="41">
        <f t="shared" si="3"/>
        <v>550</v>
      </c>
      <c r="O9" s="41">
        <f>(D$68*L68)-E9</f>
        <v>430.00000000000011</v>
      </c>
      <c r="P9" s="41">
        <f t="shared" si="4"/>
        <v>401</v>
      </c>
      <c r="Q9" s="41">
        <f>(C$68*L68)-C9</f>
        <v>229</v>
      </c>
      <c r="R9" s="41">
        <f t="shared" si="5"/>
        <v>1610</v>
      </c>
      <c r="S9" s="29">
        <f t="shared" si="6"/>
        <v>3478228544000.0083</v>
      </c>
      <c r="T9" s="29">
        <f t="shared" si="7"/>
        <v>386930136600.00012</v>
      </c>
      <c r="U9" s="30">
        <f t="shared" si="8"/>
        <v>8.9892934537578402</v>
      </c>
    </row>
    <row r="10" spans="2:21" ht="18" customHeight="1" x14ac:dyDescent="0.25">
      <c r="B10" s="31" t="str">
        <f>'Data Entry'!A10</f>
        <v>5. Cases Involving Secure Detention</v>
      </c>
      <c r="C10" s="32">
        <f>'Data Entry'!C10</f>
        <v>158</v>
      </c>
      <c r="D10" s="33">
        <f>IF(((AND(C68&gt;0,C10&gt;0))),(C10/(C68)),0)</f>
        <v>25.079365079365079</v>
      </c>
      <c r="E10" s="32">
        <f>'Data Entry'!J10</f>
        <v>330</v>
      </c>
      <c r="F10" s="33">
        <f>IF(((AND($E$10&gt;0,$D$68&gt;0))),($E$10/($D$68)),0)</f>
        <v>33.673469387755098</v>
      </c>
      <c r="G10" s="38">
        <f t="shared" si="0"/>
        <v>1.3426763110307414</v>
      </c>
      <c r="H10" s="39"/>
      <c r="I10" s="40"/>
      <c r="J10" s="39">
        <f>IF((ABS($U10)&gt;Defaults!D$7),1,2)</f>
        <v>1</v>
      </c>
      <c r="K10" s="38">
        <f>IF((AND(N10&gt;Defaults!B$12,(N10+O10)&gt;Defaults!B$13, P10 &gt; Defaults!B$12, (P10+Q10) &gt; Defaults!B$13)),1,20)</f>
        <v>1</v>
      </c>
      <c r="L10" s="1">
        <f t="shared" si="1"/>
        <v>1</v>
      </c>
      <c r="M10" s="1" t="b">
        <f t="shared" si="2"/>
        <v>1</v>
      </c>
      <c r="N10" s="41">
        <f t="shared" si="3"/>
        <v>330</v>
      </c>
      <c r="O10" s="41">
        <f>(D$68*L68)-E10</f>
        <v>650.00000000000011</v>
      </c>
      <c r="P10" s="41">
        <f t="shared" si="4"/>
        <v>158</v>
      </c>
      <c r="Q10" s="41">
        <f>(C$68*L68)-C10</f>
        <v>472</v>
      </c>
      <c r="R10" s="41">
        <f t="shared" si="5"/>
        <v>1610</v>
      </c>
      <c r="S10" s="29">
        <f t="shared" si="6"/>
        <v>4532735395999.998</v>
      </c>
      <c r="T10" s="29">
        <f t="shared" si="7"/>
        <v>338048726400.00006</v>
      </c>
      <c r="U10" s="30">
        <f t="shared" si="8"/>
        <v>13.408526765566295</v>
      </c>
    </row>
    <row r="11" spans="2:21" ht="18" customHeight="1" x14ac:dyDescent="0.25">
      <c r="B11" s="31" t="str">
        <f>'Data Entry'!A11</f>
        <v>6. Cases Petitioned (Charge Filed)</v>
      </c>
      <c r="C11" s="32">
        <f>'Data Entry'!C11</f>
        <v>229</v>
      </c>
      <c r="D11" s="33">
        <f>IF(((AND(C68&gt;0,C11&gt;0))),(C11/(C68)),0)</f>
        <v>36.349206349206348</v>
      </c>
      <c r="E11" s="32">
        <f>'Data Entry'!J11</f>
        <v>430</v>
      </c>
      <c r="F11" s="33">
        <f>IF(((AND($E$11&gt;0,$D$68&gt;0))),($E$11/($D$68)),0)</f>
        <v>43.877551020408163</v>
      </c>
      <c r="G11" s="38">
        <f t="shared" si="0"/>
        <v>1.2071116656269496</v>
      </c>
      <c r="H11" s="39"/>
      <c r="I11" s="40"/>
      <c r="J11" s="39">
        <f>IF((ABS($U11)&gt;Defaults!D$7),1,2)</f>
        <v>1</v>
      </c>
      <c r="K11" s="38">
        <f>IF((AND(N11&gt;Defaults!B$12,(N11+O11)&gt;Defaults!B$13, P11 &gt; Defaults!B$12, (P11+Q11) &gt; Defaults!B$13)),1,20)</f>
        <v>1</v>
      </c>
      <c r="L11" s="1">
        <f t="shared" si="1"/>
        <v>1</v>
      </c>
      <c r="M11" s="1" t="b">
        <f t="shared" si="2"/>
        <v>1</v>
      </c>
      <c r="N11" s="41">
        <f t="shared" si="3"/>
        <v>430</v>
      </c>
      <c r="O11" s="41">
        <f>(D$68*L68)-E11</f>
        <v>550.00000000000011</v>
      </c>
      <c r="P11" s="41">
        <f t="shared" si="4"/>
        <v>229</v>
      </c>
      <c r="Q11" s="41">
        <f>(C$68*L68)-C11</f>
        <v>401</v>
      </c>
      <c r="R11" s="41">
        <f t="shared" si="5"/>
        <v>1610</v>
      </c>
      <c r="S11" s="29">
        <f t="shared" si="6"/>
        <v>3478228543999.9956</v>
      </c>
      <c r="T11" s="29">
        <f t="shared" si="7"/>
        <v>386930136600.00012</v>
      </c>
      <c r="U11" s="30">
        <f t="shared" si="8"/>
        <v>8.9892934537578082</v>
      </c>
    </row>
    <row r="12" spans="2:21" ht="18" customHeight="1" x14ac:dyDescent="0.25">
      <c r="B12" s="31" t="str">
        <f>'Data Entry'!A12</f>
        <v>7. Cases Resulting in Delinquent Findings</v>
      </c>
      <c r="C12" s="32">
        <f>'Data Entry'!C12</f>
        <v>105</v>
      </c>
      <c r="D12" s="33">
        <f>IF(((AND(C69&gt;0,C12&gt;0))),(C12/(C69)),0)</f>
        <v>45.851528384279476</v>
      </c>
      <c r="E12" s="32">
        <f>'Data Entry'!J12</f>
        <v>185</v>
      </c>
      <c r="F12" s="33">
        <f>IF(((AND($D$69&gt;0,$E$12&gt;0))),(E12/(D69)),0)</f>
        <v>43.02325581395349</v>
      </c>
      <c r="G12" s="38">
        <f t="shared" si="0"/>
        <v>0.93831672203765226</v>
      </c>
      <c r="H12" s="39"/>
      <c r="I12" s="40"/>
      <c r="J12" s="39">
        <f>IF((ABS($U12)&gt;Defaults!D$7),1,2)</f>
        <v>2</v>
      </c>
      <c r="K12" s="38">
        <f>IF((AND(N12&gt;Defaults!B$12,(N12+O12)&gt;Defaults!B$13, P12 &gt; Defaults!B$12, (P12+Q12) &gt; Defaults!B$13)),1,20)</f>
        <v>1</v>
      </c>
      <c r="L12" s="1">
        <f t="shared" si="1"/>
        <v>2</v>
      </c>
      <c r="M12" s="1" t="b">
        <f t="shared" si="2"/>
        <v>1</v>
      </c>
      <c r="N12" s="41">
        <f t="shared" si="3"/>
        <v>185</v>
      </c>
      <c r="O12" s="41">
        <f>(D69*L69)-E12</f>
        <v>245</v>
      </c>
      <c r="P12" s="41">
        <f t="shared" si="4"/>
        <v>105</v>
      </c>
      <c r="Q12" s="41">
        <f>(C69*L69)-C12</f>
        <v>124</v>
      </c>
      <c r="R12" s="41">
        <f t="shared" si="5"/>
        <v>659</v>
      </c>
      <c r="S12" s="29">
        <f t="shared" si="6"/>
        <v>5111352275</v>
      </c>
      <c r="T12" s="29">
        <f t="shared" si="7"/>
        <v>10537274700</v>
      </c>
      <c r="U12" s="30">
        <f t="shared" si="8"/>
        <v>0.48507345784579387</v>
      </c>
    </row>
    <row r="13" spans="2:21" ht="18" customHeight="1" x14ac:dyDescent="0.25">
      <c r="B13" s="31" t="str">
        <f>'Data Entry'!A13</f>
        <v>8. Cases Resulting in Probation Placement</v>
      </c>
      <c r="C13" s="32">
        <f>'Data Entry'!C13</f>
        <v>92</v>
      </c>
      <c r="D13" s="33">
        <f>IF(((AND(C70&gt;0,C13&gt;0))),(C13/(C70)),0)</f>
        <v>87.61904761904762</v>
      </c>
      <c r="E13" s="32">
        <f>'Data Entry'!J13</f>
        <v>151</v>
      </c>
      <c r="F13" s="33">
        <f>IF(((AND($D$70&gt;0,$E$13&gt;0))),($E$13/($D$70)),0)</f>
        <v>81.621621621621614</v>
      </c>
      <c r="G13" s="38">
        <f t="shared" si="0"/>
        <v>0.93155111633372489</v>
      </c>
      <c r="H13" s="39"/>
      <c r="I13" s="40"/>
      <c r="J13" s="39">
        <f>IF((ABS($U13)&gt;Defaults!D$7),1,2)</f>
        <v>2</v>
      </c>
      <c r="K13" s="38">
        <f>IF((AND(N13&gt;Defaults!B$12,(N13+O13)&gt;Defaults!B$13, P13 &gt; Defaults!B$12, (P13+Q13) &gt; Defaults!B$13)),1,20)</f>
        <v>1</v>
      </c>
      <c r="L13" s="1">
        <f t="shared" si="1"/>
        <v>2</v>
      </c>
      <c r="M13" s="1" t="b">
        <f t="shared" si="2"/>
        <v>1</v>
      </c>
      <c r="N13" s="41">
        <f t="shared" si="3"/>
        <v>151</v>
      </c>
      <c r="O13" s="41">
        <f>(D70*L70)-E13</f>
        <v>34</v>
      </c>
      <c r="P13" s="41">
        <f t="shared" si="4"/>
        <v>92</v>
      </c>
      <c r="Q13" s="41">
        <f>(C70*L70)-C13</f>
        <v>13</v>
      </c>
      <c r="R13" s="41">
        <f t="shared" si="5"/>
        <v>290</v>
      </c>
      <c r="S13" s="29">
        <f t="shared" si="6"/>
        <v>393595250</v>
      </c>
      <c r="T13" s="29">
        <f t="shared" si="7"/>
        <v>221852925</v>
      </c>
      <c r="U13" s="30">
        <f t="shared" si="8"/>
        <v>1.7741269356714588</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Entry'!J14</f>
        <v>19</v>
      </c>
      <c r="F14" s="33">
        <f>IF(((AND($D$70&gt;0,$E$14&gt;0))), (($E$14/($D$70))),0)</f>
        <v>10.27027027027027</v>
      </c>
      <c r="G14" s="38">
        <f t="shared" si="0"/>
        <v>1.0783783783783785</v>
      </c>
      <c r="H14" s="39"/>
      <c r="I14" s="40"/>
      <c r="J14" s="39">
        <f>IF((ABS($U14)&gt;Defaults!D$7),1,2)</f>
        <v>2</v>
      </c>
      <c r="K14" s="38">
        <f>IF((AND(N14&gt;Defaults!B$12,(N14+O14)&gt;Defaults!B$13, P14 &gt; Defaults!B$12, (P14+Q14) &gt; Defaults!B$13)),1,20)</f>
        <v>1</v>
      </c>
      <c r="L14" s="1">
        <f t="shared" si="1"/>
        <v>2</v>
      </c>
      <c r="M14" s="1" t="b">
        <f t="shared" si="2"/>
        <v>1</v>
      </c>
      <c r="N14" s="41">
        <f t="shared" si="3"/>
        <v>19</v>
      </c>
      <c r="O14" s="41">
        <f>(D70*L70)-E14</f>
        <v>166</v>
      </c>
      <c r="P14" s="41">
        <f t="shared" si="4"/>
        <v>10</v>
      </c>
      <c r="Q14" s="41">
        <f>(C70*L70)-C14</f>
        <v>95</v>
      </c>
      <c r="R14" s="41">
        <f t="shared" si="5"/>
        <v>290</v>
      </c>
      <c r="S14" s="29">
        <f t="shared" si="6"/>
        <v>6097250</v>
      </c>
      <c r="T14" s="29">
        <f t="shared" si="7"/>
        <v>147027825</v>
      </c>
      <c r="U14" s="30">
        <f t="shared" si="8"/>
        <v>4.147004147004147E-2</v>
      </c>
    </row>
    <row r="15" spans="2:21" ht="15.75" customHeight="1" x14ac:dyDescent="0.25">
      <c r="B15" s="31" t="str">
        <f>'Data Entry'!A15</f>
        <v xml:space="preserve">10. Cases Transferred to Adult Court </v>
      </c>
      <c r="C15" s="32">
        <f>'Data Entry'!C15</f>
        <v>0</v>
      </c>
      <c r="D15" s="33">
        <f>IF(((AND(C69&gt;0,C15&gt;0))),((C15/(C69))),0)</f>
        <v>0</v>
      </c>
      <c r="E15" s="32">
        <f>'Data Entry'!J15</f>
        <v>1</v>
      </c>
      <c r="F15" s="33">
        <f>IF(((AND($D$69&gt;0,$E$15&gt;0))),(($E$15/($D$69))),0)</f>
        <v>0.23255813953488372</v>
      </c>
      <c r="G15" s="38" t="str">
        <f t="shared" si="0"/>
        <v>**</v>
      </c>
      <c r="H15" s="39"/>
      <c r="I15" s="40"/>
      <c r="J15" s="39">
        <f>IF((ABS($U15)&gt;Defaults!D$7),1,2)</f>
        <v>2</v>
      </c>
      <c r="K15" s="38">
        <f>IF((AND(N15&gt;Defaults!B$12,(N15+O15)&gt;Defaults!B$13, P15 &gt; Defaults!B$12, (P15+Q15) &gt; Defaults!B$13)),1,20)</f>
        <v>20</v>
      </c>
      <c r="L15" s="1">
        <f t="shared" si="1"/>
        <v>40</v>
      </c>
      <c r="M15" s="1" t="b">
        <f t="shared" si="2"/>
        <v>1</v>
      </c>
      <c r="N15" s="41">
        <f t="shared" si="3"/>
        <v>1</v>
      </c>
      <c r="O15" s="41">
        <f>(D69*L69)-E15</f>
        <v>429</v>
      </c>
      <c r="P15" s="41">
        <f t="shared" si="4"/>
        <v>0</v>
      </c>
      <c r="Q15" s="41">
        <f>(C69*L69)-C15</f>
        <v>229</v>
      </c>
      <c r="R15" s="41">
        <f t="shared" si="5"/>
        <v>659</v>
      </c>
      <c r="S15" s="29">
        <f t="shared" si="6"/>
        <v>34558619</v>
      </c>
      <c r="T15" s="29">
        <f t="shared" si="7"/>
        <v>64793260</v>
      </c>
      <c r="U15" s="30">
        <f t="shared" si="8"/>
        <v>0.53336749840955677</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1</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6.1180000000000003</v>
      </c>
      <c r="E42" s="55">
        <f>MAX(C42:D42)</f>
        <v>16.169</v>
      </c>
      <c r="G42" s="1" t="str">
        <f>B42</f>
        <v>per 1000 youth</v>
      </c>
      <c r="L42" s="56">
        <v>1000</v>
      </c>
      <c r="M42" s="56"/>
      <c r="R42" s="48"/>
    </row>
    <row r="43" spans="2:18" ht="15" hidden="1" customHeight="1" x14ac:dyDescent="0.25">
      <c r="B43" s="48" t="s">
        <v>88</v>
      </c>
      <c r="C43" s="55">
        <f>C7/100</f>
        <v>2.33</v>
      </c>
      <c r="D43" s="55">
        <f>E7/100</f>
        <v>3.04</v>
      </c>
      <c r="E43" s="55">
        <f>MAX(C43:D43,0)</f>
        <v>3.04</v>
      </c>
      <c r="G43" s="1" t="str">
        <f>B43</f>
        <v>per 100 arrests</v>
      </c>
      <c r="L43" s="56">
        <v>100</v>
      </c>
      <c r="M43" s="56"/>
      <c r="R43" s="48"/>
    </row>
    <row r="44" spans="2:18" ht="15" hidden="1" customHeight="1" x14ac:dyDescent="0.25">
      <c r="B44" s="48" t="s">
        <v>89</v>
      </c>
      <c r="C44" s="55">
        <f>C8/100</f>
        <v>6.3</v>
      </c>
      <c r="D44" s="55">
        <f>E8/100</f>
        <v>9.8000000000000007</v>
      </c>
      <c r="E44" s="55">
        <f>MAX(C44:D44,0)</f>
        <v>9.8000000000000007</v>
      </c>
      <c r="G44" s="1" t="str">
        <f>B44</f>
        <v>per 100 referrals</v>
      </c>
      <c r="L44" s="56">
        <v>100</v>
      </c>
      <c r="M44" s="56"/>
      <c r="R44" s="48"/>
    </row>
    <row r="45" spans="2:18" ht="15" hidden="1" customHeight="1" x14ac:dyDescent="0.25">
      <c r="B45" s="48" t="s">
        <v>90</v>
      </c>
      <c r="C45" s="48">
        <f>C11/100</f>
        <v>2.29</v>
      </c>
      <c r="D45" s="48">
        <f>E11/100</f>
        <v>4.3</v>
      </c>
      <c r="E45" s="55">
        <f>MAX(C45:D45,0)</f>
        <v>4.3</v>
      </c>
      <c r="G45" s="1" t="str">
        <f>B45</f>
        <v>per 100 youth petitioned</v>
      </c>
      <c r="L45" s="56">
        <v>100</v>
      </c>
      <c r="M45" s="56"/>
      <c r="R45" s="48"/>
    </row>
    <row r="46" spans="2:18" ht="15" hidden="1" customHeight="1" x14ac:dyDescent="0.25">
      <c r="B46" s="48" t="s">
        <v>91</v>
      </c>
      <c r="C46" s="48">
        <f>C12/100</f>
        <v>1.05</v>
      </c>
      <c r="D46" s="48">
        <f>E12/100</f>
        <v>1.85</v>
      </c>
      <c r="E46" s="55">
        <f>MAX(C46:D46)</f>
        <v>1.85</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6.1180000000000003</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2.33</v>
      </c>
      <c r="D49" s="48">
        <f t="shared" si="9"/>
        <v>3.04</v>
      </c>
      <c r="E49" s="48">
        <f>MAX(C49:D49)</f>
        <v>3.04</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9.8000000000000007</v>
      </c>
      <c r="E50" s="48">
        <f>MAX(C50:D50)</f>
        <v>9.8000000000000007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4.3</v>
      </c>
      <c r="E51" s="48">
        <f>MAX(C51:D51)</f>
        <v>4.3</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1.85</v>
      </c>
      <c r="E52" s="55">
        <f>MAX(C52:D52)</f>
        <v>1.85</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6.1180000000000003</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3.04</v>
      </c>
      <c r="E55" s="48">
        <f>MAX(C55:D55)</f>
        <v>3.04</v>
      </c>
      <c r="G55" s="1" t="str">
        <f>G49</f>
        <v>per 100 arrests</v>
      </c>
      <c r="L55" s="57">
        <f>IF(($E49&gt;0),L49,L48)</f>
        <v>100</v>
      </c>
      <c r="M55" s="57"/>
    </row>
    <row r="56" spans="2:18" ht="15" hidden="1" customHeight="1" x14ac:dyDescent="0.25">
      <c r="B56" s="48" t="str">
        <f t="shared" si="10"/>
        <v>per 100 referrals</v>
      </c>
      <c r="C56" s="48">
        <f t="shared" si="10"/>
        <v>6.3</v>
      </c>
      <c r="D56" s="48">
        <f t="shared" si="10"/>
        <v>9.8000000000000007</v>
      </c>
      <c r="E56" s="48">
        <f>MAX(C56:D56)</f>
        <v>9.8000000000000007</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4.3</v>
      </c>
      <c r="E57" s="48">
        <f>MAX(C57:D57)</f>
        <v>4.3</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1.85</v>
      </c>
      <c r="E58" s="55">
        <f>MAX(C58:D58)</f>
        <v>1.85</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6.1180000000000003</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3.04</v>
      </c>
      <c r="E61" s="48">
        <f>MAX(C61:D61)</f>
        <v>3.04</v>
      </c>
      <c r="G61" s="1" t="str">
        <f>G55</f>
        <v>per 100 arrests</v>
      </c>
      <c r="L61" s="57">
        <f>IF(($E55&gt;0),L55,L54)</f>
        <v>100</v>
      </c>
      <c r="M61" s="57"/>
    </row>
    <row r="62" spans="2:18" ht="15" hidden="1" customHeight="1" x14ac:dyDescent="0.25">
      <c r="B62" s="48" t="str">
        <f t="shared" si="11"/>
        <v>per 100 referrals</v>
      </c>
      <c r="C62" s="48">
        <f t="shared" si="11"/>
        <v>6.3</v>
      </c>
      <c r="D62" s="48">
        <f t="shared" si="11"/>
        <v>9.8000000000000007</v>
      </c>
      <c r="E62" s="48">
        <f>MAX(C62:D62)</f>
        <v>9.8000000000000007</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4.3</v>
      </c>
      <c r="E63" s="48">
        <f>MAX(C63:D63)</f>
        <v>4.3</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1.85</v>
      </c>
      <c r="E64" s="55">
        <f>MAX(C64:D64)</f>
        <v>1.85</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6.1180000000000003</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3.04</v>
      </c>
      <c r="E67" s="48">
        <f>MAX(C67:D67)</f>
        <v>3.04</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9.8000000000000007</v>
      </c>
      <c r="E68" s="48">
        <f>MAX(C68:D68)</f>
        <v>9.8000000000000007</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4.3</v>
      </c>
      <c r="E69" s="48">
        <f>MAX(C69:D69)</f>
        <v>4.3</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1.85</v>
      </c>
      <c r="E70" s="55">
        <f>MAX(C70:D70)</f>
        <v>1.85</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5"/>
  <sheetViews>
    <sheetView topLeftCell="B1" zoomScale="130" zoomScaleNormal="130" workbookViewId="0">
      <selection activeCell="C6" sqref="C6:I6"/>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2" t="s">
        <v>96</v>
      </c>
      <c r="C2" s="63"/>
      <c r="D2" s="63"/>
      <c r="E2" s="63"/>
      <c r="F2" s="63"/>
      <c r="G2" s="63"/>
      <c r="H2" s="63"/>
      <c r="I2" s="64"/>
    </row>
    <row r="3" spans="2:18" ht="15" customHeight="1" x14ac:dyDescent="0.25">
      <c r="B3" s="65"/>
      <c r="E3" s="1" t="str">
        <f>'Data Entry'!C3</f>
        <v xml:space="preserve">Reporting Period:  </v>
      </c>
      <c r="I3" s="66"/>
    </row>
    <row r="4" spans="2:18" ht="15" customHeight="1" x14ac:dyDescent="0.25">
      <c r="B4" s="65" t="str">
        <f>'Data Entry'!A2</f>
        <v>State: Michigan</v>
      </c>
      <c r="E4" s="1" t="str">
        <f>'Data Entry'!C4</f>
        <v>1/1/12 through 12/31/12</v>
      </c>
      <c r="I4" s="66"/>
    </row>
    <row r="5" spans="2:18" ht="15" customHeight="1" x14ac:dyDescent="0.25">
      <c r="B5" s="65" t="str">
        <f>'Data Entry'!A3</f>
        <v>County: Kalamazoo</v>
      </c>
      <c r="E5" s="1"/>
      <c r="I5" s="66"/>
    </row>
    <row r="6" spans="2:18" s="8" customFormat="1" ht="75" customHeight="1" x14ac:dyDescent="0.25">
      <c r="B6" s="67"/>
      <c r="C6" s="219" t="str">
        <f>'Black or African-American'!$F$1</f>
        <v>Black or African American</v>
      </c>
      <c r="D6" s="219" t="str">
        <f>Hispanic!F1</f>
        <v>Hispanic or Latino</v>
      </c>
      <c r="E6" s="219" t="str">
        <f>Asian!F1</f>
        <v>Asian</v>
      </c>
      <c r="F6" s="219" t="str">
        <f>Hawaiian!F1</f>
        <v>Native Hawaiian or Other Pacific Islanders</v>
      </c>
      <c r="G6" s="219" t="str">
        <f>'Data Entry'!H5</f>
        <v>American Indian or Alaska Native</v>
      </c>
      <c r="H6" s="219" t="str">
        <f>'Data Entry'!I5</f>
        <v>Biracial or Other</v>
      </c>
      <c r="I6" s="220" t="str">
        <f>'Data Entry'!J5</f>
        <v>All Minorities</v>
      </c>
      <c r="L6" s="68"/>
      <c r="M6" s="68"/>
      <c r="N6" s="68"/>
      <c r="O6" s="68"/>
    </row>
    <row r="7" spans="2:18" ht="15" customHeight="1" x14ac:dyDescent="0.25">
      <c r="B7" s="69" t="s">
        <v>8</v>
      </c>
      <c r="C7" s="70">
        <f>'Black or African-American'!$G7</f>
        <v>5.1669562561068343</v>
      </c>
      <c r="D7" s="70">
        <f>Hispanic!G7</f>
        <v>0.3464792785291399</v>
      </c>
      <c r="E7" s="70" t="str">
        <f>Asian!G7</f>
        <v>**</v>
      </c>
      <c r="F7" s="70" t="str">
        <f>Hawaiian!G7</f>
        <v>*</v>
      </c>
      <c r="G7" s="70" t="str">
        <f>'Am Indian'!G7</f>
        <v>*</v>
      </c>
      <c r="H7" s="70" t="str">
        <f>'Other - Mixed'!G7</f>
        <v>*</v>
      </c>
      <c r="I7" s="71">
        <f>'All Minorities'!G7</f>
        <v>3.4481912936848556</v>
      </c>
      <c r="L7" s="1">
        <f>'Black or African-American'!L7</f>
        <v>1</v>
      </c>
      <c r="M7" s="1">
        <f>Hispanic!L7</f>
        <v>1</v>
      </c>
      <c r="N7" s="1">
        <f>Asian!L7</f>
        <v>20</v>
      </c>
      <c r="O7" s="1" t="e">
        <f>Hawaiian!L7</f>
        <v>#VALUE!</v>
      </c>
      <c r="P7" s="1">
        <f>'Am Indian'!L7</f>
        <v>139</v>
      </c>
      <c r="Q7" s="1" t="e">
        <f>'Other - Mixed'!L7</f>
        <v>#VALUE!</v>
      </c>
      <c r="R7" s="1">
        <f>'All Minorities'!L7</f>
        <v>1</v>
      </c>
    </row>
    <row r="8" spans="2:18" ht="15" customHeight="1" x14ac:dyDescent="0.25">
      <c r="B8" s="69" t="s">
        <v>9</v>
      </c>
      <c r="C8" s="70">
        <f>'Black or African-American'!$G8</f>
        <v>1.1032553134248051</v>
      </c>
      <c r="D8" s="70" t="str">
        <f>Hispanic!G8</f>
        <v>**</v>
      </c>
      <c r="E8" s="70" t="str">
        <f>Asian!G8</f>
        <v>**</v>
      </c>
      <c r="F8" s="70" t="str">
        <f>Hawaiian!G8</f>
        <v>*</v>
      </c>
      <c r="G8" s="70" t="str">
        <f>'Am Indian'!G8</f>
        <v>*</v>
      </c>
      <c r="H8" s="70" t="str">
        <f>'Other - Mixed'!G8</f>
        <v>*</v>
      </c>
      <c r="I8" s="71">
        <f>'All Minorities'!G8</f>
        <v>1.192251461988304</v>
      </c>
      <c r="L8" s="1">
        <f>'Black or African-American'!L8</f>
        <v>2</v>
      </c>
      <c r="M8" s="1">
        <f>Hispanic!L8</f>
        <v>20</v>
      </c>
      <c r="N8" s="1">
        <f>Asian!L8</f>
        <v>40</v>
      </c>
      <c r="O8" s="1">
        <f>Hawaiian!L8</f>
        <v>139</v>
      </c>
      <c r="P8" s="1">
        <f>'Am Indian'!L8</f>
        <v>119</v>
      </c>
      <c r="Q8" s="1">
        <f>'Other - Mixed'!L8</f>
        <v>119</v>
      </c>
      <c r="R8" s="1">
        <f>'All Minorities'!L8</f>
        <v>1</v>
      </c>
    </row>
    <row r="9" spans="2:18" ht="15" customHeight="1" x14ac:dyDescent="0.25">
      <c r="B9" s="69" t="s">
        <v>10</v>
      </c>
      <c r="C9" s="70">
        <f>'Black or African-American'!$G9</f>
        <v>0.88194287009748351</v>
      </c>
      <c r="D9" s="70" t="str">
        <f>Hispanic!G9</f>
        <v>--</v>
      </c>
      <c r="E9" s="70" t="str">
        <f>Asian!G9</f>
        <v>--</v>
      </c>
      <c r="F9" s="70" t="str">
        <f>Hawaiian!G9</f>
        <v>*</v>
      </c>
      <c r="G9" s="70" t="str">
        <f>'Am Indian'!G9</f>
        <v>*</v>
      </c>
      <c r="H9" s="70" t="str">
        <f>'Other - Mixed'!G9</f>
        <v>*</v>
      </c>
      <c r="I9" s="71">
        <f>'All Minorities'!G9</f>
        <v>0.88172426077662969</v>
      </c>
      <c r="L9" s="1">
        <f>'Black or African-American'!L9</f>
        <v>1</v>
      </c>
      <c r="M9" s="1" t="e">
        <f>Hispanic!L9</f>
        <v>#VALUE!</v>
      </c>
      <c r="N9" s="1" t="e">
        <f>Asian!L9</f>
        <v>#VALUE!</v>
      </c>
      <c r="O9" s="1" t="e">
        <f>Hawaiian!L9</f>
        <v>#VALUE!</v>
      </c>
      <c r="P9" s="1">
        <f>'Am Indian'!L9</f>
        <v>139</v>
      </c>
      <c r="Q9" s="1">
        <f>'Other - Mixed'!L9</f>
        <v>101</v>
      </c>
      <c r="R9" s="1">
        <f>'All Minorities'!L9</f>
        <v>1</v>
      </c>
    </row>
    <row r="10" spans="2:18" ht="15" customHeight="1" x14ac:dyDescent="0.25">
      <c r="B10" s="69" t="s">
        <v>11</v>
      </c>
      <c r="C10" s="70">
        <f>'Black or African-American'!$G10</f>
        <v>1.3457278481012658</v>
      </c>
      <c r="D10" s="70" t="str">
        <f>Hispanic!G10</f>
        <v>--</v>
      </c>
      <c r="E10" s="70" t="str">
        <f>Asian!G10</f>
        <v>--</v>
      </c>
      <c r="F10" s="70" t="str">
        <f>Hawaiian!G10</f>
        <v>*</v>
      </c>
      <c r="G10" s="70" t="str">
        <f>'Am Indian'!G10</f>
        <v>*</v>
      </c>
      <c r="H10" s="70" t="str">
        <f>'Other - Mixed'!G10</f>
        <v>*</v>
      </c>
      <c r="I10" s="71">
        <f>'All Minorities'!G10</f>
        <v>1.3426763110307414</v>
      </c>
      <c r="L10" s="1">
        <f>'Black or African-American'!L10</f>
        <v>1</v>
      </c>
      <c r="M10" s="1" t="e">
        <f>Hispanic!L10</f>
        <v>#VALUE!</v>
      </c>
      <c r="N10" s="1" t="e">
        <f>Asian!L10</f>
        <v>#VALUE!</v>
      </c>
      <c r="O10" s="1" t="e">
        <f>Hawaiian!L10</f>
        <v>#DIV/0!</v>
      </c>
      <c r="P10" s="1">
        <f>'Am Indian'!L10</f>
        <v>139</v>
      </c>
      <c r="Q10" s="1">
        <f>'Other - Mixed'!L10</f>
        <v>101</v>
      </c>
      <c r="R10" s="1">
        <f>'All Minorities'!L10</f>
        <v>1</v>
      </c>
    </row>
    <row r="11" spans="2:18" ht="15" customHeight="1" x14ac:dyDescent="0.25">
      <c r="B11" s="69" t="s">
        <v>97</v>
      </c>
      <c r="C11" s="70">
        <f>'Black or African-American'!$G11</f>
        <v>1.2067288606589917</v>
      </c>
      <c r="D11" s="70" t="str">
        <f>Hispanic!G11</f>
        <v>--</v>
      </c>
      <c r="E11" s="70" t="str">
        <f>Asian!G11</f>
        <v>--</v>
      </c>
      <c r="F11" s="70" t="str">
        <f>Hawaiian!G11</f>
        <v>*</v>
      </c>
      <c r="G11" s="70" t="str">
        <f>'Am Indian'!G11</f>
        <v>*</v>
      </c>
      <c r="H11" s="70" t="str">
        <f>'Other - Mixed'!G11</f>
        <v>*</v>
      </c>
      <c r="I11" s="71">
        <f>'All Minorities'!G11</f>
        <v>1.2071116656269496</v>
      </c>
      <c r="L11" s="1">
        <f>'Black or African-American'!L11</f>
        <v>1</v>
      </c>
      <c r="M11" s="1" t="e">
        <f>Hispanic!L11</f>
        <v>#VALUE!</v>
      </c>
      <c r="N11" s="1" t="e">
        <f>Asian!L11</f>
        <v>#VALUE!</v>
      </c>
      <c r="O11" s="1" t="e">
        <f>Hawaiian!L11</f>
        <v>#VALUE!</v>
      </c>
      <c r="P11" s="1">
        <f>'Am Indian'!L11</f>
        <v>139</v>
      </c>
      <c r="Q11" s="1">
        <f>'Other - Mixed'!L11</f>
        <v>101</v>
      </c>
      <c r="R11" s="1">
        <f>'All Minorities'!L11</f>
        <v>1</v>
      </c>
    </row>
    <row r="12" spans="2:18" ht="15" customHeight="1" x14ac:dyDescent="0.25">
      <c r="B12" s="69" t="s">
        <v>13</v>
      </c>
      <c r="C12" s="70">
        <f>'Black or African-American'!$G12</f>
        <v>0.96052306933135945</v>
      </c>
      <c r="D12" s="70" t="str">
        <f>Hispanic!G12</f>
        <v>--</v>
      </c>
      <c r="E12" s="70" t="str">
        <f>Asian!G12</f>
        <v>--</v>
      </c>
      <c r="F12" s="70" t="str">
        <f>Hawaiian!G12</f>
        <v>*</v>
      </c>
      <c r="G12" s="70" t="str">
        <f>'Am Indian'!G12</f>
        <v>*</v>
      </c>
      <c r="H12" s="70" t="str">
        <f>'Other - Mixed'!G12</f>
        <v>*</v>
      </c>
      <c r="I12" s="71">
        <f>'All Minorities'!G12</f>
        <v>0.93831672203765226</v>
      </c>
      <c r="L12" s="1">
        <f>'Black or African-American'!L12</f>
        <v>2</v>
      </c>
      <c r="M12" s="1" t="e">
        <f>Hispanic!L12</f>
        <v>#VALUE!</v>
      </c>
      <c r="N12" s="1" t="e">
        <f>Asian!L12</f>
        <v>#VALUE!</v>
      </c>
      <c r="O12" s="1" t="e">
        <f>Hawaiian!L12</f>
        <v>#VALUE!</v>
      </c>
      <c r="P12" s="1">
        <f>'Am Indian'!L12</f>
        <v>139</v>
      </c>
      <c r="Q12" s="1">
        <f>'Other - Mixed'!L12</f>
        <v>101</v>
      </c>
      <c r="R12" s="1">
        <f>'All Minorities'!L12</f>
        <v>2</v>
      </c>
    </row>
    <row r="13" spans="2:18" ht="15" customHeight="1" x14ac:dyDescent="0.25">
      <c r="B13" s="69" t="s">
        <v>14</v>
      </c>
      <c r="C13" s="70">
        <f>'Black or African-American'!$G13</f>
        <v>0.78548593350383633</v>
      </c>
      <c r="D13" s="70" t="str">
        <f>Hispanic!G13</f>
        <v>--</v>
      </c>
      <c r="E13" s="70" t="str">
        <f>Asian!G13</f>
        <v>--</v>
      </c>
      <c r="F13" s="70" t="str">
        <f>Hawaiian!G13</f>
        <v>*</v>
      </c>
      <c r="G13" s="70" t="str">
        <f>'Am Indian'!G13</f>
        <v>*</v>
      </c>
      <c r="H13" s="70" t="str">
        <f>'Other - Mixed'!G13</f>
        <v>*</v>
      </c>
      <c r="I13" s="71">
        <f>'All Minorities'!G13</f>
        <v>0.93155111633372489</v>
      </c>
      <c r="L13" s="1">
        <f>'Black or African-American'!L13</f>
        <v>1</v>
      </c>
      <c r="M13" s="1" t="e">
        <f>Hispanic!L13</f>
        <v>#VALUE!</v>
      </c>
      <c r="N13" s="1" t="e">
        <f>Asian!L13</f>
        <v>#VALUE!</v>
      </c>
      <c r="O13" s="1" t="e">
        <f>Hawaiian!L13</f>
        <v>#VALUE!</v>
      </c>
      <c r="P13" s="1" t="e">
        <f>'Am Indian'!L13</f>
        <v>#VALUE!</v>
      </c>
      <c r="Q13" s="1">
        <f>'Other - Mixed'!L13</f>
        <v>119</v>
      </c>
      <c r="R13" s="1">
        <f>'All Minorities'!L13</f>
        <v>2</v>
      </c>
    </row>
    <row r="14" spans="2:18" ht="25.5" customHeight="1" x14ac:dyDescent="0.25">
      <c r="B14" s="69" t="s">
        <v>15</v>
      </c>
      <c r="C14" s="70">
        <f>'Black or African-American'!$G14</f>
        <v>1.05</v>
      </c>
      <c r="D14" s="70" t="str">
        <f>Hispanic!G14</f>
        <v>--</v>
      </c>
      <c r="E14" s="70" t="str">
        <f>Asian!G14</f>
        <v>--</v>
      </c>
      <c r="F14" s="70" t="str">
        <f>Hawaiian!G14</f>
        <v>*</v>
      </c>
      <c r="G14" s="70" t="str">
        <f>'Am Indian'!G14</f>
        <v>*</v>
      </c>
      <c r="H14" s="70" t="str">
        <f>'Other - Mixed'!G14</f>
        <v>*</v>
      </c>
      <c r="I14" s="71">
        <f>'All Minorities'!G14</f>
        <v>1.0783783783783785</v>
      </c>
      <c r="L14" s="1">
        <f>'Black or African-American'!L14</f>
        <v>2</v>
      </c>
      <c r="M14" s="1" t="e">
        <f>Hispanic!L14</f>
        <v>#VALUE!</v>
      </c>
      <c r="N14" s="1" t="e">
        <f>Asian!L14</f>
        <v>#VALUE!</v>
      </c>
      <c r="O14" s="1" t="e">
        <f>Hawaiian!L14</f>
        <v>#VALUE!</v>
      </c>
      <c r="P14" s="1" t="e">
        <f>'Am Indian'!L14</f>
        <v>#VALUE!</v>
      </c>
      <c r="Q14" s="1">
        <f>'Other - Mixed'!L14</f>
        <v>139</v>
      </c>
      <c r="R14" s="1">
        <f>'All Minorities'!L14</f>
        <v>2</v>
      </c>
    </row>
    <row r="15" spans="2:18" ht="15" customHeight="1" x14ac:dyDescent="0.25">
      <c r="B15" s="69" t="s">
        <v>16</v>
      </c>
      <c r="C15" s="70" t="str">
        <f>'Black or African-American'!$G15</f>
        <v>**</v>
      </c>
      <c r="D15" s="70" t="str">
        <f>Hispanic!G15</f>
        <v>--</v>
      </c>
      <c r="E15" s="70" t="str">
        <f>Asian!G15</f>
        <v>--</v>
      </c>
      <c r="F15" s="70" t="str">
        <f>Hawaiian!G15</f>
        <v>*</v>
      </c>
      <c r="G15" s="70" t="str">
        <f>'Am Indian'!G15</f>
        <v>*</v>
      </c>
      <c r="H15" s="70" t="str">
        <f>'Other - Mixed'!G15</f>
        <v>*</v>
      </c>
      <c r="I15" s="71"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x14ac:dyDescent="0.25">
      <c r="B16" s="72" t="s">
        <v>98</v>
      </c>
      <c r="C16" s="73" t="str">
        <f>'Data Entry'!$D$16</f>
        <v>Yes</v>
      </c>
      <c r="D16" s="73" t="str">
        <f>'Data Entry'!$E$16</f>
        <v>Yes</v>
      </c>
      <c r="E16" s="73" t="str">
        <f>'Data Entry'!F16</f>
        <v>Yes</v>
      </c>
      <c r="F16" s="73" t="str">
        <f>'Data Entry'!G16</f>
        <v>No</v>
      </c>
      <c r="G16" s="73" t="str">
        <f>'Data Entry'!H16</f>
        <v>No</v>
      </c>
      <c r="H16" s="73" t="str">
        <f>'Data Entry'!I16</f>
        <v>No</v>
      </c>
      <c r="I16" s="66"/>
    </row>
    <row r="17" spans="2:9" ht="15" customHeight="1" x14ac:dyDescent="0.25">
      <c r="B17" s="65"/>
      <c r="E17" s="1"/>
      <c r="I17" s="66"/>
    </row>
    <row r="18" spans="2:9" ht="15.75" customHeight="1" x14ac:dyDescent="0.25">
      <c r="B18" s="74" t="str">
        <f>'Black or African-American'!B16</f>
        <v>release 10/17/05</v>
      </c>
      <c r="C18" s="75"/>
      <c r="D18" s="75"/>
      <c r="E18" s="75"/>
      <c r="F18" s="75"/>
      <c r="G18" s="75"/>
      <c r="H18" s="75"/>
      <c r="I18" s="76"/>
    </row>
    <row r="20" spans="2:9" ht="15" customHeight="1" x14ac:dyDescent="0.25">
      <c r="B20" s="1" t="s">
        <v>52</v>
      </c>
    </row>
    <row r="21" spans="2:9" ht="15" customHeight="1" x14ac:dyDescent="0.25">
      <c r="B21" s="1" t="s">
        <v>53</v>
      </c>
      <c r="D21" s="44" t="s">
        <v>54</v>
      </c>
    </row>
    <row r="22" spans="2:9" ht="15" customHeight="1" x14ac:dyDescent="0.25">
      <c r="B22" s="1" t="s">
        <v>55</v>
      </c>
      <c r="D22" s="1" t="s">
        <v>56</v>
      </c>
    </row>
    <row r="23" spans="2:9" ht="15" customHeight="1" x14ac:dyDescent="0.25">
      <c r="B23" s="1" t="s">
        <v>57</v>
      </c>
      <c r="D23" s="1" t="s">
        <v>58</v>
      </c>
    </row>
    <row r="24" spans="2:9" ht="15" customHeight="1" x14ac:dyDescent="0.25">
      <c r="B24" s="1" t="s">
        <v>59</v>
      </c>
      <c r="D24" s="1" t="s">
        <v>60</v>
      </c>
    </row>
    <row r="25" spans="2:9" ht="15" customHeight="1" x14ac:dyDescent="0.25">
      <c r="B25" s="1" t="s">
        <v>61</v>
      </c>
      <c r="D25" s="1" t="s">
        <v>62</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showRowColHeaders="0" showZeros="0" topLeftCell="A13" zoomScale="120" zoomScaleNormal="120" workbookViewId="0">
      <selection activeCell="C18" sqref="C18:J18"/>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99</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5" t="str">
        <f>'Data Entry'!A6</f>
        <v xml:space="preserve">1. Population at risk (age 10 through 16) </v>
      </c>
      <c r="C3" s="56">
        <f>'Data Entry'!B6</f>
        <v>22287</v>
      </c>
      <c r="D3" s="56">
        <f>'Data Entry'!C6</f>
        <v>16169</v>
      </c>
      <c r="E3" s="56">
        <f>'Data Entry'!D6</f>
        <v>3962</v>
      </c>
      <c r="F3" s="56">
        <f>'Data Entry'!E6</f>
        <v>1402</v>
      </c>
      <c r="G3" s="56">
        <f>'Data Entry'!F6</f>
        <v>615</v>
      </c>
      <c r="H3" s="56">
        <f>'Data Entry'!G6</f>
        <v>0</v>
      </c>
      <c r="I3" s="56">
        <f>'Data Entry'!H6</f>
        <v>139</v>
      </c>
      <c r="J3" s="56">
        <f>'Data Entry'!I6</f>
        <v>0</v>
      </c>
      <c r="K3" s="56">
        <f>'Data Entry'!J6</f>
        <v>6118</v>
      </c>
    </row>
    <row r="4" spans="2:11" ht="15" customHeight="1" x14ac:dyDescent="0.25">
      <c r="B4" s="15" t="s">
        <v>8</v>
      </c>
      <c r="C4" s="1">
        <f>IF((C$3&gt;0),(1000*('Data Entry'!B7/'Data Entry'!B$6)), 0)</f>
        <v>25.530578364068738</v>
      </c>
      <c r="D4" s="1">
        <f>IF((D$3&gt;0),(1000*('Data Entry'!C7/'Data Entry'!C$6)), 0)</f>
        <v>14.410291298163152</v>
      </c>
      <c r="E4" s="1">
        <f>IF((E$3&gt;0),(1000*('Data Entry'!D7/'Data Entry'!D$6)), 0)</f>
        <v>74.457344775365968</v>
      </c>
      <c r="F4" s="1">
        <f>IF((F$3&gt;0),(1000*('Data Entry'!E7/'Data Entry'!E$6)), 0)</f>
        <v>4.9928673323823105</v>
      </c>
      <c r="G4" s="1">
        <f>IF((G$3&gt;0),(1000*('Data Entry'!F7/'Data Entry'!F$6)), 0)</f>
        <v>3.2520325203252032</v>
      </c>
      <c r="H4" s="1">
        <f>IF((H$3&gt;0),(1000*('Data Entry'!G7/'Data Entry'!G$6)), 0)</f>
        <v>0</v>
      </c>
      <c r="I4" s="1">
        <f>IF((I$3&gt;0),(1000*('Data Entry'!H7/'Data Entry'!H$6)), 0)</f>
        <v>0</v>
      </c>
      <c r="J4" s="1">
        <f>IF((J$3&gt;0),(1000*('Data Entry'!I7/'Data Entry'!I$6)), 0)</f>
        <v>0</v>
      </c>
      <c r="K4" s="1">
        <f>IF((K$3&gt;0),(1000*('Data Entry'!J7/'Data Entry'!J$6)), 0)</f>
        <v>49.689440993788814</v>
      </c>
    </row>
    <row r="5" spans="2:11" ht="15" customHeight="1" x14ac:dyDescent="0.25">
      <c r="B5" s="15" t="s">
        <v>9</v>
      </c>
      <c r="C5" s="1">
        <f>IF((C$3&gt;0),(1000*('Data Entry'!B8/'Data Entry'!B$6)), 0)</f>
        <v>75.066182079239013</v>
      </c>
      <c r="D5" s="1">
        <f>IF((D$3&gt;0),(1000*('Data Entry'!C8/'Data Entry'!C$6)), 0)</f>
        <v>38.963448574432554</v>
      </c>
      <c r="E5" s="1">
        <f>IF((E$3&gt;0),(1000*('Data Entry'!D8/'Data Entry'!D$6)), 0)</f>
        <v>222.11004543160021</v>
      </c>
      <c r="F5" s="1">
        <f>IF((F$3&gt;0),(1000*('Data Entry'!E8/'Data Entry'!E$6)), 0)</f>
        <v>0</v>
      </c>
      <c r="G5" s="1">
        <f>IF((G$3&gt;0),(1000*('Data Entry'!F8/'Data Entry'!F$6)), 0)</f>
        <v>0</v>
      </c>
      <c r="H5" s="1">
        <f>IF((H$3&gt;0),(1000*('Data Entry'!G8/'Data Entry'!G$6)), 0)</f>
        <v>0</v>
      </c>
      <c r="I5" s="1">
        <f>IF((I$3&gt;0),(1000*('Data Entry'!H8/'Data Entry'!H$6)), 0)</f>
        <v>35.97122302158273</v>
      </c>
      <c r="J5" s="1">
        <f>IF((J$3&gt;0),(1000*('Data Entry'!I8/'Data Entry'!I$6)), 0)</f>
        <v>0</v>
      </c>
      <c r="K5" s="1">
        <f>IF((K$3&gt;0),(1000*('Data Entry'!J8/'Data Entry'!J$6)), 0)</f>
        <v>160.18306636155609</v>
      </c>
    </row>
    <row r="6" spans="2:11" ht="15" customHeight="1" x14ac:dyDescent="0.25">
      <c r="B6" s="15" t="s">
        <v>10</v>
      </c>
      <c r="C6" s="1">
        <f>IF((C$3&gt;0),(1000*('Data Entry'!B9/'Data Entry'!B$6)), 0)</f>
        <v>42.939830394400325</v>
      </c>
      <c r="D6" s="1">
        <f>IF((D$3&gt;0),(1000*('Data Entry'!C9/'Data Entry'!C$6)), 0)</f>
        <v>24.800544251345169</v>
      </c>
      <c r="E6" s="1">
        <f>IF((E$3&gt;0),(1000*('Data Entry'!D9/'Data Entry'!D$6)), 0)</f>
        <v>124.68450277637557</v>
      </c>
      <c r="F6" s="1">
        <f>IF((F$3&gt;0),(1000*('Data Entry'!E9/'Data Entry'!E$6)), 0)</f>
        <v>0</v>
      </c>
      <c r="G6" s="1">
        <f>IF((G$3&gt;0),(1000*('Data Entry'!F9/'Data Entry'!F$6)), 0)</f>
        <v>0</v>
      </c>
      <c r="H6" s="1">
        <f>IF((H$3&gt;0),(1000*('Data Entry'!G9/'Data Entry'!G$6)), 0)</f>
        <v>0</v>
      </c>
      <c r="I6" s="1">
        <f>IF((I$3&gt;0),(1000*('Data Entry'!H9/'Data Entry'!H$6)), 0)</f>
        <v>21.582733812949641</v>
      </c>
      <c r="J6" s="1">
        <f>IF((J$3&gt;0),(1000*('Data Entry'!I9/'Data Entry'!I$6)), 0)</f>
        <v>0</v>
      </c>
      <c r="K6" s="1">
        <f>IF((K$3&gt;0),(1000*('Data Entry'!J9/'Data Entry'!J$6)), 0)</f>
        <v>89.898659692710041</v>
      </c>
    </row>
    <row r="7" spans="2:11" ht="15" customHeight="1" x14ac:dyDescent="0.25">
      <c r="B7" s="15" t="s">
        <v>11</v>
      </c>
      <c r="C7" s="1">
        <f>IF((C$3&gt;0),(1000*('Data Entry'!B10/'Data Entry'!B$6)), 0)</f>
        <v>22.344864719343114</v>
      </c>
      <c r="D7" s="1">
        <f>IF((D$3&gt;0),(1000*('Data Entry'!C10/'Data Entry'!C$6)), 0)</f>
        <v>9.7717855154926081</v>
      </c>
      <c r="E7" s="1">
        <f>IF((E$3&gt;0),(1000*('Data Entry'!D10/'Data Entry'!D$6)), 0)</f>
        <v>74.962140333165067</v>
      </c>
      <c r="F7" s="1">
        <f>IF((F$3&gt;0),(1000*('Data Entry'!E10/'Data Entry'!E$6)), 0)</f>
        <v>0</v>
      </c>
      <c r="G7" s="1">
        <f>IF((G$3&gt;0),(1000*('Data Entry'!F10/'Data Entry'!F$6)), 0)</f>
        <v>0</v>
      </c>
      <c r="H7" s="1">
        <f>IF((H$3&gt;0),(1000*('Data Entry'!G10/'Data Entry'!G$6)), 0)</f>
        <v>0</v>
      </c>
      <c r="I7" s="1">
        <f>IF((I$3&gt;0),(1000*('Data Entry'!H10/'Data Entry'!H$6)), 0)</f>
        <v>14.388489208633095</v>
      </c>
      <c r="J7" s="1">
        <f>IF((J$3&gt;0),(1000*('Data Entry'!I10/'Data Entry'!I$6)), 0)</f>
        <v>0</v>
      </c>
      <c r="K7" s="1">
        <f>IF((K$3&gt;0),(1000*('Data Entry'!J10/'Data Entry'!J$6)), 0)</f>
        <v>53.939195815626022</v>
      </c>
    </row>
    <row r="8" spans="2:11" ht="15" customHeight="1" x14ac:dyDescent="0.25">
      <c r="B8" s="15" t="s">
        <v>97</v>
      </c>
      <c r="C8" s="1">
        <f>IF((C$3&gt;0),(1000*('Data Entry'!B11/'Data Entry'!B$6)), 0)</f>
        <v>29.927760577915375</v>
      </c>
      <c r="D8" s="1">
        <f>IF((D$3&gt;0),(1000*('Data Entry'!C11/'Data Entry'!C$6)), 0)</f>
        <v>14.162904323087389</v>
      </c>
      <c r="E8" s="1">
        <f>IF((E$3&gt;0),(1000*('Data Entry'!D11/'Data Entry'!D$6)), 0)</f>
        <v>97.425542655224632</v>
      </c>
      <c r="F8" s="1">
        <f>IF((F$3&gt;0),(1000*('Data Entry'!E11/'Data Entry'!E$6)), 0)</f>
        <v>0</v>
      </c>
      <c r="G8" s="1">
        <f>IF((G$3&gt;0),(1000*('Data Entry'!F11/'Data Entry'!F$6)), 0)</f>
        <v>0</v>
      </c>
      <c r="H8" s="1">
        <f>IF((H$3&gt;0),(1000*('Data Entry'!G11/'Data Entry'!G$6)), 0)</f>
        <v>0</v>
      </c>
      <c r="I8" s="1">
        <f>IF((I$3&gt;0),(1000*('Data Entry'!H11/'Data Entry'!H$6)), 0)</f>
        <v>14.388489208633095</v>
      </c>
      <c r="J8" s="1">
        <f>IF((J$3&gt;0),(1000*('Data Entry'!I11/'Data Entry'!I$6)), 0)</f>
        <v>0</v>
      </c>
      <c r="K8" s="1">
        <f>IF((K$3&gt;0),(1000*('Data Entry'!J11/'Data Entry'!J$6)), 0)</f>
        <v>70.284406668846032</v>
      </c>
    </row>
    <row r="9" spans="2:11" ht="15" customHeight="1" x14ac:dyDescent="0.25">
      <c r="B9" s="15" t="s">
        <v>13</v>
      </c>
      <c r="C9" s="1">
        <f>IF((C$3&gt;0),(1000*('Data Entry'!B12/'Data Entry'!B$6)), 0)</f>
        <v>13.012069816484948</v>
      </c>
      <c r="D9" s="1">
        <f>IF((D$3&gt;0),(1000*('Data Entry'!C12/'Data Entry'!C$6)), 0)</f>
        <v>6.4939080957387594</v>
      </c>
      <c r="E9" s="1">
        <f>IF((E$3&gt;0),(1000*('Data Entry'!D12/'Data Entry'!D$6)), 0)</f>
        <v>42.907622412922763</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30.238640078457014</v>
      </c>
    </row>
    <row r="10" spans="2:11" ht="15" customHeight="1" x14ac:dyDescent="0.25">
      <c r="B10" s="15" t="s">
        <v>14</v>
      </c>
      <c r="C10" s="1">
        <f>IF((C$3&gt;0),(1000*('Data Entry'!B13/'Data Entry'!B$6)), 0)</f>
        <v>10.90321712208911</v>
      </c>
      <c r="D10" s="1">
        <f>IF((D$3&gt;0),(1000*('Data Entry'!C13/'Data Entry'!C$6)), 0)</f>
        <v>5.6899004267425326</v>
      </c>
      <c r="E10" s="1">
        <f>IF((E$3&gt;0),(1000*('Data Entry'!D13/'Data Entry'!D$6)), 0)</f>
        <v>29.530540131246845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24.681268388362209</v>
      </c>
    </row>
    <row r="11" spans="2:11" ht="25.5" customHeight="1" x14ac:dyDescent="0.25">
      <c r="B11" s="15" t="s">
        <v>15</v>
      </c>
      <c r="C11" s="1">
        <f>IF((C$3&gt;0),(1000*('Data Entry'!B14/'Data Entry'!B$6)), 0)</f>
        <v>1.3012069816484946</v>
      </c>
      <c r="D11" s="1">
        <f>IF((D$3&gt;0),(1000*('Data Entry'!C14/'Data Entry'!C$6)), 0)</f>
        <v>0.61846743768940571</v>
      </c>
      <c r="E11" s="1">
        <f>IF((E$3&gt;0),(1000*('Data Entry'!D14/'Data Entry'!D$6)), 0)</f>
        <v>4.2907622412922768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3.1055900621118009</v>
      </c>
    </row>
    <row r="12" spans="2:11" ht="15" customHeight="1" x14ac:dyDescent="0.25">
      <c r="B12" s="15" t="s">
        <v>16</v>
      </c>
      <c r="C12" s="1">
        <f>IF((C$3&gt;0),(1000*('Data Entry'!B15/'Data Entry'!B$6)), 0)</f>
        <v>4.4869206263741197E-2</v>
      </c>
      <c r="D12" s="1">
        <f>IF((D$3&gt;0),(1000*('Data Entry'!C15/'Data Entry'!C$6)), 0)</f>
        <v>0</v>
      </c>
      <c r="E12" s="1">
        <f>IF((E$3&gt;0),(1000*('Data Entry'!D15/'Data Entry'!D$6)), 0)</f>
        <v>0.25239777889954568</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0.16345210853220007</v>
      </c>
    </row>
    <row r="13" spans="2:11" ht="15.75" customHeight="1" x14ac:dyDescent="0.25">
      <c r="B13" s="15"/>
    </row>
    <row r="14" spans="2:11" ht="15" customHeight="1" x14ac:dyDescent="0.25">
      <c r="B14" s="213" t="s">
        <v>100</v>
      </c>
      <c r="C14" s="214"/>
      <c r="D14" s="214"/>
      <c r="E14" s="214"/>
      <c r="F14" s="63"/>
      <c r="G14" s="63"/>
      <c r="H14" s="63"/>
      <c r="I14" s="63"/>
      <c r="J14" s="64"/>
    </row>
    <row r="15" spans="2:11" ht="15" customHeight="1" x14ac:dyDescent="0.25">
      <c r="B15" s="77"/>
      <c r="C15" s="8"/>
      <c r="D15" s="8"/>
      <c r="E15" s="1"/>
      <c r="F15" s="1" t="str">
        <f>'Data Entry'!C3</f>
        <v xml:space="preserve">Reporting Period:  </v>
      </c>
      <c r="G15" s="1"/>
      <c r="H15" s="1"/>
      <c r="I15" s="1"/>
      <c r="J15" s="66"/>
    </row>
    <row r="16" spans="2:11" ht="15" customHeight="1" x14ac:dyDescent="0.25">
      <c r="B16" s="78" t="str">
        <f>'Data Entry'!A2</f>
        <v>State: Michigan</v>
      </c>
      <c r="C16" s="8"/>
      <c r="D16" s="8"/>
      <c r="E16" s="1"/>
      <c r="F16" s="1" t="str">
        <f>'Data Entry'!C4</f>
        <v>1/1/12 through 12/31/12</v>
      </c>
      <c r="G16" s="1"/>
      <c r="H16" s="1"/>
      <c r="I16" s="1"/>
      <c r="J16" s="66"/>
    </row>
    <row r="17" spans="2:10" ht="15" customHeight="1" x14ac:dyDescent="0.25">
      <c r="B17" s="79" t="str">
        <f>'Data Entry'!A3</f>
        <v>County: Kalamazoo</v>
      </c>
      <c r="C17" s="80"/>
      <c r="D17" s="80"/>
      <c r="E17" s="80"/>
      <c r="F17" s="80"/>
      <c r="G17" s="80"/>
      <c r="H17" s="80"/>
      <c r="I17" s="80"/>
      <c r="J17" s="81"/>
    </row>
    <row r="18" spans="2:10" ht="75" customHeight="1" x14ac:dyDescent="0.25">
      <c r="B18" s="65"/>
      <c r="C18" s="217" t="str">
        <f>D2</f>
        <v>White</v>
      </c>
      <c r="D18" s="217" t="str">
        <f t="shared" ref="D18:J18" si="0">E2</f>
        <v>Black or African American</v>
      </c>
      <c r="E18" s="217" t="str">
        <f t="shared" si="0"/>
        <v>Hispanic or Latino</v>
      </c>
      <c r="F18" s="217" t="str">
        <f t="shared" si="0"/>
        <v>Asian</v>
      </c>
      <c r="G18" s="217" t="str">
        <f t="shared" si="0"/>
        <v>Native Hawaiian or Other Pacific Islanders</v>
      </c>
      <c r="H18" s="217" t="str">
        <f t="shared" si="0"/>
        <v>American Indian or Alaska Native</v>
      </c>
      <c r="I18" s="217" t="str">
        <f t="shared" si="0"/>
        <v>Biracial or Other</v>
      </c>
      <c r="J18" s="218" t="str">
        <f t="shared" si="0"/>
        <v>All Minorities</v>
      </c>
    </row>
    <row r="19" spans="2:10" ht="15" customHeight="1" x14ac:dyDescent="0.25">
      <c r="B19" s="69" t="s">
        <v>8</v>
      </c>
      <c r="C19" s="70">
        <f>IF(AND(($D4&gt;0),(D4&gt;0)), (D4/$D4),"--")</f>
        <v>1</v>
      </c>
      <c r="D19" s="70">
        <f t="shared" ref="D19:J19" si="1">IF(AND(($D4&gt;0),(E4&gt;0)), (E4/$D4),"--")</f>
        <v>5.1669562561068343</v>
      </c>
      <c r="E19" s="70">
        <f t="shared" si="1"/>
        <v>0.34647927852913984</v>
      </c>
      <c r="F19" s="70">
        <f t="shared" si="1"/>
        <v>0.22567430824522836</v>
      </c>
      <c r="G19" s="70" t="str">
        <f t="shared" si="1"/>
        <v>--</v>
      </c>
      <c r="H19" s="70" t="str">
        <f t="shared" si="1"/>
        <v>--</v>
      </c>
      <c r="I19" s="70" t="str">
        <f t="shared" si="1"/>
        <v>--</v>
      </c>
      <c r="J19" s="71">
        <f t="shared" si="1"/>
        <v>3.4481912936848556</v>
      </c>
    </row>
    <row r="20" spans="2:10" ht="15" customHeight="1" x14ac:dyDescent="0.25">
      <c r="B20" s="69" t="s">
        <v>9</v>
      </c>
      <c r="C20" s="70">
        <f t="shared" ref="C20:J27" si="2">IF(AND(($D5&gt;0),(D5&gt;0)), (D5/$D5),"--")</f>
        <v>1</v>
      </c>
      <c r="D20" s="70">
        <f t="shared" si="2"/>
        <v>5.7004719437834028</v>
      </c>
      <c r="E20" s="70" t="str">
        <f t="shared" si="2"/>
        <v>--</v>
      </c>
      <c r="F20" s="70" t="str">
        <f t="shared" si="2"/>
        <v>--</v>
      </c>
      <c r="G20" s="70" t="str">
        <f t="shared" si="2"/>
        <v>--</v>
      </c>
      <c r="H20" s="70">
        <f t="shared" si="2"/>
        <v>0.92320429370789081</v>
      </c>
      <c r="I20" s="70" t="str">
        <f t="shared" si="2"/>
        <v>--</v>
      </c>
      <c r="J20" s="71">
        <f t="shared" si="2"/>
        <v>4.1111111111111116</v>
      </c>
    </row>
    <row r="21" spans="2:10" ht="15" customHeight="1" x14ac:dyDescent="0.25">
      <c r="B21" s="69" t="s">
        <v>10</v>
      </c>
      <c r="C21" s="70">
        <f t="shared" si="2"/>
        <v>1</v>
      </c>
      <c r="D21" s="70">
        <f t="shared" si="2"/>
        <v>5.0274905870105142</v>
      </c>
      <c r="E21" s="70" t="str">
        <f t="shared" si="2"/>
        <v>--</v>
      </c>
      <c r="F21" s="70" t="str">
        <f t="shared" si="2"/>
        <v>--</v>
      </c>
      <c r="G21" s="70" t="str">
        <f t="shared" si="2"/>
        <v>--</v>
      </c>
      <c r="H21" s="70">
        <f t="shared" si="2"/>
        <v>0.87025242648773748</v>
      </c>
      <c r="I21" s="70" t="str">
        <f t="shared" si="2"/>
        <v>--</v>
      </c>
      <c r="J21" s="71">
        <f t="shared" si="2"/>
        <v>3.6248664054150339</v>
      </c>
    </row>
    <row r="22" spans="2:10" ht="15" customHeight="1" x14ac:dyDescent="0.25">
      <c r="B22" s="69" t="s">
        <v>11</v>
      </c>
      <c r="C22" s="70">
        <f t="shared" si="2"/>
        <v>1</v>
      </c>
      <c r="D22" s="70">
        <f t="shared" si="2"/>
        <v>7.671283842069279</v>
      </c>
      <c r="E22" s="70" t="str">
        <f t="shared" si="2"/>
        <v>--</v>
      </c>
      <c r="F22" s="70" t="str">
        <f t="shared" si="2"/>
        <v>--</v>
      </c>
      <c r="G22" s="70" t="str">
        <f t="shared" si="2"/>
        <v>--</v>
      </c>
      <c r="H22" s="70">
        <f t="shared" si="2"/>
        <v>1.4724524178125857</v>
      </c>
      <c r="I22" s="70" t="str">
        <f t="shared" si="2"/>
        <v>--</v>
      </c>
      <c r="J22" s="71">
        <f t="shared" si="2"/>
        <v>5.5198915009041603</v>
      </c>
    </row>
    <row r="23" spans="2:10" ht="15" customHeight="1" x14ac:dyDescent="0.25">
      <c r="B23" s="69" t="s">
        <v>97</v>
      </c>
      <c r="C23" s="70">
        <f t="shared" si="2"/>
        <v>1</v>
      </c>
      <c r="D23" s="70">
        <f t="shared" si="2"/>
        <v>6.878924013940293</v>
      </c>
      <c r="E23" s="70" t="str">
        <f t="shared" si="2"/>
        <v>--</v>
      </c>
      <c r="F23" s="70" t="str">
        <f t="shared" si="2"/>
        <v>--</v>
      </c>
      <c r="G23" s="70" t="str">
        <f t="shared" si="2"/>
        <v>--</v>
      </c>
      <c r="H23" s="70">
        <f t="shared" si="2"/>
        <v>1.0159278690584652</v>
      </c>
      <c r="I23" s="70" t="str">
        <f t="shared" si="2"/>
        <v>--</v>
      </c>
      <c r="J23" s="71">
        <f t="shared" si="2"/>
        <v>4.9625701809107925</v>
      </c>
    </row>
    <row r="24" spans="2:10" ht="15" customHeight="1" x14ac:dyDescent="0.25">
      <c r="B24" s="69" t="s">
        <v>13</v>
      </c>
      <c r="C24" s="70">
        <f t="shared" si="2"/>
        <v>1</v>
      </c>
      <c r="D24" s="70">
        <f t="shared" si="2"/>
        <v>6.607365207567125</v>
      </c>
      <c r="E24" s="70" t="str">
        <f t="shared" si="2"/>
        <v>--</v>
      </c>
      <c r="F24" s="70" t="str">
        <f t="shared" si="2"/>
        <v>--</v>
      </c>
      <c r="G24" s="70" t="str">
        <f t="shared" si="2"/>
        <v>--</v>
      </c>
      <c r="H24" s="70" t="str">
        <f t="shared" si="2"/>
        <v>--</v>
      </c>
      <c r="I24" s="70" t="str">
        <f t="shared" si="2"/>
        <v>--</v>
      </c>
      <c r="J24" s="71">
        <f t="shared" si="2"/>
        <v>4.6564625850340136</v>
      </c>
    </row>
    <row r="25" spans="2:10" ht="15" customHeight="1" x14ac:dyDescent="0.25">
      <c r="B25" s="69" t="s">
        <v>14</v>
      </c>
      <c r="C25" s="70">
        <f t="shared" si="2"/>
        <v>1</v>
      </c>
      <c r="D25" s="70">
        <f t="shared" si="2"/>
        <v>5.1899924280666321</v>
      </c>
      <c r="E25" s="70" t="str">
        <f t="shared" si="2"/>
        <v>--</v>
      </c>
      <c r="F25" s="70" t="str">
        <f t="shared" si="2"/>
        <v>--</v>
      </c>
      <c r="G25" s="70" t="str">
        <f t="shared" si="2"/>
        <v>--</v>
      </c>
      <c r="H25" s="70" t="str">
        <f t="shared" si="2"/>
        <v>--</v>
      </c>
      <c r="I25" s="70" t="str">
        <f t="shared" si="2"/>
        <v>--</v>
      </c>
      <c r="J25" s="71">
        <f t="shared" si="2"/>
        <v>4.3377329192546581</v>
      </c>
    </row>
    <row r="26" spans="2:10" ht="25.5" customHeight="1" x14ac:dyDescent="0.25">
      <c r="B26" s="69" t="s">
        <v>15</v>
      </c>
      <c r="C26" s="70">
        <f t="shared" si="2"/>
        <v>1</v>
      </c>
      <c r="D26" s="70">
        <f t="shared" si="2"/>
        <v>6.9377334679454821</v>
      </c>
      <c r="E26" s="70" t="str">
        <f t="shared" si="2"/>
        <v>--</v>
      </c>
      <c r="F26" s="70" t="str">
        <f t="shared" si="2"/>
        <v>--</v>
      </c>
      <c r="G26" s="70" t="str">
        <f t="shared" si="2"/>
        <v>--</v>
      </c>
      <c r="H26" s="70" t="str">
        <f t="shared" si="2"/>
        <v>--</v>
      </c>
      <c r="I26" s="70" t="str">
        <f t="shared" si="2"/>
        <v>--</v>
      </c>
      <c r="J26" s="71">
        <f t="shared" si="2"/>
        <v>5.0214285714285705</v>
      </c>
    </row>
    <row r="27" spans="2:10" ht="15" customHeight="1" x14ac:dyDescent="0.25">
      <c r="B27" s="69" t="s">
        <v>16</v>
      </c>
      <c r="C27" s="70" t="str">
        <f t="shared" si="2"/>
        <v>--</v>
      </c>
      <c r="D27" s="70" t="str">
        <f t="shared" si="2"/>
        <v>--</v>
      </c>
      <c r="E27" s="70" t="str">
        <f t="shared" si="2"/>
        <v>--</v>
      </c>
      <c r="F27" s="70" t="str">
        <f t="shared" si="2"/>
        <v>--</v>
      </c>
      <c r="G27" s="70" t="str">
        <f t="shared" si="2"/>
        <v>--</v>
      </c>
      <c r="H27" s="70" t="str">
        <f t="shared" si="2"/>
        <v>--</v>
      </c>
      <c r="I27" s="70" t="str">
        <f t="shared" si="2"/>
        <v>--</v>
      </c>
      <c r="J27" s="71" t="str">
        <f t="shared" si="2"/>
        <v>--</v>
      </c>
    </row>
    <row r="28" spans="2:10" ht="15" customHeight="1" x14ac:dyDescent="0.25">
      <c r="B28" s="82" t="s">
        <v>98</v>
      </c>
      <c r="C28" s="83"/>
      <c r="D28" s="84" t="str">
        <f>Summary!C16</f>
        <v>Yes</v>
      </c>
      <c r="E28" s="84" t="str">
        <f>Summary!D16</f>
        <v>Yes</v>
      </c>
      <c r="F28" s="84" t="str">
        <f>Summary!E16</f>
        <v>Yes</v>
      </c>
      <c r="G28" s="84" t="str">
        <f>Summary!F16</f>
        <v>No</v>
      </c>
      <c r="H28" s="84" t="str">
        <f>Summary!G16</f>
        <v>No</v>
      </c>
      <c r="I28" s="84" t="str">
        <f>Summary!H16</f>
        <v>No</v>
      </c>
      <c r="J28" s="85"/>
    </row>
    <row r="29" spans="2:10" ht="15" customHeight="1" x14ac:dyDescent="0.25">
      <c r="B29" s="65"/>
      <c r="C29" s="1"/>
      <c r="D29" s="1"/>
      <c r="E29" s="1"/>
      <c r="F29" s="1"/>
      <c r="G29" s="1"/>
      <c r="H29" s="1"/>
      <c r="I29" s="1"/>
      <c r="J29" s="66"/>
    </row>
    <row r="30" spans="2:10" ht="15.75" customHeight="1" x14ac:dyDescent="0.25">
      <c r="B30" s="74" t="str">
        <f>'Black or African-American'!B16</f>
        <v>release 10/17/05</v>
      </c>
      <c r="C30" s="75"/>
      <c r="D30" s="75"/>
      <c r="E30" s="75"/>
      <c r="F30" s="75"/>
      <c r="G30" s="75"/>
      <c r="H30" s="75"/>
      <c r="I30" s="75"/>
      <c r="J30" s="76"/>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zoomScaleNormal="100" workbookViewId="0">
      <selection activeCell="A5" sqref="A5"/>
    </sheetView>
  </sheetViews>
  <sheetFormatPr defaultColWidth="10.28515625" defaultRowHeight="12.75" customHeight="1" x14ac:dyDescent="0.25"/>
  <cols>
    <col min="1" max="1" width="33.140625" style="1" customWidth="1"/>
  </cols>
  <sheetData>
    <row r="3" spans="1:10" ht="15" customHeight="1" x14ac:dyDescent="0.2">
      <c r="A3" s="47" t="s">
        <v>101</v>
      </c>
    </row>
    <row r="4" spans="1:10" ht="103.5" customHeight="1" x14ac:dyDescent="0.25">
      <c r="A4" s="216" t="s">
        <v>139</v>
      </c>
      <c r="B4" s="216"/>
      <c r="C4" s="216"/>
      <c r="D4" s="216"/>
      <c r="E4" s="216"/>
      <c r="F4" s="216"/>
      <c r="G4" s="216"/>
      <c r="H4" s="216"/>
      <c r="I4" s="216"/>
      <c r="J4" s="216"/>
    </row>
    <row r="6" spans="1:10" ht="15" customHeight="1" x14ac:dyDescent="0.25">
      <c r="A6" s="1" t="s">
        <v>102</v>
      </c>
      <c r="B6" s="1">
        <v>0.05</v>
      </c>
    </row>
    <row r="7" spans="1:10" ht="15" hidden="1" customHeight="1" x14ac:dyDescent="0.25">
      <c r="D7" s="20">
        <f>IF(B6=0.01,6.636,IF(B6=0.1,2.706,3.841))</f>
        <v>3.8410000000000002</v>
      </c>
      <c r="E7" s="20" t="s">
        <v>103</v>
      </c>
      <c r="F7" s="20"/>
    </row>
    <row r="8" spans="1:10" ht="15" customHeight="1" x14ac:dyDescent="0.25">
      <c r="D8" s="20"/>
      <c r="E8" s="20"/>
      <c r="F8" s="20"/>
    </row>
    <row r="9" spans="1:10" ht="15.75" customHeight="1" x14ac:dyDescent="0.25">
      <c r="A9" s="86" t="s">
        <v>104</v>
      </c>
    </row>
    <row r="10" spans="1:10" ht="85.5" customHeight="1" x14ac:dyDescent="0.25">
      <c r="A10" s="215" t="s">
        <v>105</v>
      </c>
      <c r="B10" s="215"/>
      <c r="C10" s="215"/>
      <c r="D10" s="215"/>
      <c r="E10" s="215"/>
      <c r="F10" s="215"/>
      <c r="G10" s="215"/>
      <c r="H10" s="215"/>
      <c r="I10" s="215"/>
      <c r="J10" s="215"/>
    </row>
    <row r="11" spans="1:10" ht="15.75" customHeight="1" x14ac:dyDescent="0.25">
      <c r="A11" s="87"/>
    </row>
    <row r="12" spans="1:10" ht="15.75" customHeight="1" x14ac:dyDescent="0.25">
      <c r="A12" s="87" t="s">
        <v>106</v>
      </c>
      <c r="B12" s="56">
        <v>5</v>
      </c>
    </row>
    <row r="13" spans="1:10" ht="15.75" customHeight="1" x14ac:dyDescent="0.25">
      <c r="A13" s="87" t="s">
        <v>107</v>
      </c>
      <c r="B13" s="56">
        <v>30</v>
      </c>
    </row>
    <row r="14" spans="1:10" ht="15.75" customHeight="1" x14ac:dyDescent="0.25">
      <c r="A14" s="16"/>
    </row>
    <row r="15" spans="1:10" ht="15.75" customHeight="1" x14ac:dyDescent="0.25">
      <c r="A15" s="1" t="str">
        <f>'Data Entry'!A17</f>
        <v>release 10/17/05</v>
      </c>
      <c r="C15" s="16"/>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A30"/>
  <sheetViews>
    <sheetView showGridLines="0" zoomScaleNormal="100" workbookViewId="0">
      <selection activeCell="AB9" sqref="AB9"/>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122</v>
      </c>
      <c r="C2" s="173"/>
      <c r="D2" s="173"/>
      <c r="E2" s="173"/>
      <c r="F2" s="173"/>
      <c r="G2" s="173"/>
      <c r="H2" s="173"/>
      <c r="I2" s="173"/>
      <c r="J2" s="173"/>
      <c r="K2" s="173"/>
      <c r="L2" s="173"/>
      <c r="M2" s="173"/>
      <c r="N2" s="173"/>
      <c r="O2" s="173"/>
      <c r="P2" s="173"/>
      <c r="Q2" s="174"/>
    </row>
    <row r="3" spans="2:26" s="1" customFormat="1" ht="19.5" thickTop="1" x14ac:dyDescent="0.35">
      <c r="B3" s="95" t="str">
        <f>'Data Entry'!A2</f>
        <v>State: Michigan</v>
      </c>
      <c r="C3" s="93"/>
      <c r="D3" s="93"/>
      <c r="E3" s="93"/>
      <c r="F3" s="93"/>
      <c r="G3" s="93"/>
      <c r="H3" s="93"/>
      <c r="I3" s="93"/>
      <c r="J3" s="93"/>
      <c r="K3" s="93"/>
      <c r="L3" s="93"/>
      <c r="M3" s="93"/>
      <c r="N3" s="180" t="str">
        <f>'Data Entry'!C3</f>
        <v xml:space="preserve">Reporting Period:  </v>
      </c>
      <c r="O3" s="181"/>
      <c r="P3" s="181"/>
      <c r="Q3" s="182"/>
      <c r="R3"/>
    </row>
    <row r="4" spans="2:26" s="1" customFormat="1" ht="19.5" thickBot="1" x14ac:dyDescent="0.4">
      <c r="B4" s="99" t="str">
        <f>'Data Entry'!A3</f>
        <v>County: Kalamazoo</v>
      </c>
      <c r="C4" s="100"/>
      <c r="D4" s="100"/>
      <c r="E4" s="100"/>
      <c r="F4" s="100"/>
      <c r="G4" s="100"/>
      <c r="H4" s="100"/>
      <c r="I4" s="100"/>
      <c r="J4" s="100"/>
      <c r="K4" s="100"/>
      <c r="L4" s="100"/>
      <c r="M4" s="100"/>
      <c r="N4" s="177" t="str">
        <f>'Data Entry'!C4</f>
        <v>1/1/12 through 12/31/12</v>
      </c>
      <c r="O4" s="178"/>
      <c r="P4" s="178"/>
      <c r="Q4" s="179"/>
      <c r="R4"/>
    </row>
    <row r="5" spans="2:26" s="90" customFormat="1" ht="71.25" customHeight="1" x14ac:dyDescent="0.35">
      <c r="B5" s="97"/>
      <c r="C5" s="166"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8"/>
      <c r="U5" s="68"/>
      <c r="V5" s="68"/>
      <c r="W5" s="68"/>
    </row>
    <row r="6" spans="2:26" s="90" customFormat="1" ht="18" customHeight="1" x14ac:dyDescent="0.35">
      <c r="B6" s="156" t="s">
        <v>120</v>
      </c>
      <c r="C6" s="146" t="s">
        <v>118</v>
      </c>
      <c r="D6" s="147" t="s">
        <v>118</v>
      </c>
      <c r="E6" s="148" t="s">
        <v>119</v>
      </c>
      <c r="F6" s="147" t="s">
        <v>118</v>
      </c>
      <c r="G6" s="148" t="s">
        <v>119</v>
      </c>
      <c r="H6" s="147" t="s">
        <v>118</v>
      </c>
      <c r="I6" s="148" t="s">
        <v>119</v>
      </c>
      <c r="J6" s="147" t="s">
        <v>118</v>
      </c>
      <c r="K6" s="148" t="s">
        <v>119</v>
      </c>
      <c r="L6" s="147" t="s">
        <v>118</v>
      </c>
      <c r="M6" s="148" t="s">
        <v>119</v>
      </c>
      <c r="N6" s="147" t="s">
        <v>118</v>
      </c>
      <c r="O6" s="148" t="s">
        <v>119</v>
      </c>
      <c r="P6" s="147" t="s">
        <v>118</v>
      </c>
      <c r="Q6" s="149" t="s">
        <v>119</v>
      </c>
    </row>
    <row r="7" spans="2:26" s="131" customFormat="1" ht="18" customHeight="1" x14ac:dyDescent="0.3">
      <c r="B7" s="143" t="str">
        <f>'Data Entry'!A6</f>
        <v xml:space="preserve">1. Population at risk (age 10 through 16) </v>
      </c>
      <c r="C7" s="101">
        <f>'Data Entry'!C6</f>
        <v>16169</v>
      </c>
      <c r="D7" s="102">
        <f>'Data Entry'!D6</f>
        <v>3962</v>
      </c>
      <c r="E7" s="103"/>
      <c r="F7" s="104">
        <f>'Data Entry'!E6</f>
        <v>1402</v>
      </c>
      <c r="G7" s="103"/>
      <c r="H7" s="104">
        <f>'Data Entry'!F6</f>
        <v>615</v>
      </c>
      <c r="I7" s="103"/>
      <c r="J7" s="104">
        <f>'Data Entry'!G6</f>
        <v>0</v>
      </c>
      <c r="K7" s="103"/>
      <c r="L7" s="104">
        <f>'Data Entry'!H6</f>
        <v>139</v>
      </c>
      <c r="M7" s="103"/>
      <c r="N7" s="104">
        <f>'Data Entry'!I6</f>
        <v>0</v>
      </c>
      <c r="O7" s="103"/>
      <c r="P7" s="104">
        <f>'Data Entry'!J6</f>
        <v>6118</v>
      </c>
      <c r="Q7" s="105"/>
    </row>
    <row r="8" spans="2:26" s="1" customFormat="1" ht="15" customHeight="1" x14ac:dyDescent="0.3">
      <c r="B8" s="142" t="s">
        <v>8</v>
      </c>
      <c r="C8" s="101">
        <f>'Data Entry'!C7</f>
        <v>233</v>
      </c>
      <c r="D8" s="102">
        <f>'Data Entry'!D7</f>
        <v>295</v>
      </c>
      <c r="E8" s="103">
        <f>'Black or African-American'!$G7</f>
        <v>5.1669562561068343</v>
      </c>
      <c r="F8" s="104">
        <f>'Data Entry'!E7</f>
        <v>7</v>
      </c>
      <c r="G8" s="103">
        <f>Hispanic!G7</f>
        <v>0.3464792785291399</v>
      </c>
      <c r="H8" s="104">
        <f>'Data Entry'!F7</f>
        <v>2</v>
      </c>
      <c r="I8" s="103" t="str">
        <f>Asian!G7</f>
        <v>**</v>
      </c>
      <c r="J8" s="104">
        <f>'Data Entry'!G7</f>
        <v>0</v>
      </c>
      <c r="K8" s="103" t="str">
        <f>Hawaiian!G7</f>
        <v>*</v>
      </c>
      <c r="L8" s="104">
        <f>'Data Entry'!H7</f>
        <v>0</v>
      </c>
      <c r="M8" s="103" t="str">
        <f>'Am Indian'!G7</f>
        <v>*</v>
      </c>
      <c r="N8" s="104">
        <f>'Data Entry'!I7</f>
        <v>0</v>
      </c>
      <c r="O8" s="103" t="str">
        <f>'Other - Mixed'!G7</f>
        <v>*</v>
      </c>
      <c r="P8" s="104">
        <f>'Data Entry'!J7</f>
        <v>304</v>
      </c>
      <c r="Q8" s="105">
        <f>'All Minorities'!G7</f>
        <v>3.4481912936848556</v>
      </c>
      <c r="R8"/>
      <c r="T8" s="1">
        <f>'Black or African-American'!L7</f>
        <v>1</v>
      </c>
      <c r="U8" s="1">
        <f>Hispanic!L7</f>
        <v>1</v>
      </c>
      <c r="V8" s="1">
        <f>Asian!L7</f>
        <v>20</v>
      </c>
      <c r="W8" s="1" t="e">
        <f>Hawaiian!L7</f>
        <v>#VALUE!</v>
      </c>
      <c r="X8" s="1">
        <f>'Am Indian'!L7</f>
        <v>139</v>
      </c>
      <c r="Y8" s="1" t="e">
        <f>'Other - Mixed'!L7</f>
        <v>#VALUE!</v>
      </c>
      <c r="Z8" s="1">
        <f>'All Minorities'!L7</f>
        <v>1</v>
      </c>
    </row>
    <row r="9" spans="2:26" s="1" customFormat="1" ht="15" customHeight="1" x14ac:dyDescent="0.3">
      <c r="B9" s="142" t="s">
        <v>134</v>
      </c>
      <c r="C9" s="101">
        <f>'Data Entry'!C8</f>
        <v>630</v>
      </c>
      <c r="D9" s="106">
        <f>'Data Entry'!D8</f>
        <v>880</v>
      </c>
      <c r="E9" s="107">
        <f>'Black or African-American'!$G8</f>
        <v>1.1032553134248051</v>
      </c>
      <c r="F9" s="108">
        <f>'Data Entry'!E8</f>
        <v>0</v>
      </c>
      <c r="G9" s="107" t="str">
        <f>Hispanic!G8</f>
        <v>**</v>
      </c>
      <c r="H9" s="108">
        <f>'Data Entry'!F8</f>
        <v>0</v>
      </c>
      <c r="I9" s="107" t="str">
        <f>Asian!G8</f>
        <v>**</v>
      </c>
      <c r="J9" s="108">
        <f>'Data Entry'!G8</f>
        <v>0</v>
      </c>
      <c r="K9" s="107" t="str">
        <f>Hawaiian!G8</f>
        <v>*</v>
      </c>
      <c r="L9" s="108">
        <f>'Data Entry'!H8</f>
        <v>5</v>
      </c>
      <c r="M9" s="107" t="str">
        <f>'Am Indian'!G8</f>
        <v>*</v>
      </c>
      <c r="N9" s="108">
        <f>'Data Entry'!I8</f>
        <v>95</v>
      </c>
      <c r="O9" s="107" t="str">
        <f>'Other - Mixed'!G8</f>
        <v>*</v>
      </c>
      <c r="P9" s="108">
        <f>'Data Entry'!J8</f>
        <v>980</v>
      </c>
      <c r="Q9" s="109">
        <f>'All Minorities'!G8</f>
        <v>1.192251461988304</v>
      </c>
      <c r="R9"/>
      <c r="T9" s="1">
        <f>'Black or African-American'!L8</f>
        <v>2</v>
      </c>
      <c r="U9" s="1">
        <f>Hispanic!L8</f>
        <v>20</v>
      </c>
      <c r="V9" s="1">
        <f>Asian!L8</f>
        <v>40</v>
      </c>
      <c r="W9" s="1">
        <f>Hawaiian!L8</f>
        <v>139</v>
      </c>
      <c r="X9" s="1">
        <f>'Am Indian'!L8</f>
        <v>119</v>
      </c>
      <c r="Y9" s="1">
        <f>'Other - Mixed'!L8</f>
        <v>119</v>
      </c>
      <c r="Z9" s="1">
        <f>'All Minorities'!L8</f>
        <v>1</v>
      </c>
    </row>
    <row r="10" spans="2:26" s="1" customFormat="1" ht="15" customHeight="1" x14ac:dyDescent="0.3">
      <c r="B10" s="142" t="s">
        <v>10</v>
      </c>
      <c r="C10" s="101">
        <f>'Data Entry'!C9</f>
        <v>401</v>
      </c>
      <c r="D10" s="110">
        <f>'Data Entry'!D9</f>
        <v>494</v>
      </c>
      <c r="E10" s="111">
        <f>'Black or African-American'!$G9</f>
        <v>0.88194287009748351</v>
      </c>
      <c r="F10" s="112">
        <f>'Data Entry'!E9</f>
        <v>0</v>
      </c>
      <c r="G10" s="111" t="str">
        <f>Hispanic!G9</f>
        <v>--</v>
      </c>
      <c r="H10" s="112">
        <f>'Data Entry'!F9</f>
        <v>0</v>
      </c>
      <c r="I10" s="111" t="str">
        <f>Asian!G9</f>
        <v>--</v>
      </c>
      <c r="J10" s="112">
        <f>'Data Entry'!G9</f>
        <v>0</v>
      </c>
      <c r="K10" s="111" t="str">
        <f>Hawaiian!G9</f>
        <v>*</v>
      </c>
      <c r="L10" s="112">
        <f>'Data Entry'!H9</f>
        <v>3</v>
      </c>
      <c r="M10" s="111" t="str">
        <f>'Am Indian'!G9</f>
        <v>*</v>
      </c>
      <c r="N10" s="112">
        <f>'Data Entry'!I9</f>
        <v>53</v>
      </c>
      <c r="O10" s="111" t="str">
        <f>'Other - Mixed'!G9</f>
        <v>*</v>
      </c>
      <c r="P10" s="112">
        <f>'Data Entry'!J9</f>
        <v>550</v>
      </c>
      <c r="Q10" s="113">
        <f>'All Minorities'!G9</f>
        <v>0.88172426077662969</v>
      </c>
      <c r="R10"/>
      <c r="T10" s="1">
        <f>'Black or African-American'!L9</f>
        <v>1</v>
      </c>
      <c r="U10" s="1" t="e">
        <f>Hispanic!L9</f>
        <v>#VALUE!</v>
      </c>
      <c r="V10" s="1" t="e">
        <f>Asian!L9</f>
        <v>#VALUE!</v>
      </c>
      <c r="W10" s="1" t="e">
        <f>Hawaiian!L9</f>
        <v>#VALUE!</v>
      </c>
      <c r="X10" s="1">
        <f>'Am Indian'!L9</f>
        <v>139</v>
      </c>
      <c r="Y10" s="1">
        <f>'Other - Mixed'!L9</f>
        <v>101</v>
      </c>
      <c r="Z10" s="1">
        <f>'All Minorities'!L9</f>
        <v>1</v>
      </c>
    </row>
    <row r="11" spans="2:26" s="1" customFormat="1" ht="15" customHeight="1" x14ac:dyDescent="0.3">
      <c r="B11" s="142" t="s">
        <v>11</v>
      </c>
      <c r="C11" s="101">
        <f>'Data Entry'!C10</f>
        <v>158</v>
      </c>
      <c r="D11" s="106">
        <f>'Data Entry'!D10</f>
        <v>297</v>
      </c>
      <c r="E11" s="107">
        <f>'Black or African-American'!$G10</f>
        <v>1.3457278481012658</v>
      </c>
      <c r="F11" s="108">
        <f>'Data Entry'!E10</f>
        <v>0</v>
      </c>
      <c r="G11" s="107" t="str">
        <f>Hispanic!G10</f>
        <v>--</v>
      </c>
      <c r="H11" s="108">
        <f>'Data Entry'!F10</f>
        <v>0</v>
      </c>
      <c r="I11" s="107" t="str">
        <f>Asian!G10</f>
        <v>--</v>
      </c>
      <c r="J11" s="108">
        <f>'Data Entry'!G10</f>
        <v>1</v>
      </c>
      <c r="K11" s="107" t="str">
        <f>Hawaiian!G10</f>
        <v>*</v>
      </c>
      <c r="L11" s="108">
        <f>'Data Entry'!H10</f>
        <v>2</v>
      </c>
      <c r="M11" s="107" t="str">
        <f>'Am Indian'!G10</f>
        <v>*</v>
      </c>
      <c r="N11" s="108">
        <f>'Data Entry'!I10</f>
        <v>30</v>
      </c>
      <c r="O11" s="107" t="str">
        <f>'Other - Mixed'!G10</f>
        <v>*</v>
      </c>
      <c r="P11" s="108">
        <f>'Data Entry'!J10</f>
        <v>330</v>
      </c>
      <c r="Q11" s="109">
        <f>'All Minorities'!G10</f>
        <v>1.3426763110307414</v>
      </c>
      <c r="R11"/>
      <c r="T11" s="1">
        <f>'Black or African-American'!L10</f>
        <v>1</v>
      </c>
      <c r="U11" s="1" t="e">
        <f>Hispanic!L10</f>
        <v>#VALUE!</v>
      </c>
      <c r="V11" s="1" t="e">
        <f>Asian!L10</f>
        <v>#VALUE!</v>
      </c>
      <c r="W11" s="1" t="e">
        <f>Hawaiian!L10</f>
        <v>#DIV/0!</v>
      </c>
      <c r="X11" s="1">
        <f>'Am Indian'!L10</f>
        <v>139</v>
      </c>
      <c r="Y11" s="1">
        <f>'Other - Mixed'!L10</f>
        <v>101</v>
      </c>
      <c r="Z11" s="1">
        <f>'All Minorities'!L10</f>
        <v>1</v>
      </c>
    </row>
    <row r="12" spans="2:26" s="1" customFormat="1" ht="15" customHeight="1" x14ac:dyDescent="0.3">
      <c r="B12" s="142" t="s">
        <v>97</v>
      </c>
      <c r="C12" s="101">
        <f>'Data Entry'!C11</f>
        <v>229</v>
      </c>
      <c r="D12" s="110">
        <f>'Data Entry'!D11</f>
        <v>386</v>
      </c>
      <c r="E12" s="111">
        <f>'Black or African-American'!$G11</f>
        <v>1.2067288606589917</v>
      </c>
      <c r="F12" s="112">
        <f>'Data Entry'!E11</f>
        <v>0</v>
      </c>
      <c r="G12" s="111" t="str">
        <f>Hispanic!G11</f>
        <v>--</v>
      </c>
      <c r="H12" s="112">
        <f>'Data Entry'!F11</f>
        <v>0</v>
      </c>
      <c r="I12" s="111" t="str">
        <f>Asian!G11</f>
        <v>--</v>
      </c>
      <c r="J12" s="112">
        <f>'Data Entry'!G11</f>
        <v>0</v>
      </c>
      <c r="K12" s="111" t="str">
        <f>Hawaiian!G11</f>
        <v>*</v>
      </c>
      <c r="L12" s="112">
        <f>'Data Entry'!H11</f>
        <v>2</v>
      </c>
      <c r="M12" s="111" t="str">
        <f>'Am Indian'!G11</f>
        <v>*</v>
      </c>
      <c r="N12" s="112">
        <f>'Data Entry'!I11</f>
        <v>42</v>
      </c>
      <c r="O12" s="111" t="str">
        <f>'Other - Mixed'!G11</f>
        <v>*</v>
      </c>
      <c r="P12" s="112">
        <f>'Data Entry'!J11</f>
        <v>430</v>
      </c>
      <c r="Q12" s="113">
        <f>'All Minorities'!G11</f>
        <v>1.2071116656269496</v>
      </c>
      <c r="R12"/>
      <c r="T12" s="1">
        <f>'Black or African-American'!L11</f>
        <v>1</v>
      </c>
      <c r="U12" s="1" t="e">
        <f>Hispanic!L11</f>
        <v>#VALUE!</v>
      </c>
      <c r="V12" s="1" t="e">
        <f>Asian!L11</f>
        <v>#VALUE!</v>
      </c>
      <c r="W12" s="1" t="e">
        <f>Hawaiian!L11</f>
        <v>#VALUE!</v>
      </c>
      <c r="X12" s="1">
        <f>'Am Indian'!L11</f>
        <v>139</v>
      </c>
      <c r="Y12" s="1">
        <f>'Other - Mixed'!L11</f>
        <v>101</v>
      </c>
      <c r="Z12" s="1">
        <f>'All Minorities'!L11</f>
        <v>1</v>
      </c>
    </row>
    <row r="13" spans="2:26" s="1" customFormat="1" ht="15" customHeight="1" x14ac:dyDescent="0.3">
      <c r="B13" s="142" t="s">
        <v>13</v>
      </c>
      <c r="C13" s="101">
        <f>'Data Entry'!C12</f>
        <v>105</v>
      </c>
      <c r="D13" s="106">
        <f>'Data Entry'!D12</f>
        <v>170</v>
      </c>
      <c r="E13" s="107">
        <f>'Black or African-American'!$G12</f>
        <v>0.96052306933135945</v>
      </c>
      <c r="F13" s="108">
        <f>'Data Entry'!E12</f>
        <v>0</v>
      </c>
      <c r="G13" s="107" t="str">
        <f>Hispanic!G12</f>
        <v>--</v>
      </c>
      <c r="H13" s="108">
        <f>'Data Entry'!F12</f>
        <v>0</v>
      </c>
      <c r="I13" s="107" t="str">
        <f>Asian!G12</f>
        <v>--</v>
      </c>
      <c r="J13" s="108">
        <f>'Data Entry'!G12</f>
        <v>0</v>
      </c>
      <c r="K13" s="107" t="str">
        <f>Hawaiian!G12</f>
        <v>*</v>
      </c>
      <c r="L13" s="108">
        <f>'Data Entry'!H12</f>
        <v>0</v>
      </c>
      <c r="M13" s="107" t="str">
        <f>'Am Indian'!G12</f>
        <v>*</v>
      </c>
      <c r="N13" s="108">
        <f>'Data Entry'!I12</f>
        <v>15</v>
      </c>
      <c r="O13" s="107" t="str">
        <f>'Other - Mixed'!G12</f>
        <v>*</v>
      </c>
      <c r="P13" s="108">
        <f>'Data Entry'!J12</f>
        <v>185</v>
      </c>
      <c r="Q13" s="109">
        <f>'All Minorities'!G12</f>
        <v>0.93831672203765226</v>
      </c>
      <c r="R13"/>
      <c r="T13" s="1">
        <f>'Black or African-American'!L12</f>
        <v>2</v>
      </c>
      <c r="U13" s="1" t="e">
        <f>Hispanic!L12</f>
        <v>#VALUE!</v>
      </c>
      <c r="V13" s="1" t="e">
        <f>Asian!L12</f>
        <v>#VALUE!</v>
      </c>
      <c r="W13" s="1" t="e">
        <f>Hawaiian!L12</f>
        <v>#VALUE!</v>
      </c>
      <c r="X13" s="1">
        <f>'Am Indian'!L12</f>
        <v>139</v>
      </c>
      <c r="Y13" s="1">
        <f>'Other - Mixed'!L12</f>
        <v>101</v>
      </c>
      <c r="Z13" s="1">
        <f>'All Minorities'!L12</f>
        <v>2</v>
      </c>
    </row>
    <row r="14" spans="2:26" s="1" customFormat="1" ht="15" customHeight="1" x14ac:dyDescent="0.3">
      <c r="B14" s="142" t="s">
        <v>133</v>
      </c>
      <c r="C14" s="101">
        <f>'Data Entry'!C13</f>
        <v>92</v>
      </c>
      <c r="D14" s="110">
        <f>'Data Entry'!D13</f>
        <v>117</v>
      </c>
      <c r="E14" s="111">
        <f>'Black or African-American'!$G13</f>
        <v>0.78548593350383633</v>
      </c>
      <c r="F14" s="112">
        <f>'Data Entry'!E13</f>
        <v>0</v>
      </c>
      <c r="G14" s="111" t="str">
        <f>Hispanic!G13</f>
        <v>--</v>
      </c>
      <c r="H14" s="112">
        <f>'Data Entry'!F13</f>
        <v>0</v>
      </c>
      <c r="I14" s="111" t="str">
        <f>Asian!G13</f>
        <v>--</v>
      </c>
      <c r="J14" s="112">
        <f>'Data Entry'!G13</f>
        <v>0</v>
      </c>
      <c r="K14" s="111" t="str">
        <f>Hawaiian!G13</f>
        <v>*</v>
      </c>
      <c r="L14" s="112">
        <f>'Data Entry'!H13</f>
        <v>0</v>
      </c>
      <c r="M14" s="111" t="str">
        <f>'Am Indian'!G13</f>
        <v>*</v>
      </c>
      <c r="N14" s="112">
        <f>'Data Entry'!I13</f>
        <v>34</v>
      </c>
      <c r="O14" s="111" t="str">
        <f>'Other - Mixed'!G13</f>
        <v>*</v>
      </c>
      <c r="P14" s="112">
        <f>'Data Entry'!J13</f>
        <v>151</v>
      </c>
      <c r="Q14" s="113">
        <f>'All Minorities'!G13</f>
        <v>0.93155111633372489</v>
      </c>
      <c r="R14"/>
      <c r="T14" s="1">
        <f>'Black or African-American'!L13</f>
        <v>1</v>
      </c>
      <c r="U14" s="1" t="e">
        <f>Hispanic!L13</f>
        <v>#VALUE!</v>
      </c>
      <c r="V14" s="1" t="e">
        <f>Asian!L13</f>
        <v>#VALUE!</v>
      </c>
      <c r="W14" s="1" t="e">
        <f>Hawaiian!L13</f>
        <v>#VALUE!</v>
      </c>
      <c r="X14" s="1" t="e">
        <f>'Am Indian'!L13</f>
        <v>#VALUE!</v>
      </c>
      <c r="Y14" s="1">
        <f>'Other - Mixed'!L13</f>
        <v>119</v>
      </c>
      <c r="Z14" s="1">
        <f>'All Minorities'!L13</f>
        <v>2</v>
      </c>
    </row>
    <row r="15" spans="2:26" s="1" customFormat="1" ht="33" x14ac:dyDescent="0.3">
      <c r="B15" s="144" t="s">
        <v>124</v>
      </c>
      <c r="C15" s="101">
        <f>'Data Entry'!C14</f>
        <v>10</v>
      </c>
      <c r="D15" s="106">
        <f>'Data Entry'!D14</f>
        <v>17</v>
      </c>
      <c r="E15" s="107">
        <f>'Black or African-American'!$G14</f>
        <v>1.05</v>
      </c>
      <c r="F15" s="108">
        <f>'Data Entry'!E14</f>
        <v>0</v>
      </c>
      <c r="G15" s="107" t="str">
        <f>Hispanic!G14</f>
        <v>--</v>
      </c>
      <c r="H15" s="108">
        <f>'Data Entry'!F14</f>
        <v>0</v>
      </c>
      <c r="I15" s="107" t="str">
        <f>Asian!G14</f>
        <v>--</v>
      </c>
      <c r="J15" s="108">
        <f>'Data Entry'!G14</f>
        <v>0</v>
      </c>
      <c r="K15" s="107" t="str">
        <f>Hawaiian!G14</f>
        <v>*</v>
      </c>
      <c r="L15" s="108">
        <f>'Data Entry'!H14</f>
        <v>0</v>
      </c>
      <c r="M15" s="107" t="str">
        <f>'Am Indian'!G14</f>
        <v>*</v>
      </c>
      <c r="N15" s="108">
        <f>'Data Entry'!I14</f>
        <v>2</v>
      </c>
      <c r="O15" s="107" t="str">
        <f>'Other - Mixed'!G14</f>
        <v>*</v>
      </c>
      <c r="P15" s="108">
        <f>'Data Entry'!J14</f>
        <v>19</v>
      </c>
      <c r="Q15" s="109">
        <f>'All Minorities'!G14</f>
        <v>1.0783783783783785</v>
      </c>
      <c r="R15"/>
      <c r="T15" s="1">
        <f>'Black or African-American'!L14</f>
        <v>2</v>
      </c>
      <c r="U15" s="1" t="e">
        <f>Hispanic!L14</f>
        <v>#VALUE!</v>
      </c>
      <c r="V15" s="1" t="e">
        <f>Asian!L14</f>
        <v>#VALUE!</v>
      </c>
      <c r="W15" s="1" t="e">
        <f>Hawaiian!L14</f>
        <v>#VALUE!</v>
      </c>
      <c r="X15" s="1" t="e">
        <f>'Am Indian'!L14</f>
        <v>#VALUE!</v>
      </c>
      <c r="Y15" s="1">
        <f>'Other - Mixed'!L14</f>
        <v>139</v>
      </c>
      <c r="Z15" s="1">
        <f>'All Minorities'!L14</f>
        <v>2</v>
      </c>
    </row>
    <row r="16" spans="2:26" s="1" customFormat="1" ht="15" customHeight="1" x14ac:dyDescent="0.3">
      <c r="B16" s="142" t="s">
        <v>16</v>
      </c>
      <c r="C16" s="101">
        <f>'Data Entry'!C15</f>
        <v>0</v>
      </c>
      <c r="D16" s="114">
        <f>'Data Entry'!D15</f>
        <v>1</v>
      </c>
      <c r="E16" s="115" t="str">
        <f>'Black or African-American'!$G15</f>
        <v>**</v>
      </c>
      <c r="F16" s="116">
        <f>'Data Entry'!E15</f>
        <v>0</v>
      </c>
      <c r="G16" s="115" t="str">
        <f>Hispanic!G15</f>
        <v>--</v>
      </c>
      <c r="H16" s="116">
        <f>'Data Entry'!F15</f>
        <v>0</v>
      </c>
      <c r="I16" s="115" t="str">
        <f>Asian!G15</f>
        <v>--</v>
      </c>
      <c r="J16" s="116">
        <f>'Data Entry'!G15</f>
        <v>0</v>
      </c>
      <c r="K16" s="115" t="str">
        <f>Hawaiian!G15</f>
        <v>*</v>
      </c>
      <c r="L16" s="116">
        <f>'Data Entry'!H15</f>
        <v>0</v>
      </c>
      <c r="M16" s="115" t="str">
        <f>'Am Indian'!G15</f>
        <v>*</v>
      </c>
      <c r="N16" s="116">
        <f>'Data Entry'!I15</f>
        <v>0</v>
      </c>
      <c r="O16" s="115" t="str">
        <f>'Other - Mixed'!G15</f>
        <v>*</v>
      </c>
      <c r="P16" s="116">
        <f>'Data Entry'!J15</f>
        <v>1</v>
      </c>
      <c r="Q16" s="117"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x14ac:dyDescent="0.4">
      <c r="B17" s="145" t="s">
        <v>98</v>
      </c>
      <c r="C17" s="96"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1"/>
      <c r="C18" s="91"/>
      <c r="D18" s="91"/>
      <c r="E18" s="91"/>
      <c r="F18" s="91"/>
      <c r="G18" s="91"/>
      <c r="H18" s="91"/>
      <c r="I18" s="91"/>
      <c r="J18" s="91"/>
      <c r="K18" s="91"/>
      <c r="L18" s="91"/>
      <c r="M18" s="91"/>
      <c r="N18" s="91"/>
      <c r="O18" s="91"/>
      <c r="P18" s="91"/>
      <c r="Q18" s="91"/>
    </row>
    <row r="19" spans="2:18" ht="18" customHeight="1" thickBot="1" x14ac:dyDescent="0.4">
      <c r="B19" s="92"/>
      <c r="C19" s="130"/>
      <c r="D19" s="132"/>
      <c r="E19" s="132"/>
      <c r="F19" s="132"/>
      <c r="G19" s="132"/>
      <c r="H19" s="134" t="s">
        <v>129</v>
      </c>
      <c r="I19" s="135" t="s">
        <v>52</v>
      </c>
      <c r="J19" s="132"/>
      <c r="K19" s="132"/>
      <c r="L19" s="132"/>
      <c r="M19" s="132"/>
      <c r="N19" s="132"/>
      <c r="O19" s="133"/>
      <c r="P19" s="91"/>
      <c r="Q19" s="91"/>
    </row>
    <row r="20" spans="2:18" ht="16.5" x14ac:dyDescent="0.3">
      <c r="B20" s="91"/>
      <c r="C20" s="151" t="s">
        <v>126</v>
      </c>
      <c r="D20" s="157"/>
      <c r="E20" s="158"/>
      <c r="F20" s="159"/>
      <c r="G20" s="160" t="s">
        <v>54</v>
      </c>
      <c r="H20" s="157"/>
      <c r="I20" s="151" t="s">
        <v>57</v>
      </c>
      <c r="J20" s="157"/>
      <c r="K20" s="157"/>
      <c r="L20" s="157"/>
      <c r="M20" s="157"/>
      <c r="N20" s="157"/>
      <c r="O20" s="152" t="s">
        <v>58</v>
      </c>
      <c r="Q20" s="91"/>
    </row>
    <row r="21" spans="2:18" ht="15" customHeight="1" x14ac:dyDescent="0.3">
      <c r="B21" s="91"/>
      <c r="C21" s="153" t="s">
        <v>128</v>
      </c>
      <c r="D21" s="157"/>
      <c r="E21" s="161"/>
      <c r="F21" s="157"/>
      <c r="G21" s="162" t="s">
        <v>56</v>
      </c>
      <c r="H21" s="157"/>
      <c r="I21" s="153" t="s">
        <v>59</v>
      </c>
      <c r="J21" s="157"/>
      <c r="K21" s="157"/>
      <c r="L21" s="157"/>
      <c r="M21" s="157"/>
      <c r="N21" s="157"/>
      <c r="O21" s="154" t="s">
        <v>60</v>
      </c>
      <c r="Q21" s="91"/>
    </row>
    <row r="22" spans="2:18" ht="15" customHeight="1" thickBot="1" x14ac:dyDescent="0.35">
      <c r="B22" s="91"/>
      <c r="C22" s="163"/>
      <c r="D22" s="164"/>
      <c r="E22" s="164"/>
      <c r="F22" s="164"/>
      <c r="G22" s="164"/>
      <c r="H22" s="164"/>
      <c r="I22" s="165" t="s">
        <v>61</v>
      </c>
      <c r="J22" s="164"/>
      <c r="K22" s="164"/>
      <c r="L22" s="164"/>
      <c r="M22" s="164"/>
      <c r="N22" s="164"/>
      <c r="O22" s="155" t="s">
        <v>62</v>
      </c>
      <c r="Q22" s="91"/>
    </row>
    <row r="23" spans="2:18" ht="15" customHeight="1" x14ac:dyDescent="0.3">
      <c r="B23" s="91"/>
      <c r="C23" s="91"/>
      <c r="D23" s="91"/>
      <c r="E23"/>
      <c r="F23"/>
      <c r="G23"/>
      <c r="H23"/>
      <c r="K23"/>
      <c r="L23"/>
      <c r="M23" s="91"/>
      <c r="N23" s="91"/>
      <c r="O23" s="91"/>
      <c r="P23" s="91"/>
      <c r="Q23" s="91"/>
    </row>
    <row r="24" spans="2:18" ht="15" customHeight="1" x14ac:dyDescent="0.3">
      <c r="B24" s="91"/>
      <c r="C24" s="91"/>
      <c r="D24" s="91"/>
      <c r="E24"/>
      <c r="F24"/>
      <c r="G24"/>
      <c r="H24"/>
      <c r="K24"/>
      <c r="L24"/>
      <c r="M24" s="91"/>
      <c r="N24" s="91"/>
      <c r="O24" s="91"/>
      <c r="P24" s="91"/>
      <c r="Q24" s="91"/>
    </row>
    <row r="25" spans="2:18" ht="15" customHeight="1" x14ac:dyDescent="0.25">
      <c r="B25" s="1" t="str">
        <f>'Data Entry'!A18</f>
        <v>5. DATA SOURCES &amp; NOTES</v>
      </c>
    </row>
    <row r="26" spans="2:18" ht="15" customHeight="1" x14ac:dyDescent="0.25">
      <c r="B26" s="1" t="str">
        <f>'Data Entry'!A19</f>
        <v>Item 1. Population (figures for 2012): Population data are from Puzzanchera, C., Sladky, A. and Kang, W. (2013). "Easy Access to Juvenile Populations: 1990-2012." Online.  Last modified October 30, 2013, accessed March 21, 2014.  Available: http://www.ojjdp.gov/ojstatbb/ezapop/.</v>
      </c>
      <c r="E26" s="1" t="str">
        <f>'Data Entry'!D19</f>
        <v>Item 2.Arrest: Michigan State Police (figures for 2012)</v>
      </c>
      <c r="I26" s="94"/>
      <c r="J26" s="94"/>
    </row>
    <row r="27" spans="2:18" ht="12.75" customHeight="1" x14ac:dyDescent="0.25">
      <c r="B27" s="1" t="str">
        <f>'Data Entry'!A20</f>
        <v>Item 3.Referral: State Court Administrative Office</v>
      </c>
      <c r="E27" s="1" t="str">
        <f>'Data Entry'!D20</f>
        <v>Item 4.Diversion: State Court Administrative Office</v>
      </c>
      <c r="I27" s="94"/>
      <c r="J27" s="94"/>
    </row>
    <row r="28" spans="2:18" ht="12.75" customHeight="1" x14ac:dyDescent="0.25">
      <c r="B28" s="1" t="str">
        <f>'Data Entry'!A21</f>
        <v>Item 5.Detention: State Court Administrative Office</v>
      </c>
      <c r="E28" s="1" t="str">
        <f>'Data Entry'!D21</f>
        <v>Item 6.Petitioned: State Court Administrative Office</v>
      </c>
      <c r="I28" s="94"/>
      <c r="J28" s="94"/>
    </row>
    <row r="29" spans="2:18" ht="12.75" customHeight="1" x14ac:dyDescent="0.25">
      <c r="B29" s="1" t="str">
        <f>'Data Entry'!A22</f>
        <v>Item 7.Delinquent: State Court Administrative Office</v>
      </c>
      <c r="E29" s="1" t="str">
        <f>'Data Entry'!D22</f>
        <v>Item 8.Probation: State Court Administrative Office</v>
      </c>
      <c r="I29" s="94"/>
      <c r="J29" s="94"/>
    </row>
    <row r="30" spans="2:18" ht="12.75" customHeight="1" x14ac:dyDescent="0.25">
      <c r="B30" s="1" t="str">
        <f>'Data Entry'!A23</f>
        <v>Item 9.Confinement: State Court Administrative Office</v>
      </c>
      <c r="E30" s="1" t="str">
        <f>'Data Entry'!D23</f>
        <v>Item 10.Transferred: State Court Administrative Office</v>
      </c>
      <c r="I30" s="94"/>
      <c r="J30" s="94"/>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30"/>
  <sheetViews>
    <sheetView showGridLines="0" zoomScaleNormal="100" workbookViewId="0">
      <selection activeCell="X15" sqref="X15"/>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122</v>
      </c>
      <c r="C2" s="173"/>
      <c r="D2" s="173"/>
      <c r="E2" s="173"/>
      <c r="F2" s="173"/>
      <c r="G2" s="173"/>
      <c r="H2" s="173"/>
      <c r="I2" s="173"/>
      <c r="J2" s="173"/>
      <c r="K2" s="174"/>
    </row>
    <row r="3" spans="2:30" s="1" customFormat="1" ht="19.5" thickTop="1" x14ac:dyDescent="0.35">
      <c r="B3" s="95" t="str">
        <f>'Data Entry'!A2</f>
        <v>State: Michigan</v>
      </c>
      <c r="C3" s="119"/>
      <c r="D3" s="119"/>
      <c r="H3" s="187" t="str">
        <f>'Data Entry'!C3</f>
        <v xml:space="preserve">Reporting Period:  </v>
      </c>
      <c r="I3" s="188"/>
      <c r="J3" s="188"/>
      <c r="K3" s="189"/>
    </row>
    <row r="4" spans="2:30" s="1" customFormat="1" ht="19.5" thickBot="1" x14ac:dyDescent="0.4">
      <c r="B4" s="99" t="str">
        <f>'Data Entry'!A3</f>
        <v>County: Kalamazoo</v>
      </c>
      <c r="C4" s="118"/>
      <c r="D4" s="118"/>
      <c r="E4" s="121"/>
      <c r="F4" s="121"/>
      <c r="G4" s="121"/>
      <c r="H4" s="177" t="str">
        <f>'Data Entry'!C4</f>
        <v>1/1/12 through 12/31/12</v>
      </c>
      <c r="I4" s="190"/>
      <c r="J4" s="190"/>
      <c r="K4" s="191"/>
    </row>
    <row r="5" spans="2:30" s="120" customFormat="1" ht="69" customHeight="1" x14ac:dyDescent="0.35">
      <c r="B5" s="97"/>
      <c r="C5" s="98" t="s">
        <v>3</v>
      </c>
      <c r="D5" s="184" t="str">
        <f>'Black or African-American'!$F$1</f>
        <v>Black or African American</v>
      </c>
      <c r="E5" s="185"/>
      <c r="F5" s="184" t="str">
        <f>Hispanic!F1</f>
        <v>Hispanic or Latino</v>
      </c>
      <c r="G5" s="185"/>
      <c r="H5" s="184" t="str">
        <f>Asian!F1</f>
        <v>Asian</v>
      </c>
      <c r="I5" s="185"/>
      <c r="J5" s="184" t="str">
        <f>'Data Entry'!J5</f>
        <v>All Minorities</v>
      </c>
      <c r="K5" s="186"/>
      <c r="N5" s="68"/>
      <c r="O5" s="68"/>
      <c r="P5" s="68"/>
      <c r="Q5" s="68"/>
    </row>
    <row r="6" spans="2:30" s="120" customFormat="1" ht="18" customHeight="1" x14ac:dyDescent="0.35">
      <c r="B6" s="150" t="s">
        <v>120</v>
      </c>
      <c r="C6" s="123" t="s">
        <v>118</v>
      </c>
      <c r="D6" s="124" t="s">
        <v>118</v>
      </c>
      <c r="E6" s="125" t="s">
        <v>119</v>
      </c>
      <c r="F6" s="124" t="s">
        <v>118</v>
      </c>
      <c r="G6" s="125" t="s">
        <v>119</v>
      </c>
      <c r="H6" s="124" t="s">
        <v>118</v>
      </c>
      <c r="I6" s="125" t="s">
        <v>119</v>
      </c>
      <c r="J6" s="124" t="s">
        <v>118</v>
      </c>
      <c r="K6" s="126" t="s">
        <v>119</v>
      </c>
    </row>
    <row r="7" spans="2:30" s="131" customFormat="1" ht="18" customHeight="1" x14ac:dyDescent="0.3">
      <c r="B7" s="141" t="str">
        <f>'Data Entry'!A6</f>
        <v xml:space="preserve">1. Population at risk (age 10 through 16) </v>
      </c>
      <c r="C7" s="101">
        <f>'Data Entry'!C6</f>
        <v>16169</v>
      </c>
      <c r="D7" s="102">
        <f>'Data Entry'!D6</f>
        <v>3962</v>
      </c>
      <c r="E7" s="103"/>
      <c r="F7" s="104">
        <f>'Data Entry'!E6</f>
        <v>1402</v>
      </c>
      <c r="G7" s="103"/>
      <c r="H7" s="104">
        <f>'Data Entry'!F6</f>
        <v>615</v>
      </c>
      <c r="I7" s="103"/>
      <c r="J7" s="104">
        <f>'Data Entry'!J6</f>
        <v>6118</v>
      </c>
      <c r="K7" s="105"/>
    </row>
    <row r="8" spans="2:30" s="1" customFormat="1" ht="15" customHeight="1" x14ac:dyDescent="0.3">
      <c r="B8" s="122" t="s">
        <v>8</v>
      </c>
      <c r="C8" s="101">
        <f>'Data Entry'!C7</f>
        <v>233</v>
      </c>
      <c r="D8" s="102">
        <f>'Data Entry'!D7</f>
        <v>295</v>
      </c>
      <c r="E8" s="103">
        <f>'Black or African-American'!$G7</f>
        <v>5.1669562561068343</v>
      </c>
      <c r="F8" s="104">
        <f>'Data Entry'!E7</f>
        <v>7</v>
      </c>
      <c r="G8" s="103">
        <f>Hispanic!G7</f>
        <v>0.3464792785291399</v>
      </c>
      <c r="H8" s="104">
        <f>'Data Entry'!F7</f>
        <v>2</v>
      </c>
      <c r="I8" s="103" t="str">
        <f>Asian!G7</f>
        <v>**</v>
      </c>
      <c r="J8" s="104">
        <f>'Data Entry'!J7</f>
        <v>304</v>
      </c>
      <c r="K8" s="105">
        <f>'All Minorities'!G7</f>
        <v>3.4481912936848556</v>
      </c>
      <c r="L8"/>
      <c r="N8" s="1">
        <f>'Black or African-American'!L7</f>
        <v>1</v>
      </c>
      <c r="O8" s="1">
        <f>Hispanic!L7</f>
        <v>1</v>
      </c>
      <c r="P8" s="1">
        <f>Asian!L7</f>
        <v>20</v>
      </c>
      <c r="Q8" s="1" t="e">
        <f>Hawaiian!L7</f>
        <v>#VALUE!</v>
      </c>
      <c r="R8" s="1">
        <f>'Am Indian'!L7</f>
        <v>139</v>
      </c>
      <c r="S8" s="1" t="e">
        <f>'Other - Mixed'!L7</f>
        <v>#VALUE!</v>
      </c>
      <c r="T8" s="1">
        <f>'All Minorities'!L7</f>
        <v>1</v>
      </c>
    </row>
    <row r="9" spans="2:30" s="1" customFormat="1" ht="15" customHeight="1" x14ac:dyDescent="0.3">
      <c r="B9" s="122" t="s">
        <v>134</v>
      </c>
      <c r="C9" s="101">
        <f>'Data Entry'!C8</f>
        <v>630</v>
      </c>
      <c r="D9" s="106">
        <f>'Data Entry'!D8</f>
        <v>880</v>
      </c>
      <c r="E9" s="107">
        <f>'Black or African-American'!$G8</f>
        <v>1.1032553134248051</v>
      </c>
      <c r="F9" s="108">
        <f>'Data Entry'!E8</f>
        <v>0</v>
      </c>
      <c r="G9" s="107" t="str">
        <f>Hispanic!G8</f>
        <v>**</v>
      </c>
      <c r="H9" s="108">
        <f>'Data Entry'!F8</f>
        <v>0</v>
      </c>
      <c r="I9" s="107" t="str">
        <f>Asian!G8</f>
        <v>**</v>
      </c>
      <c r="J9" s="108">
        <f>'Data Entry'!J8</f>
        <v>980</v>
      </c>
      <c r="K9" s="109">
        <f>'All Minorities'!G8</f>
        <v>1.192251461988304</v>
      </c>
      <c r="L9"/>
      <c r="N9" s="1">
        <f>'Black or African-American'!L8</f>
        <v>2</v>
      </c>
      <c r="O9" s="1">
        <f>Hispanic!L8</f>
        <v>20</v>
      </c>
      <c r="P9" s="1">
        <f>Asian!L8</f>
        <v>40</v>
      </c>
      <c r="Q9" s="1">
        <f>Hawaiian!L8</f>
        <v>139</v>
      </c>
      <c r="R9" s="1">
        <f>'Am Indian'!L8</f>
        <v>119</v>
      </c>
      <c r="S9" s="1">
        <f>'Other - Mixed'!L8</f>
        <v>119</v>
      </c>
      <c r="T9" s="1">
        <f>'All Minorities'!L8</f>
        <v>1</v>
      </c>
    </row>
    <row r="10" spans="2:30" s="1" customFormat="1" ht="15" customHeight="1" x14ac:dyDescent="0.3">
      <c r="B10" s="122" t="s">
        <v>10</v>
      </c>
      <c r="C10" s="101">
        <f>'Data Entry'!C9</f>
        <v>401</v>
      </c>
      <c r="D10" s="110">
        <f>'Data Entry'!D9</f>
        <v>494</v>
      </c>
      <c r="E10" s="111">
        <f>'Black or African-American'!$G9</f>
        <v>0.88194287009748351</v>
      </c>
      <c r="F10" s="112">
        <f>'Data Entry'!E9</f>
        <v>0</v>
      </c>
      <c r="G10" s="111" t="str">
        <f>Hispanic!G9</f>
        <v>--</v>
      </c>
      <c r="H10" s="112">
        <f>'Data Entry'!F9</f>
        <v>0</v>
      </c>
      <c r="I10" s="111" t="str">
        <f>Asian!G9</f>
        <v>--</v>
      </c>
      <c r="J10" s="112">
        <f>'Data Entry'!J9</f>
        <v>550</v>
      </c>
      <c r="K10" s="113">
        <f>'All Minorities'!G9</f>
        <v>0.88172426077662969</v>
      </c>
      <c r="L10"/>
      <c r="N10" s="1">
        <f>'Black or African-American'!L9</f>
        <v>1</v>
      </c>
      <c r="O10" s="1" t="e">
        <f>Hispanic!L9</f>
        <v>#VALUE!</v>
      </c>
      <c r="P10" s="1" t="e">
        <f>Asian!L9</f>
        <v>#VALUE!</v>
      </c>
      <c r="Q10" s="1" t="e">
        <f>Hawaiian!L9</f>
        <v>#VALUE!</v>
      </c>
      <c r="R10" s="1">
        <f>'Am Indian'!L9</f>
        <v>139</v>
      </c>
      <c r="S10" s="1">
        <f>'Other - Mixed'!L9</f>
        <v>101</v>
      </c>
      <c r="T10" s="1">
        <f>'All Minorities'!L9</f>
        <v>1</v>
      </c>
    </row>
    <row r="11" spans="2:30" s="1" customFormat="1" ht="15" customHeight="1" x14ac:dyDescent="0.3">
      <c r="B11" s="122" t="s">
        <v>11</v>
      </c>
      <c r="C11" s="101">
        <f>'Data Entry'!C10</f>
        <v>158</v>
      </c>
      <c r="D11" s="106">
        <f>'Data Entry'!D10</f>
        <v>297</v>
      </c>
      <c r="E11" s="107">
        <f>'Black or African-American'!$G10</f>
        <v>1.3457278481012658</v>
      </c>
      <c r="F11" s="108">
        <f>'Data Entry'!E10</f>
        <v>0</v>
      </c>
      <c r="G11" s="107" t="str">
        <f>Hispanic!G10</f>
        <v>--</v>
      </c>
      <c r="H11" s="108">
        <f>'Data Entry'!F10</f>
        <v>0</v>
      </c>
      <c r="I11" s="107" t="str">
        <f>Asian!G10</f>
        <v>--</v>
      </c>
      <c r="J11" s="108">
        <f>'Data Entry'!J10</f>
        <v>330</v>
      </c>
      <c r="K11" s="109">
        <f>'All Minorities'!G10</f>
        <v>1.3426763110307414</v>
      </c>
      <c r="L11"/>
      <c r="N11" s="1">
        <f>'Black or African-American'!L10</f>
        <v>1</v>
      </c>
      <c r="O11" s="1" t="e">
        <f>Hispanic!L10</f>
        <v>#VALUE!</v>
      </c>
      <c r="P11" s="1" t="e">
        <f>Asian!L10</f>
        <v>#VALUE!</v>
      </c>
      <c r="Q11" s="1" t="e">
        <f>Hawaiian!L10</f>
        <v>#DIV/0!</v>
      </c>
      <c r="R11" s="1">
        <f>'Am Indian'!L10</f>
        <v>139</v>
      </c>
      <c r="S11" s="1">
        <f>'Other - Mixed'!L10</f>
        <v>101</v>
      </c>
      <c r="T11" s="1">
        <f>'All Minorities'!L10</f>
        <v>1</v>
      </c>
    </row>
    <row r="12" spans="2:30" s="1" customFormat="1" ht="15" customHeight="1" x14ac:dyDescent="0.3">
      <c r="B12" s="122" t="s">
        <v>97</v>
      </c>
      <c r="C12" s="101">
        <f>'Data Entry'!C11</f>
        <v>229</v>
      </c>
      <c r="D12" s="110">
        <f>'Data Entry'!D11</f>
        <v>386</v>
      </c>
      <c r="E12" s="111">
        <f>'Black or African-American'!$G11</f>
        <v>1.2067288606589917</v>
      </c>
      <c r="F12" s="112">
        <f>'Data Entry'!E11</f>
        <v>0</v>
      </c>
      <c r="G12" s="111" t="str">
        <f>Hispanic!G11</f>
        <v>--</v>
      </c>
      <c r="H12" s="112">
        <f>'Data Entry'!F11</f>
        <v>0</v>
      </c>
      <c r="I12" s="111" t="str">
        <f>Asian!G11</f>
        <v>--</v>
      </c>
      <c r="J12" s="112">
        <f>'Data Entry'!J11</f>
        <v>430</v>
      </c>
      <c r="K12" s="113">
        <f>'All Minorities'!G11</f>
        <v>1.2071116656269496</v>
      </c>
      <c r="L12"/>
      <c r="N12" s="1">
        <f>'Black or African-American'!L11</f>
        <v>1</v>
      </c>
      <c r="O12" s="1" t="e">
        <f>Hispanic!L11</f>
        <v>#VALUE!</v>
      </c>
      <c r="P12" s="1" t="e">
        <f>Asian!L11</f>
        <v>#VALUE!</v>
      </c>
      <c r="Q12" s="1" t="e">
        <f>Hawaiian!L11</f>
        <v>#VALUE!</v>
      </c>
      <c r="R12" s="1">
        <f>'Am Indian'!L11</f>
        <v>139</v>
      </c>
      <c r="S12" s="1">
        <f>'Other - Mixed'!L11</f>
        <v>101</v>
      </c>
      <c r="T12" s="1">
        <f>'All Minorities'!L11</f>
        <v>1</v>
      </c>
    </row>
    <row r="13" spans="2:30" s="1" customFormat="1" ht="15" customHeight="1" x14ac:dyDescent="0.3">
      <c r="B13" s="122" t="s">
        <v>13</v>
      </c>
      <c r="C13" s="101">
        <f>'Data Entry'!C12</f>
        <v>105</v>
      </c>
      <c r="D13" s="106">
        <f>'Data Entry'!D12</f>
        <v>170</v>
      </c>
      <c r="E13" s="107">
        <f>'Black or African-American'!$G12</f>
        <v>0.96052306933135945</v>
      </c>
      <c r="F13" s="108">
        <f>'Data Entry'!E12</f>
        <v>0</v>
      </c>
      <c r="G13" s="107" t="str">
        <f>Hispanic!G12</f>
        <v>--</v>
      </c>
      <c r="H13" s="108">
        <f>'Data Entry'!F12</f>
        <v>0</v>
      </c>
      <c r="I13" s="107" t="str">
        <f>Asian!G12</f>
        <v>--</v>
      </c>
      <c r="J13" s="108">
        <f>'Data Entry'!J12</f>
        <v>185</v>
      </c>
      <c r="K13" s="109">
        <f>'All Minorities'!G12</f>
        <v>0.93831672203765226</v>
      </c>
      <c r="L13"/>
      <c r="N13" s="1">
        <f>'Black or African-American'!L12</f>
        <v>2</v>
      </c>
      <c r="O13" s="1" t="e">
        <f>Hispanic!L12</f>
        <v>#VALUE!</v>
      </c>
      <c r="P13" s="1" t="e">
        <f>Asian!L12</f>
        <v>#VALUE!</v>
      </c>
      <c r="Q13" s="1" t="e">
        <f>Hawaiian!L12</f>
        <v>#VALUE!</v>
      </c>
      <c r="R13" s="1">
        <f>'Am Indian'!L12</f>
        <v>139</v>
      </c>
      <c r="S13" s="1">
        <f>'Other - Mixed'!L12</f>
        <v>101</v>
      </c>
      <c r="T13" s="1">
        <f>'All Minorities'!L12</f>
        <v>2</v>
      </c>
      <c r="W13" s="131"/>
      <c r="X13" s="131"/>
      <c r="Y13" s="131"/>
      <c r="Z13" s="131"/>
      <c r="AA13" s="131"/>
      <c r="AB13" s="131"/>
      <c r="AC13" s="131"/>
      <c r="AD13" s="131"/>
    </row>
    <row r="14" spans="2:30" s="1" customFormat="1" ht="15" customHeight="1" x14ac:dyDescent="0.3">
      <c r="B14" s="122" t="s">
        <v>14</v>
      </c>
      <c r="C14" s="101">
        <f>'Data Entry'!C13</f>
        <v>92</v>
      </c>
      <c r="D14" s="110">
        <f>'Data Entry'!D13</f>
        <v>117</v>
      </c>
      <c r="E14" s="111">
        <f>'Black or African-American'!$G13</f>
        <v>0.78548593350383633</v>
      </c>
      <c r="F14" s="112">
        <f>'Data Entry'!E13</f>
        <v>0</v>
      </c>
      <c r="G14" s="111" t="str">
        <f>Hispanic!G13</f>
        <v>--</v>
      </c>
      <c r="H14" s="112">
        <f>'Data Entry'!F13</f>
        <v>0</v>
      </c>
      <c r="I14" s="111" t="str">
        <f>Asian!G13</f>
        <v>--</v>
      </c>
      <c r="J14" s="112">
        <f>'Data Entry'!J13</f>
        <v>151</v>
      </c>
      <c r="K14" s="113">
        <f>'All Minorities'!G13</f>
        <v>0.93155111633372489</v>
      </c>
      <c r="L14"/>
      <c r="N14" s="1">
        <f>'Black or African-American'!L13</f>
        <v>1</v>
      </c>
      <c r="O14" s="1" t="e">
        <f>Hispanic!L13</f>
        <v>#VALUE!</v>
      </c>
      <c r="P14" s="1" t="e">
        <f>Asian!L13</f>
        <v>#VALUE!</v>
      </c>
      <c r="Q14" s="1" t="e">
        <f>Hawaiian!L13</f>
        <v>#VALUE!</v>
      </c>
      <c r="R14" s="1" t="e">
        <f>'Am Indian'!L13</f>
        <v>#VALUE!</v>
      </c>
      <c r="S14" s="1">
        <f>'Other - Mixed'!L13</f>
        <v>119</v>
      </c>
      <c r="T14" s="1">
        <f>'All Minorities'!L13</f>
        <v>2</v>
      </c>
      <c r="W14" s="131"/>
      <c r="X14" s="131"/>
      <c r="Y14" s="131"/>
      <c r="Z14" s="131"/>
      <c r="AA14" s="131"/>
      <c r="AB14" s="131"/>
      <c r="AC14" s="131"/>
      <c r="AD14" s="131"/>
    </row>
    <row r="15" spans="2:30" s="1" customFormat="1" ht="33" x14ac:dyDescent="0.3">
      <c r="B15" s="127" t="s">
        <v>124</v>
      </c>
      <c r="C15" s="101">
        <f>'Data Entry'!C14</f>
        <v>10</v>
      </c>
      <c r="D15" s="106">
        <f>'Data Entry'!D14</f>
        <v>17</v>
      </c>
      <c r="E15" s="107">
        <f>'Black or African-American'!$G14</f>
        <v>1.05</v>
      </c>
      <c r="F15" s="108">
        <f>'Data Entry'!E14</f>
        <v>0</v>
      </c>
      <c r="G15" s="107" t="str">
        <f>Hispanic!G14</f>
        <v>--</v>
      </c>
      <c r="H15" s="108">
        <f>'Data Entry'!F14</f>
        <v>0</v>
      </c>
      <c r="I15" s="107" t="str">
        <f>Asian!G14</f>
        <v>--</v>
      </c>
      <c r="J15" s="108">
        <f>'Data Entry'!J14</f>
        <v>19</v>
      </c>
      <c r="K15" s="109">
        <f>'All Minorities'!G14</f>
        <v>1.0783783783783785</v>
      </c>
      <c r="L15"/>
      <c r="N15" s="1">
        <f>'Black or African-American'!L14</f>
        <v>2</v>
      </c>
      <c r="O15" s="1" t="e">
        <f>Hispanic!L14</f>
        <v>#VALUE!</v>
      </c>
      <c r="P15" s="1" t="e">
        <f>Asian!L14</f>
        <v>#VALUE!</v>
      </c>
      <c r="Q15" s="1" t="e">
        <f>Hawaiian!L14</f>
        <v>#VALUE!</v>
      </c>
      <c r="R15" s="1" t="e">
        <f>'Am Indian'!L14</f>
        <v>#VALUE!</v>
      </c>
      <c r="S15" s="1">
        <f>'Other - Mixed'!L14</f>
        <v>139</v>
      </c>
      <c r="T15" s="1">
        <f>'All Minorities'!L14</f>
        <v>2</v>
      </c>
      <c r="W15" s="131"/>
      <c r="X15" s="131"/>
      <c r="Y15" s="131"/>
      <c r="Z15" s="131"/>
      <c r="AA15" s="131"/>
      <c r="AB15" s="131"/>
      <c r="AC15" s="131"/>
      <c r="AD15" s="131"/>
    </row>
    <row r="16" spans="2:30" s="1" customFormat="1" ht="15" customHeight="1" x14ac:dyDescent="0.3">
      <c r="B16" s="122" t="s">
        <v>16</v>
      </c>
      <c r="C16" s="101">
        <f>'Data Entry'!C15</f>
        <v>0</v>
      </c>
      <c r="D16" s="114">
        <f>'Data Entry'!D15</f>
        <v>1</v>
      </c>
      <c r="E16" s="115" t="str">
        <f>'Black or African-American'!$G15</f>
        <v>**</v>
      </c>
      <c r="F16" s="116">
        <f>'Data Entry'!E15</f>
        <v>0</v>
      </c>
      <c r="G16" s="115" t="str">
        <f>Hispanic!G15</f>
        <v>--</v>
      </c>
      <c r="H16" s="116">
        <f>'Data Entry'!F15</f>
        <v>0</v>
      </c>
      <c r="I16" s="115" t="str">
        <f>Asian!G15</f>
        <v>--</v>
      </c>
      <c r="J16" s="116">
        <f>'Data Entry'!J15</f>
        <v>1</v>
      </c>
      <c r="K16" s="117"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131"/>
      <c r="X16" s="131"/>
      <c r="Y16" s="131"/>
      <c r="Z16" s="131"/>
      <c r="AA16" s="131"/>
      <c r="AB16" s="131"/>
      <c r="AC16" s="131"/>
      <c r="AD16" s="131"/>
    </row>
    <row r="17" spans="2:30" s="1" customFormat="1" ht="15" customHeight="1" thickBot="1" x14ac:dyDescent="0.4">
      <c r="B17" s="128" t="s">
        <v>98</v>
      </c>
      <c r="C17" s="96" t="str">
        <f>'Data Entry'!C16</f>
        <v>Yes</v>
      </c>
      <c r="D17" s="129"/>
      <c r="E17" s="138" t="str">
        <f>'Data Entry'!$D$16</f>
        <v>Yes</v>
      </c>
      <c r="F17" s="129"/>
      <c r="G17" s="138" t="str">
        <f>'Data Entry'!$E$16</f>
        <v>Yes</v>
      </c>
      <c r="H17" s="129"/>
      <c r="I17" s="138" t="str">
        <f>'Data Entry'!F16</f>
        <v>Yes</v>
      </c>
      <c r="J17" s="129"/>
      <c r="K17" s="137" t="str">
        <f>'Data Entry'!J16</f>
        <v>Yes</v>
      </c>
      <c r="L17"/>
      <c r="W17" s="131"/>
      <c r="X17" s="131"/>
      <c r="Y17" s="131"/>
      <c r="Z17" s="131"/>
      <c r="AA17" s="131"/>
      <c r="AB17" s="131"/>
      <c r="AC17" s="131"/>
      <c r="AD17" s="131"/>
    </row>
    <row r="18" spans="2:30" ht="15" customHeight="1" thickTop="1" thickBot="1" x14ac:dyDescent="0.35">
      <c r="B18" s="91"/>
      <c r="C18" s="91"/>
      <c r="D18" s="91"/>
      <c r="E18" s="91"/>
      <c r="F18" s="91"/>
      <c r="G18" s="91"/>
      <c r="H18" s="91"/>
      <c r="I18" s="91"/>
      <c r="J18" s="91"/>
      <c r="K18" s="91"/>
      <c r="W18" s="131"/>
      <c r="X18" s="131"/>
      <c r="Y18" s="131"/>
      <c r="Z18" s="131"/>
      <c r="AA18" s="131"/>
      <c r="AB18" s="131"/>
      <c r="AC18" s="131"/>
      <c r="AD18" s="131"/>
    </row>
    <row r="19" spans="2:30" ht="18" customHeight="1" thickBot="1" x14ac:dyDescent="0.4">
      <c r="B19" s="200" t="s">
        <v>121</v>
      </c>
      <c r="C19" s="201"/>
      <c r="D19" s="201"/>
      <c r="E19" s="201"/>
      <c r="F19" s="201"/>
      <c r="G19" s="201"/>
      <c r="H19" s="201"/>
      <c r="I19" s="202"/>
      <c r="J19" s="203"/>
      <c r="K19" s="204"/>
    </row>
    <row r="20" spans="2:30" ht="15.75" x14ac:dyDescent="0.3">
      <c r="B20" s="151" t="s">
        <v>126</v>
      </c>
      <c r="C20" s="208" t="s">
        <v>54</v>
      </c>
      <c r="D20" s="209"/>
      <c r="E20" s="192" t="s">
        <v>57</v>
      </c>
      <c r="F20" s="193"/>
      <c r="G20" s="193"/>
      <c r="H20" s="193"/>
      <c r="I20" s="193"/>
      <c r="J20" s="193"/>
      <c r="K20" s="152" t="s">
        <v>58</v>
      </c>
    </row>
    <row r="21" spans="2:30" ht="15" customHeight="1" x14ac:dyDescent="0.3">
      <c r="B21" s="153" t="s">
        <v>127</v>
      </c>
      <c r="C21" s="194" t="s">
        <v>56</v>
      </c>
      <c r="D21" s="195"/>
      <c r="E21" s="196" t="s">
        <v>59</v>
      </c>
      <c r="F21" s="197"/>
      <c r="G21" s="197"/>
      <c r="H21" s="197"/>
      <c r="I21" s="197"/>
      <c r="J21" s="197"/>
      <c r="K21" s="154" t="s">
        <v>60</v>
      </c>
    </row>
    <row r="22" spans="2:30" ht="15" customHeight="1" thickBot="1" x14ac:dyDescent="0.35">
      <c r="B22" s="205"/>
      <c r="C22" s="206"/>
      <c r="D22" s="207"/>
      <c r="E22" s="198" t="s">
        <v>61</v>
      </c>
      <c r="F22" s="199"/>
      <c r="G22" s="199"/>
      <c r="H22" s="199"/>
      <c r="I22" s="199"/>
      <c r="J22" s="199"/>
      <c r="K22" s="155" t="s">
        <v>62</v>
      </c>
    </row>
    <row r="23" spans="2:30" ht="15" customHeight="1" x14ac:dyDescent="0.3">
      <c r="B23" s="91"/>
      <c r="C23" s="91"/>
      <c r="D23" s="91"/>
      <c r="E23"/>
      <c r="F23"/>
      <c r="G23"/>
      <c r="H23"/>
      <c r="J23"/>
      <c r="K23"/>
    </row>
    <row r="24" spans="2:30" ht="15" customHeight="1" x14ac:dyDescent="0.3">
      <c r="B24" s="91"/>
      <c r="C24" s="91"/>
      <c r="D24" s="91"/>
      <c r="E24"/>
      <c r="F24"/>
      <c r="G24"/>
      <c r="H24"/>
      <c r="J24"/>
      <c r="K24"/>
    </row>
    <row r="25" spans="2:30" ht="15" customHeight="1" x14ac:dyDescent="0.25">
      <c r="B25" s="1" t="str">
        <f>'Data Entry'!A18</f>
        <v>5. DATA SOURCES &amp; NOTES</v>
      </c>
    </row>
    <row r="26" spans="2:30" ht="15" customHeight="1" x14ac:dyDescent="0.25">
      <c r="B26" s="1" t="str">
        <f>'Data Entry'!A19</f>
        <v>Item 1. Population (figures for 2012): Population data are from Puzzanchera, C., Sladky, A. and Kang, W. (2013). "Easy Access to Juvenile Populations: 1990-2012." Online.  Last modified October 30, 2013, accessed March 21, 2014.  Available: http://www.ojjdp.gov/ojstatbb/ezapop/.</v>
      </c>
      <c r="E26" s="1" t="str">
        <f>'Data Entry'!D19</f>
        <v>Item 2.Arrest: Michigan State Police (figures for 2012)</v>
      </c>
      <c r="I26" s="94"/>
    </row>
    <row r="27" spans="2:30" ht="12.75" customHeight="1" x14ac:dyDescent="0.25">
      <c r="B27" s="1" t="str">
        <f>'Data Entry'!A20</f>
        <v>Item 3.Referral: State Court Administrative Office</v>
      </c>
      <c r="E27" s="1" t="str">
        <f>'Data Entry'!D20</f>
        <v>Item 4.Diversion: State Court Administrative Office</v>
      </c>
      <c r="I27" s="94"/>
    </row>
    <row r="28" spans="2:30" ht="12.75" customHeight="1" x14ac:dyDescent="0.25">
      <c r="B28" s="1" t="str">
        <f>'Data Entry'!A21</f>
        <v>Item 5.Detention: State Court Administrative Office</v>
      </c>
      <c r="E28" s="1" t="str">
        <f>'Data Entry'!D21</f>
        <v>Item 6.Petitioned: State Court Administrative Office</v>
      </c>
      <c r="I28" s="94"/>
    </row>
    <row r="29" spans="2:30" ht="12.75" customHeight="1" x14ac:dyDescent="0.25">
      <c r="B29" s="1" t="str">
        <f>'Data Entry'!A22</f>
        <v>Item 7.Delinquent: State Court Administrative Office</v>
      </c>
      <c r="E29" s="1" t="str">
        <f>'Data Entry'!D22</f>
        <v>Item 8.Probation: State Court Administrative Office</v>
      </c>
      <c r="I29" s="94"/>
    </row>
    <row r="30" spans="2:30" ht="12.75" customHeight="1" x14ac:dyDescent="0.25">
      <c r="B30" s="1" t="str">
        <f>'Data Entry'!A23</f>
        <v>Item 9.Confinement: State Court Administrative Office</v>
      </c>
      <c r="E30" s="1" t="str">
        <f>'Data Entry'!D23</f>
        <v>Item 10.Transferred: State Court Administrative Office</v>
      </c>
      <c r="I30" s="94"/>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2" width="9.140625" style="1" customWidth="1"/>
  </cols>
  <sheetData>
    <row r="1" spans="2:21" ht="27.75" customHeight="1" x14ac:dyDescent="0.25">
      <c r="B1" s="15" t="s">
        <v>29</v>
      </c>
      <c r="D1" s="19" t="s">
        <v>30</v>
      </c>
      <c r="E1" s="13"/>
      <c r="F1" s="212" t="str">
        <f>'Data Entry'!D5</f>
        <v>Black or African American</v>
      </c>
      <c r="G1" s="212"/>
      <c r="H1" s="212"/>
      <c r="I1" s="212"/>
      <c r="J1" s="212"/>
      <c r="K1" s="8"/>
      <c r="N1" s="20"/>
      <c r="O1" s="20"/>
      <c r="P1" s="20"/>
      <c r="Q1" s="20"/>
      <c r="R1" s="20"/>
    </row>
    <row r="2" spans="2:21" ht="15" customHeight="1" x14ac:dyDescent="0.25">
      <c r="B2" s="15" t="str">
        <f>'Data Entry'!A2</f>
        <v>State: Michigan</v>
      </c>
      <c r="C2" s="4"/>
      <c r="D2" s="4"/>
      <c r="E2" s="4"/>
      <c r="F2" s="4"/>
      <c r="N2" s="20"/>
      <c r="O2" s="20"/>
      <c r="P2" s="20"/>
      <c r="Q2" s="20"/>
      <c r="R2" s="20"/>
    </row>
    <row r="3" spans="2:21" ht="15" customHeight="1" x14ac:dyDescent="0.25">
      <c r="B3" s="15" t="str">
        <f>'Data Entry'!A3</f>
        <v>County: Kalamazoo</v>
      </c>
      <c r="C3" s="21"/>
      <c r="D3" s="21"/>
      <c r="E3" s="21"/>
      <c r="F3" s="21"/>
      <c r="G3" s="7"/>
      <c r="H3" s="7"/>
      <c r="I3" s="7"/>
      <c r="J3" s="7"/>
      <c r="K3" s="7"/>
      <c r="N3" s="211" t="s">
        <v>31</v>
      </c>
      <c r="O3" s="211"/>
      <c r="P3" s="211"/>
      <c r="Q3" s="211"/>
      <c r="R3" s="211"/>
      <c r="S3" s="211"/>
      <c r="T3" s="211"/>
      <c r="U3" s="211"/>
    </row>
    <row r="4" spans="2:21" ht="8.2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Entry'!D6</f>
        <v>3962</v>
      </c>
      <c r="F6" s="33"/>
      <c r="G6" s="34"/>
      <c r="H6" s="35"/>
      <c r="I6" s="36"/>
      <c r="J6" s="37"/>
      <c r="K6" s="36"/>
      <c r="L6" s="1">
        <f>IF( ('Data Entry'!D6&gt;('Data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Entry'!D7</f>
        <v>295</v>
      </c>
      <c r="F7" s="33">
        <f>IF((AND($E$7&gt;0,$D$66&gt;0)),($E$7/$D$66),0)</f>
        <v>74.457344775365968</v>
      </c>
      <c r="G7" s="38">
        <f>IF(L$6=100,"*",IF(M7=FALSE,"--",IF(K7=20,"**",($F7/$D7))))</f>
        <v>5.1669562561068343</v>
      </c>
      <c r="H7" s="39"/>
      <c r="I7" s="40"/>
      <c r="J7" s="39">
        <f>IF((ABS($U7)&gt;Defaults!D$7),1,2)</f>
        <v>1</v>
      </c>
      <c r="K7" s="38">
        <f>IF((AND(N7&gt;Defaults!B$12,(N7+O7)&gt;Defaults!B$13, P7 &gt; Defaults!B$12, (P7+Q7) &gt; Defaults!B$13)),1,20)</f>
        <v>1</v>
      </c>
      <c r="L7" s="1">
        <f>(J7*K7+L$6)-1</f>
        <v>1</v>
      </c>
      <c r="M7" s="1" t="b">
        <f t="shared" ref="M7:M15" si="0">(ISNUMBER(J7))</f>
        <v>1</v>
      </c>
      <c r="N7" s="41">
        <f t="shared" ref="N7:N15" si="1">E7</f>
        <v>295</v>
      </c>
      <c r="O7" s="41">
        <f>E6-E7</f>
        <v>3667</v>
      </c>
      <c r="P7" s="41">
        <f t="shared" ref="P7:P15" si="2">C7</f>
        <v>233</v>
      </c>
      <c r="Q7" s="41">
        <f>C6-C7</f>
        <v>15936</v>
      </c>
      <c r="R7" s="41">
        <f t="shared" ref="R7:R15" si="3">SUM(N7:Q7)</f>
        <v>20131</v>
      </c>
      <c r="S7" s="29">
        <f t="shared" ref="S7:S15" si="4">R7*((((N7*Q7)-(O7*P7))^2))</f>
        <v>2.978818319007392E+17</v>
      </c>
      <c r="T7" s="29">
        <f t="shared" ref="T7:T15" si="5">(N7+O7)*(P7+Q7)*(N7+P7)*(O7+Q7)</f>
        <v>663061931945952</v>
      </c>
      <c r="U7" s="30">
        <f t="shared" ref="U7:U15" si="6">IF((S7&gt;0),S7/T7,"- -")</f>
        <v>449.25189872764457</v>
      </c>
    </row>
    <row r="8" spans="2:21" ht="18" customHeight="1" x14ac:dyDescent="0.25">
      <c r="B8" s="31" t="str">
        <f>'Data Entry'!A8</f>
        <v>3. Refer to Juvenile Court</v>
      </c>
      <c r="C8" s="32">
        <f>'Data Entry'!C8</f>
        <v>630</v>
      </c>
      <c r="D8" s="33">
        <f>IF((AND(C67&gt;0,C8&gt;0)),(C8/C67),0)</f>
        <v>270.38626609442059</v>
      </c>
      <c r="E8" s="32">
        <f>'Data Entry'!D8</f>
        <v>880</v>
      </c>
      <c r="F8" s="33">
        <f>IF((AND($E$8&gt;0,$D$67&gt;0)),($E8/$D67),0)</f>
        <v>298.30508474576271</v>
      </c>
      <c r="G8" s="38">
        <f t="shared" ref="G8:G15" si="7">IF(L$6=100,"*",IF(M8=FALSE,"--",IF(K8=20,"**",($F8/$D8))))</f>
        <v>1.1032553134248051</v>
      </c>
      <c r="H8" s="39"/>
      <c r="I8" s="40"/>
      <c r="J8" s="39">
        <f>IF((ABS($U8)&gt;Defaults!D$7),1,2)</f>
        <v>2</v>
      </c>
      <c r="K8" s="38">
        <f>IF((AND(N8&gt;Defaults!B$12,(N8+O8)&gt;Defaults!B$13, P8 &gt; Defaults!B$12, (P8+Q8) &gt; Defaults!B$13)),1,20)</f>
        <v>1</v>
      </c>
      <c r="L8" s="1">
        <f t="shared" ref="L8:L15" si="8">(J8*K8+L$6)-1</f>
        <v>2</v>
      </c>
      <c r="M8" s="1" t="b">
        <f t="shared" si="0"/>
        <v>1</v>
      </c>
      <c r="N8" s="41">
        <f t="shared" si="1"/>
        <v>880</v>
      </c>
      <c r="O8" s="41">
        <f>((D67*L67)-E8)+0.05</f>
        <v>-584.95000000000005</v>
      </c>
      <c r="P8" s="41">
        <f t="shared" si="2"/>
        <v>630</v>
      </c>
      <c r="Q8" s="41">
        <f>(C$67*L67)-C8</f>
        <v>-397</v>
      </c>
      <c r="R8" s="41">
        <f t="shared" si="3"/>
        <v>528.04999999999995</v>
      </c>
      <c r="S8" s="29">
        <f t="shared" si="4"/>
        <v>193819760954.11249</v>
      </c>
      <c r="T8" s="29">
        <f t="shared" si="5"/>
        <v>-101933717180.92499</v>
      </c>
      <c r="U8" s="30">
        <f t="shared" si="6"/>
        <v>-1.9014293436400087</v>
      </c>
    </row>
    <row r="9" spans="2:21" ht="18" customHeight="1" x14ac:dyDescent="0.25">
      <c r="B9" s="31" t="str">
        <f>'Data Entry'!A9</f>
        <v xml:space="preserve">4. Cases Diverted </v>
      </c>
      <c r="C9" s="32">
        <f>'Data Entry'!C9</f>
        <v>401</v>
      </c>
      <c r="D9" s="33">
        <f>IF((AND(C68&gt;0,C9&gt;0)),((C9/C68)),0)</f>
        <v>63.650793650793652</v>
      </c>
      <c r="E9" s="32">
        <f>'Data Entry'!D9</f>
        <v>494</v>
      </c>
      <c r="F9" s="33">
        <f>IF((AND($E$9&gt;0,$D$68&gt;0)),(($E$9/$D$68)),0)</f>
        <v>56.136363636363633</v>
      </c>
      <c r="G9" s="38">
        <f t="shared" si="7"/>
        <v>0.88194287009748351</v>
      </c>
      <c r="H9" s="39"/>
      <c r="I9" s="40"/>
      <c r="J9" s="39">
        <f>IF((ABS($U9)&gt;Defaults!D$7),1,2)</f>
        <v>1</v>
      </c>
      <c r="K9" s="38">
        <f>IF((AND(N9&gt;Defaults!B$12,(N9+O9)&gt;Defaults!B$13, P9 &gt; Defaults!B$12, (P9+Q9) &gt; Defaults!B$13)),1,20)</f>
        <v>1</v>
      </c>
      <c r="L9" s="1">
        <f t="shared" si="8"/>
        <v>1</v>
      </c>
      <c r="M9" s="1" t="b">
        <f t="shared" si="0"/>
        <v>1</v>
      </c>
      <c r="N9" s="41">
        <f t="shared" si="1"/>
        <v>494</v>
      </c>
      <c r="O9" s="41">
        <f>(D$68*L68)-E9</f>
        <v>386.00000000000011</v>
      </c>
      <c r="P9" s="41">
        <f t="shared" si="2"/>
        <v>401</v>
      </c>
      <c r="Q9" s="41">
        <f>(C$68*L68)-C9</f>
        <v>229</v>
      </c>
      <c r="R9" s="41">
        <f t="shared" si="3"/>
        <v>1510</v>
      </c>
      <c r="S9" s="29">
        <f t="shared" si="4"/>
        <v>2620688956000.0073</v>
      </c>
      <c r="T9" s="29">
        <f t="shared" si="5"/>
        <v>305155620000.00012</v>
      </c>
      <c r="U9" s="30">
        <f t="shared" si="6"/>
        <v>8.588040934654936</v>
      </c>
    </row>
    <row r="10" spans="2:21" ht="18" customHeight="1" x14ac:dyDescent="0.25">
      <c r="B10" s="31" t="str">
        <f>'Data Entry'!A10</f>
        <v>5. Cases Involving Secure Detention</v>
      </c>
      <c r="C10" s="32">
        <f>'Data Entry'!C10</f>
        <v>158</v>
      </c>
      <c r="D10" s="33">
        <f>IF(((AND(C68&gt;0,C10&gt;0))),(C10/(C68)),0)</f>
        <v>25.079365079365079</v>
      </c>
      <c r="E10" s="32">
        <f>'Data Entry'!D10</f>
        <v>297</v>
      </c>
      <c r="F10" s="33">
        <f>IF(((AND($E$10&gt;0,$D$68&gt;0))),($E$10/($D$68)),0)</f>
        <v>33.75</v>
      </c>
      <c r="G10" s="38">
        <f t="shared" si="7"/>
        <v>1.3457278481012658</v>
      </c>
      <c r="H10" s="39"/>
      <c r="I10" s="40"/>
      <c r="J10" s="39">
        <f>IF((ABS($U10)&gt;Defaults!D$7),1,2)</f>
        <v>1</v>
      </c>
      <c r="K10" s="38">
        <f>IF((AND(N10&gt;Defaults!B$12,(N10+O10)&gt;Defaults!B$13, P10 &gt; Defaults!B$12, (P10+Q10) &gt; Defaults!B$13)),1,20)</f>
        <v>1</v>
      </c>
      <c r="L10" s="1">
        <f t="shared" si="8"/>
        <v>1</v>
      </c>
      <c r="M10" s="1" t="b">
        <f t="shared" si="0"/>
        <v>1</v>
      </c>
      <c r="N10" s="41">
        <f t="shared" si="1"/>
        <v>297</v>
      </c>
      <c r="O10" s="41">
        <f>(D$68*L68)-E10</f>
        <v>583.00000000000011</v>
      </c>
      <c r="P10" s="41">
        <f t="shared" si="2"/>
        <v>158</v>
      </c>
      <c r="Q10" s="41">
        <f>(C$68*L68)-C10</f>
        <v>472</v>
      </c>
      <c r="R10" s="41">
        <f t="shared" si="3"/>
        <v>1510</v>
      </c>
      <c r="S10" s="29">
        <f t="shared" si="4"/>
        <v>3489194598999.998</v>
      </c>
      <c r="T10" s="29">
        <f t="shared" si="5"/>
        <v>266125860000.00006</v>
      </c>
      <c r="U10" s="30">
        <f t="shared" si="6"/>
        <v>13.111069322612982</v>
      </c>
    </row>
    <row r="11" spans="2:21" ht="18" customHeight="1" x14ac:dyDescent="0.25">
      <c r="B11" s="31" t="str">
        <f>'Data Entry'!A11</f>
        <v>6. Cases Petitioned (Charge Filed)</v>
      </c>
      <c r="C11" s="32">
        <f>'Data Entry'!C11</f>
        <v>229</v>
      </c>
      <c r="D11" s="33">
        <f>IF(((AND(C68&gt;0,C11&gt;0))),(C11/(C68)),0)</f>
        <v>36.349206349206348</v>
      </c>
      <c r="E11" s="32">
        <f>'Data Entry'!D11</f>
        <v>386</v>
      </c>
      <c r="F11" s="33">
        <f>IF(((AND($E$11&gt;0,$D$68&gt;0))),($E$11/($D$68)),0)</f>
        <v>43.86363636363636</v>
      </c>
      <c r="G11" s="38">
        <f t="shared" si="7"/>
        <v>1.2067288606589917</v>
      </c>
      <c r="H11" s="39"/>
      <c r="I11" s="40"/>
      <c r="J11" s="39">
        <f>IF((ABS($U11)&gt;Defaults!D$7),1,2)</f>
        <v>1</v>
      </c>
      <c r="K11" s="38">
        <f>IF((AND(N11&gt;Defaults!B$12,(N11+O11)&gt;Defaults!B$13, P11 &gt; Defaults!B$12, (P11+Q11) &gt; Defaults!B$13)),1,20)</f>
        <v>1</v>
      </c>
      <c r="L11" s="1">
        <f t="shared" si="8"/>
        <v>1</v>
      </c>
      <c r="M11" s="1" t="b">
        <f t="shared" si="0"/>
        <v>1</v>
      </c>
      <c r="N11" s="41">
        <f t="shared" si="1"/>
        <v>386</v>
      </c>
      <c r="O11" s="41">
        <f>(D$68*L68)-E11</f>
        <v>494.00000000000011</v>
      </c>
      <c r="P11" s="41">
        <f t="shared" si="2"/>
        <v>229</v>
      </c>
      <c r="Q11" s="41">
        <f>(C$68*L68)-C11</f>
        <v>401</v>
      </c>
      <c r="R11" s="41">
        <f t="shared" si="3"/>
        <v>1510</v>
      </c>
      <c r="S11" s="29">
        <f t="shared" si="4"/>
        <v>2620688955999.9966</v>
      </c>
      <c r="T11" s="29">
        <f t="shared" si="5"/>
        <v>305155620000.00012</v>
      </c>
      <c r="U11" s="30">
        <f t="shared" si="6"/>
        <v>8.5880409346549005</v>
      </c>
    </row>
    <row r="12" spans="2:21" ht="18" customHeight="1" x14ac:dyDescent="0.25">
      <c r="B12" s="31" t="str">
        <f>'Data Entry'!A12</f>
        <v>7. Cases Resulting in Delinquent Findings</v>
      </c>
      <c r="C12" s="32">
        <f>'Data Entry'!C12</f>
        <v>105</v>
      </c>
      <c r="D12" s="33">
        <f>IF(((AND(C69&gt;0,C12&gt;0))),(C12/(C69)),0)</f>
        <v>45.851528384279476</v>
      </c>
      <c r="E12" s="32">
        <f>'Data Entry'!D12</f>
        <v>170</v>
      </c>
      <c r="F12" s="33">
        <f>IF(((AND($D$69&gt;0,$E$12&gt;0))),(E12/(D69)),0)</f>
        <v>44.041450777202073</v>
      </c>
      <c r="G12" s="38">
        <f t="shared" si="7"/>
        <v>0.96052306933135945</v>
      </c>
      <c r="H12" s="39"/>
      <c r="I12" s="40"/>
      <c r="J12" s="39">
        <f>IF((ABS($U12)&gt;Defaults!D$7),1,2)</f>
        <v>2</v>
      </c>
      <c r="K12" s="38">
        <f>IF((AND(N12&gt;Defaults!B$12,(N12+O12)&gt;Defaults!B$13, P12 &gt; Defaults!B$12, (P12+Q12) &gt; Defaults!B$13)),1,20)</f>
        <v>1</v>
      </c>
      <c r="L12" s="1">
        <f t="shared" si="8"/>
        <v>2</v>
      </c>
      <c r="M12" s="1" t="b">
        <f t="shared" si="0"/>
        <v>1</v>
      </c>
      <c r="N12" s="41">
        <f t="shared" si="1"/>
        <v>170</v>
      </c>
      <c r="O12" s="41">
        <f>(D69*L69)-E12</f>
        <v>216</v>
      </c>
      <c r="P12" s="41">
        <f t="shared" si="2"/>
        <v>105</v>
      </c>
      <c r="Q12" s="41">
        <f>(C69*L69)-C12</f>
        <v>124</v>
      </c>
      <c r="R12" s="41">
        <f t="shared" si="3"/>
        <v>615</v>
      </c>
      <c r="S12" s="29">
        <f t="shared" si="4"/>
        <v>1574400000</v>
      </c>
      <c r="T12" s="29">
        <f t="shared" si="5"/>
        <v>8264839000</v>
      </c>
      <c r="U12" s="30">
        <f t="shared" si="6"/>
        <v>0.19049372891595348</v>
      </c>
    </row>
    <row r="13" spans="2:21" ht="18" customHeight="1" x14ac:dyDescent="0.25">
      <c r="B13" s="31" t="str">
        <f>'Data Entry'!A13</f>
        <v>8. Cases Resulting in Probation Placement</v>
      </c>
      <c r="C13" s="32">
        <f>'Data Entry'!C13</f>
        <v>92</v>
      </c>
      <c r="D13" s="33">
        <f>IF(((AND(C70&gt;0,C13&gt;0))),(C13/(C70)),0)</f>
        <v>87.61904761904762</v>
      </c>
      <c r="E13" s="32">
        <f>'Data Entry'!D13</f>
        <v>117</v>
      </c>
      <c r="F13" s="33">
        <f>IF(((AND($D$70&gt;0,$E$13&gt;0))),($E$13/($D$70)),0)</f>
        <v>68.82352941176471</v>
      </c>
      <c r="G13" s="38">
        <f t="shared" si="7"/>
        <v>0.78548593350383633</v>
      </c>
      <c r="H13" s="39"/>
      <c r="I13" s="40"/>
      <c r="J13" s="39">
        <f>IF((ABS($U13)&gt;Defaults!D$7),1,2)</f>
        <v>1</v>
      </c>
      <c r="K13" s="38">
        <f>IF((AND(N13&gt;Defaults!B$12,(N13+O13)&gt;Defaults!B$13, P13 &gt; Defaults!B$12, (P13+Q13) &gt; Defaults!B$13)),1,20)</f>
        <v>1</v>
      </c>
      <c r="L13" s="1">
        <f t="shared" si="8"/>
        <v>1</v>
      </c>
      <c r="M13" s="1" t="b">
        <f t="shared" si="0"/>
        <v>1</v>
      </c>
      <c r="N13" s="41">
        <f t="shared" si="1"/>
        <v>117</v>
      </c>
      <c r="O13" s="41">
        <f>(D70*L70)-E13</f>
        <v>53</v>
      </c>
      <c r="P13" s="41">
        <f t="shared" si="2"/>
        <v>92</v>
      </c>
      <c r="Q13" s="41">
        <f>(C70*L70)-C13</f>
        <v>13</v>
      </c>
      <c r="R13" s="41">
        <f t="shared" si="3"/>
        <v>275</v>
      </c>
      <c r="S13" s="29">
        <f t="shared" si="4"/>
        <v>3095406875</v>
      </c>
      <c r="T13" s="29">
        <f t="shared" si="5"/>
        <v>246222900</v>
      </c>
      <c r="U13" s="30">
        <f t="shared" si="6"/>
        <v>12.571563713204579</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Entry'!D14</f>
        <v>17</v>
      </c>
      <c r="F14" s="33">
        <f>IF(((AND($D$70&gt;0,$E$14&gt;0))), (($E$14/($D$70))),0)</f>
        <v>10</v>
      </c>
      <c r="G14" s="38">
        <f t="shared" si="7"/>
        <v>1.05</v>
      </c>
      <c r="H14" s="39"/>
      <c r="I14" s="40"/>
      <c r="J14" s="39">
        <f>IF((ABS($U14)&gt;Defaults!D$7),1,2)</f>
        <v>2</v>
      </c>
      <c r="K14" s="38">
        <f>IF((AND(N14&gt;Defaults!B$12,(N14+O14)&gt;Defaults!B$13, P14 &gt; Defaults!B$12, (P14+Q14) &gt; Defaults!B$13)),1,20)</f>
        <v>1</v>
      </c>
      <c r="L14" s="1">
        <f t="shared" si="8"/>
        <v>2</v>
      </c>
      <c r="M14" s="1" t="b">
        <f t="shared" si="0"/>
        <v>1</v>
      </c>
      <c r="N14" s="41">
        <f t="shared" si="1"/>
        <v>17</v>
      </c>
      <c r="O14" s="41">
        <f>(D70*L70)-E14</f>
        <v>153</v>
      </c>
      <c r="P14" s="41">
        <f t="shared" si="2"/>
        <v>10</v>
      </c>
      <c r="Q14" s="41">
        <f>(C70*L70)-C14</f>
        <v>95</v>
      </c>
      <c r="R14" s="41">
        <f t="shared" si="3"/>
        <v>275</v>
      </c>
      <c r="S14" s="29">
        <f t="shared" si="4"/>
        <v>1986875</v>
      </c>
      <c r="T14" s="29">
        <f t="shared" si="5"/>
        <v>119523600</v>
      </c>
      <c r="U14" s="30">
        <f t="shared" si="6"/>
        <v>1.6623286112533425E-2</v>
      </c>
    </row>
    <row r="15" spans="2:21" ht="15.75" customHeight="1" x14ac:dyDescent="0.25">
      <c r="B15" s="31" t="str">
        <f>'Data Entry'!A15</f>
        <v xml:space="preserve">10. Cases Transferred to Adult Court </v>
      </c>
      <c r="C15" s="32">
        <f>'Data Entry'!C15</f>
        <v>0</v>
      </c>
      <c r="D15" s="33">
        <f>IF(((AND(C69&gt;0,C15&gt;0))),((C15/(C69))),0)</f>
        <v>0</v>
      </c>
      <c r="E15" s="32">
        <f>'Data Entry'!D15</f>
        <v>1</v>
      </c>
      <c r="F15" s="33">
        <f>IF(((AND($D$69&gt;0,$E$15&gt;0))),(($E$15/($D$69))),0)</f>
        <v>0.2590673575129534</v>
      </c>
      <c r="G15" s="38" t="str">
        <f t="shared" si="7"/>
        <v>**</v>
      </c>
      <c r="H15" s="39"/>
      <c r="I15" s="40"/>
      <c r="J15" s="39">
        <f>IF((ABS($U15)&gt;Defaults!D$7),1,2)</f>
        <v>2</v>
      </c>
      <c r="K15" s="38">
        <f>IF((AND(N15&gt;Defaults!B$12,(N15+O15)&gt;Defaults!B$13, P15 &gt; Defaults!B$12, (P15+Q15) &gt; Defaults!B$13)),1,20)</f>
        <v>20</v>
      </c>
      <c r="L15" s="1">
        <f t="shared" si="8"/>
        <v>40</v>
      </c>
      <c r="M15" s="1" t="b">
        <f t="shared" si="0"/>
        <v>1</v>
      </c>
      <c r="N15" s="41">
        <f t="shared" si="1"/>
        <v>1</v>
      </c>
      <c r="O15" s="41">
        <f>(D69*L69)-E15</f>
        <v>385</v>
      </c>
      <c r="P15" s="41">
        <f t="shared" si="2"/>
        <v>0</v>
      </c>
      <c r="Q15" s="41">
        <f>(C69*L69)-C15</f>
        <v>229</v>
      </c>
      <c r="R15" s="41">
        <f t="shared" si="3"/>
        <v>615</v>
      </c>
      <c r="S15" s="29">
        <f t="shared" si="4"/>
        <v>32251215</v>
      </c>
      <c r="T15" s="29">
        <f t="shared" si="5"/>
        <v>54273916</v>
      </c>
      <c r="U15" s="30">
        <f t="shared" si="6"/>
        <v>0.59423047712274901</v>
      </c>
    </row>
    <row r="16" spans="2:21" ht="12" customHeight="1" x14ac:dyDescent="0.25">
      <c r="B16" s="42" t="s">
        <v>51</v>
      </c>
      <c r="C16" s="43"/>
      <c r="D16" s="43"/>
      <c r="E16" s="43"/>
      <c r="F16" s="43"/>
      <c r="G16" s="43"/>
      <c r="H16" s="43"/>
      <c r="I16" s="43"/>
      <c r="N16" s="20"/>
      <c r="O16" s="20"/>
      <c r="P16" s="20"/>
      <c r="Q16" s="20"/>
      <c r="R16" s="20"/>
      <c r="S16" s="29"/>
      <c r="T16" s="29"/>
      <c r="U16" s="30"/>
    </row>
    <row r="17" spans="2:21" ht="12" customHeight="1" x14ac:dyDescent="0.25">
      <c r="B17" s="42"/>
      <c r="C17" s="43"/>
      <c r="D17" s="43"/>
      <c r="E17" s="43"/>
      <c r="F17" s="43"/>
      <c r="G17" s="43"/>
      <c r="H17" s="43"/>
      <c r="I17" s="43"/>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2" customHeight="1" x14ac:dyDescent="0.25">
      <c r="B24" s="42"/>
      <c r="C24" s="43"/>
      <c r="D24" s="43"/>
      <c r="E24" s="43"/>
      <c r="F24" s="43"/>
      <c r="G24" s="43"/>
      <c r="H24" s="43"/>
      <c r="I24" s="43"/>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1</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3.9620000000000002</v>
      </c>
      <c r="E42" s="55">
        <f>MAX(C42:D42)</f>
        <v>16.169</v>
      </c>
      <c r="G42" s="1" t="str">
        <f>B42</f>
        <v>per 1000 youth</v>
      </c>
      <c r="L42" s="56">
        <v>1000</v>
      </c>
      <c r="M42" s="56"/>
      <c r="R42" s="48"/>
    </row>
    <row r="43" spans="2:18" ht="15" hidden="1" customHeight="1" x14ac:dyDescent="0.25">
      <c r="B43" s="48" t="s">
        <v>88</v>
      </c>
      <c r="C43" s="55">
        <f>C7/100</f>
        <v>2.33</v>
      </c>
      <c r="D43" s="55">
        <f>E7/100</f>
        <v>2.95</v>
      </c>
      <c r="E43" s="55">
        <f>MAX(C43:D43,0)</f>
        <v>2.95</v>
      </c>
      <c r="G43" s="1" t="str">
        <f>B43</f>
        <v>per 100 arrests</v>
      </c>
      <c r="L43" s="56">
        <v>100</v>
      </c>
      <c r="M43" s="56"/>
      <c r="R43" s="48"/>
    </row>
    <row r="44" spans="2:18" ht="15" hidden="1" customHeight="1" x14ac:dyDescent="0.25">
      <c r="B44" s="48" t="s">
        <v>89</v>
      </c>
      <c r="C44" s="55">
        <f>C8/100</f>
        <v>6.3</v>
      </c>
      <c r="D44" s="55">
        <f>E8/100</f>
        <v>8.8000000000000007</v>
      </c>
      <c r="E44" s="55">
        <f>MAX(C44:D44,0)</f>
        <v>8.8000000000000007</v>
      </c>
      <c r="G44" s="1" t="str">
        <f>B44</f>
        <v>per 100 referrals</v>
      </c>
      <c r="L44" s="56">
        <v>100</v>
      </c>
      <c r="M44" s="56"/>
      <c r="R44" s="48"/>
    </row>
    <row r="45" spans="2:18" ht="15" hidden="1" customHeight="1" x14ac:dyDescent="0.25">
      <c r="B45" s="48" t="s">
        <v>90</v>
      </c>
      <c r="C45" s="48">
        <f>C11/100</f>
        <v>2.29</v>
      </c>
      <c r="D45" s="48">
        <f>E11/100</f>
        <v>3.86</v>
      </c>
      <c r="E45" s="55">
        <f>MAX(C45:D45,0)</f>
        <v>3.86</v>
      </c>
      <c r="G45" s="1" t="str">
        <f>B45</f>
        <v>per 100 youth petitioned</v>
      </c>
      <c r="L45" s="56">
        <v>100</v>
      </c>
      <c r="M45" s="56"/>
      <c r="R45" s="48"/>
    </row>
    <row r="46" spans="2:18" ht="15" hidden="1" customHeight="1" x14ac:dyDescent="0.25">
      <c r="B46" s="48" t="s">
        <v>91</v>
      </c>
      <c r="C46" s="48">
        <f>C12/100</f>
        <v>1.05</v>
      </c>
      <c r="D46" s="48">
        <f>E12/100</f>
        <v>1.7</v>
      </c>
      <c r="E46" s="55">
        <f>MAX(C46:D46)</f>
        <v>1.7</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3.9620000000000002</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IF(($E43&gt;0),C43,C42)</f>
        <v>2.33</v>
      </c>
      <c r="D49" s="48">
        <f t="shared" si="9"/>
        <v>2.95</v>
      </c>
      <c r="E49" s="48">
        <f>MAX(C49:D49)</f>
        <v>2.95</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8.8000000000000007</v>
      </c>
      <c r="E50" s="48">
        <f>MAX(C50:D50)</f>
        <v>8.8000000000000007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3.86</v>
      </c>
      <c r="E51" s="48">
        <f>MAX(C51:D51)</f>
        <v>3.86</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1.7</v>
      </c>
      <c r="E52" s="55">
        <f>MAX(C52:D52)</f>
        <v>1.7</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3.9620000000000002</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2.95</v>
      </c>
      <c r="E55" s="48">
        <f>MAX(C55:D55)</f>
        <v>2.95</v>
      </c>
      <c r="G55" s="1" t="str">
        <f>G49</f>
        <v>per 100 arrests</v>
      </c>
      <c r="L55" s="57">
        <f>IF(($E49&gt;0),L49,L48)</f>
        <v>100</v>
      </c>
      <c r="M55" s="57"/>
    </row>
    <row r="56" spans="2:18" ht="15" hidden="1" customHeight="1" x14ac:dyDescent="0.25">
      <c r="B56" s="48" t="str">
        <f t="shared" si="10"/>
        <v>per 100 referrals</v>
      </c>
      <c r="C56" s="48">
        <f t="shared" si="10"/>
        <v>6.3</v>
      </c>
      <c r="D56" s="48">
        <f t="shared" si="10"/>
        <v>8.8000000000000007</v>
      </c>
      <c r="E56" s="48">
        <f>MAX(C56:D56)</f>
        <v>8.8000000000000007</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3.86</v>
      </c>
      <c r="E57" s="48">
        <f>MAX(C57:D57)</f>
        <v>3.86</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1.7</v>
      </c>
      <c r="E58" s="55">
        <f>MAX(C58:D58)</f>
        <v>1.7</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3.9620000000000002</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2.95</v>
      </c>
      <c r="E61" s="48">
        <f>MAX(C61:D61)</f>
        <v>2.95</v>
      </c>
      <c r="G61" s="1" t="str">
        <f>G55</f>
        <v>per 100 arrests</v>
      </c>
      <c r="L61" s="57">
        <f>IF(($E55&gt;0),L55,L54)</f>
        <v>100</v>
      </c>
      <c r="M61" s="57"/>
    </row>
    <row r="62" spans="2:18" ht="15" hidden="1" customHeight="1" x14ac:dyDescent="0.25">
      <c r="B62" s="48" t="str">
        <f t="shared" si="11"/>
        <v>per 100 referrals</v>
      </c>
      <c r="C62" s="48">
        <f t="shared" si="11"/>
        <v>6.3</v>
      </c>
      <c r="D62" s="48">
        <f t="shared" si="11"/>
        <v>8.8000000000000007</v>
      </c>
      <c r="E62" s="48">
        <f>MAX(C62:D62)</f>
        <v>8.8000000000000007</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3.86</v>
      </c>
      <c r="E63" s="48">
        <f>MAX(C63:D63)</f>
        <v>3.86</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1.7</v>
      </c>
      <c r="E64" s="55">
        <f>MAX(C64:D64)</f>
        <v>1.7</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3.9620000000000002</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2.95</v>
      </c>
      <c r="E67" s="48">
        <f>MAX(C67:D67)</f>
        <v>2.95</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8.8000000000000007</v>
      </c>
      <c r="E68" s="48">
        <f>MAX(C68:D68)</f>
        <v>8.8000000000000007</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3.86</v>
      </c>
      <c r="E69" s="48">
        <f>MAX(C69:D69)</f>
        <v>3.86</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1.7</v>
      </c>
      <c r="E70" s="55">
        <f>MAX(C70:D70)</f>
        <v>1.7</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2" width="0" style="1" hidden="1" customWidth="1"/>
  </cols>
  <sheetData>
    <row r="1" spans="2:21" ht="27.75" customHeight="1" x14ac:dyDescent="0.25">
      <c r="B1" s="15" t="s">
        <v>29</v>
      </c>
      <c r="D1" s="19" t="s">
        <v>30</v>
      </c>
      <c r="E1" s="13"/>
      <c r="F1" s="212" t="str">
        <f>'Data Entry'!F5</f>
        <v>Asian</v>
      </c>
      <c r="G1" s="212"/>
      <c r="H1" s="212"/>
      <c r="I1" s="212"/>
      <c r="J1" s="212"/>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Kalamazoo</v>
      </c>
      <c r="C3" s="21"/>
      <c r="D3" s="21"/>
      <c r="E3" s="21"/>
      <c r="F3" s="21"/>
      <c r="G3" s="7"/>
      <c r="H3" s="7"/>
      <c r="I3" s="7"/>
      <c r="J3" s="7"/>
      <c r="K3" s="7"/>
      <c r="N3" s="211" t="s">
        <v>31</v>
      </c>
      <c r="O3" s="211"/>
      <c r="P3" s="211"/>
      <c r="Q3" s="211"/>
      <c r="R3" s="211"/>
      <c r="S3" s="211"/>
      <c r="T3" s="211"/>
      <c r="U3" s="211"/>
    </row>
    <row r="4" spans="2:21" ht="8.2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Entry'!F6</f>
        <v>615</v>
      </c>
      <c r="F6" s="33"/>
      <c r="G6" s="34"/>
      <c r="H6" s="35"/>
      <c r="I6" s="36"/>
      <c r="J6" s="37"/>
      <c r="K6" s="36"/>
      <c r="L6" s="1">
        <f>IF( ('Data Entry'!F6&gt;('Data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Entry'!F7</f>
        <v>2</v>
      </c>
      <c r="F7" s="33">
        <f>IF((AND($E$7&gt;0,$D$66&gt;0)),($E$7/$D$66),0)</f>
        <v>3.2520325203252032</v>
      </c>
      <c r="G7" s="38" t="str">
        <f t="shared" ref="G7:G15" si="0">IF(L$6=100,"*",IF(M7=FALSE,"--",IF(K7=20,"**",($F7/$D7))))</f>
        <v>**</v>
      </c>
      <c r="H7" s="39"/>
      <c r="I7" s="40"/>
      <c r="J7" s="39">
        <f>IF((ABS($U7)&gt;Defaults!D$7),1,2)</f>
        <v>1</v>
      </c>
      <c r="K7" s="38">
        <f>IF((AND(N7&gt;Defaults!B$12,(N7+O7)&gt;Defaults!B$13, P7 &gt; Defaults!B$12, (P7+Q7) &gt; Defaults!B$13)),1,20)</f>
        <v>20</v>
      </c>
      <c r="L7" s="1">
        <f t="shared" ref="L7:L15" si="1">(J7*K7+L$6)-1</f>
        <v>20</v>
      </c>
      <c r="M7" s="1" t="b">
        <f t="shared" ref="M7:M15" si="2">(ISNUMBER(J7))</f>
        <v>1</v>
      </c>
      <c r="N7" s="41">
        <f t="shared" ref="N7:N15" si="3">E7</f>
        <v>2</v>
      </c>
      <c r="O7" s="41">
        <f>E6-E7</f>
        <v>613</v>
      </c>
      <c r="P7" s="41">
        <f t="shared" ref="P7:P15" si="4">C7</f>
        <v>233</v>
      </c>
      <c r="Q7" s="41">
        <f>C6-C7</f>
        <v>15936</v>
      </c>
      <c r="R7" s="41">
        <f t="shared" ref="R7:R15" si="5">SUM(N7:Q7)</f>
        <v>16784</v>
      </c>
      <c r="S7" s="29">
        <f t="shared" ref="S7:S15" si="6">R7*((((N7*Q7)-(O7*P7))^2))</f>
        <v>206635474969616</v>
      </c>
      <c r="T7" s="29">
        <f t="shared" ref="T7:T15" si="7">(N7+O7)*(P7+Q7)*(N7+P7)*(O7+Q7)</f>
        <v>38672112374025</v>
      </c>
      <c r="U7" s="30">
        <f t="shared" ref="U7:U15" si="8">IF((S7&gt;0),S7/T7,"- -")</f>
        <v>5.3432683731134221</v>
      </c>
    </row>
    <row r="8" spans="2:21" ht="18" customHeight="1" x14ac:dyDescent="0.25">
      <c r="B8" s="31" t="str">
        <f>'Data Entry'!A8</f>
        <v>3. Refer to Juvenile Court</v>
      </c>
      <c r="C8" s="32">
        <f>'Data Entry'!C8</f>
        <v>630</v>
      </c>
      <c r="D8" s="33">
        <f>IF((AND(C67&gt;0,C8&gt;0)),(C8/C67),0)</f>
        <v>270.38626609442059</v>
      </c>
      <c r="E8" s="32">
        <f>'Data Entry'!F8</f>
        <v>0</v>
      </c>
      <c r="F8" s="33">
        <f>IF((AND($E$8&gt;0,$D$67&gt;0)),($E8/$D67),0)</f>
        <v>0</v>
      </c>
      <c r="G8" s="38" t="str">
        <f t="shared" si="0"/>
        <v>**</v>
      </c>
      <c r="H8" s="39"/>
      <c r="I8" s="40"/>
      <c r="J8" s="39">
        <f>IF((ABS($U8)&gt;Defaults!D$7),1,2)</f>
        <v>2</v>
      </c>
      <c r="K8" s="38">
        <f>IF((AND(N8&gt;Defaults!B$12,(N8+O8)&gt;Defaults!B$13, P8 &gt; Defaults!B$12, (P8+Q8) &gt; Defaults!B$13)),1,20)</f>
        <v>20</v>
      </c>
      <c r="L8" s="1">
        <f t="shared" si="1"/>
        <v>40</v>
      </c>
      <c r="M8" s="1" t="b">
        <f t="shared" si="2"/>
        <v>1</v>
      </c>
      <c r="N8" s="41">
        <f t="shared" si="3"/>
        <v>0</v>
      </c>
      <c r="O8" s="41">
        <f>((D67*L67)-E8)+0.05</f>
        <v>2.0499999999999998</v>
      </c>
      <c r="P8" s="41">
        <f t="shared" si="4"/>
        <v>630</v>
      </c>
      <c r="Q8" s="41">
        <f>(C$67*L67)-C8</f>
        <v>-397</v>
      </c>
      <c r="R8" s="41">
        <f t="shared" si="5"/>
        <v>235.04999999999995</v>
      </c>
      <c r="S8" s="29">
        <f t="shared" si="6"/>
        <v>392056877.36249995</v>
      </c>
      <c r="T8" s="29">
        <f t="shared" si="7"/>
        <v>-118848156.52499999</v>
      </c>
      <c r="U8" s="30">
        <f t="shared" si="8"/>
        <v>-3.29880486854695</v>
      </c>
    </row>
    <row r="9" spans="2:21" ht="18" customHeight="1" x14ac:dyDescent="0.25">
      <c r="B9" s="31" t="str">
        <f>'Data Entry'!A9</f>
        <v xml:space="preserve">4. Cases Diverted </v>
      </c>
      <c r="C9" s="32">
        <f>'Data Entry'!C9</f>
        <v>401</v>
      </c>
      <c r="D9" s="33">
        <f>IF((AND(C68&gt;0,C9&gt;0)),((C9/C68)),0)</f>
        <v>63.650793650793652</v>
      </c>
      <c r="E9" s="32">
        <f>'Data Entry'!F9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401</v>
      </c>
      <c r="Q9" s="41">
        <f>(C$68*L68)-C9</f>
        <v>229</v>
      </c>
      <c r="R9" s="41">
        <f t="shared" si="5"/>
        <v>630</v>
      </c>
      <c r="S9" s="29">
        <f t="shared" si="6"/>
        <v>0</v>
      </c>
      <c r="T9" s="29">
        <f t="shared" si="7"/>
        <v>0</v>
      </c>
      <c r="U9" s="30" t="str">
        <f t="shared" si="8"/>
        <v>- -</v>
      </c>
    </row>
    <row r="10" spans="2:21" ht="18" customHeight="1" x14ac:dyDescent="0.25">
      <c r="B10" s="31" t="str">
        <f>'Data Entry'!A10</f>
        <v>5. Cases Involving Secure Detention</v>
      </c>
      <c r="C10" s="32">
        <f>'Data Entry'!C10</f>
        <v>158</v>
      </c>
      <c r="D10" s="33">
        <f>IF(((AND(C68&gt;0,C10&gt;0))),(C10/(C68)),0)</f>
        <v>25.079365079365079</v>
      </c>
      <c r="E10" s="32">
        <f>'Data Entry'!F10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158</v>
      </c>
      <c r="Q10" s="41">
        <f>(C$68*L68)-C10</f>
        <v>472</v>
      </c>
      <c r="R10" s="41">
        <f t="shared" si="5"/>
        <v>630</v>
      </c>
      <c r="S10" s="29">
        <f t="shared" si="6"/>
        <v>0</v>
      </c>
      <c r="T10" s="29">
        <f t="shared" si="7"/>
        <v>0</v>
      </c>
      <c r="U10" s="30" t="str">
        <f t="shared" si="8"/>
        <v>- -</v>
      </c>
    </row>
    <row r="11" spans="2:21" ht="18" customHeight="1" x14ac:dyDescent="0.25">
      <c r="B11" s="31" t="str">
        <f>'Data Entry'!A11</f>
        <v>6. Cases Petitioned (Charge Filed)</v>
      </c>
      <c r="C11" s="32">
        <f>'Data Entry'!C11</f>
        <v>229</v>
      </c>
      <c r="D11" s="33">
        <f>IF(((AND(C68&gt;0,C11&gt;0))),(C11/(C68)),0)</f>
        <v>36.349206349206348</v>
      </c>
      <c r="E11" s="32">
        <f>'Data Entry'!F11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229</v>
      </c>
      <c r="Q11" s="41">
        <f>(C$68*L68)-C11</f>
        <v>401</v>
      </c>
      <c r="R11" s="41">
        <f t="shared" si="5"/>
        <v>630</v>
      </c>
      <c r="S11" s="29">
        <f t="shared" si="6"/>
        <v>0</v>
      </c>
      <c r="T11" s="29">
        <f t="shared" si="7"/>
        <v>0</v>
      </c>
      <c r="U11" s="30" t="str">
        <f t="shared" si="8"/>
        <v>- -</v>
      </c>
    </row>
    <row r="12" spans="2:21" ht="18" customHeight="1" x14ac:dyDescent="0.25">
      <c r="B12" s="31" t="str">
        <f>'Data Entry'!A12</f>
        <v>7. Cases Resulting in Delinquent Findings</v>
      </c>
      <c r="C12" s="32">
        <f>'Data Entry'!C12</f>
        <v>105</v>
      </c>
      <c r="D12" s="33">
        <f>IF(((AND(C69&gt;0,C12&gt;0))),(C12/(C69)),0)</f>
        <v>45.851528384279476</v>
      </c>
      <c r="E12" s="32">
        <f>'Data Entry'!F12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105</v>
      </c>
      <c r="Q12" s="41">
        <f>(C69*L69)-C12</f>
        <v>124</v>
      </c>
      <c r="R12" s="41">
        <f t="shared" si="5"/>
        <v>229</v>
      </c>
      <c r="S12" s="29">
        <f t="shared" si="6"/>
        <v>0</v>
      </c>
      <c r="T12" s="29">
        <f t="shared" si="7"/>
        <v>0</v>
      </c>
      <c r="U12" s="30" t="str">
        <f t="shared" si="8"/>
        <v>- -</v>
      </c>
    </row>
    <row r="13" spans="2:21" ht="18" customHeight="1" x14ac:dyDescent="0.25">
      <c r="B13" s="31" t="str">
        <f>'Data Entry'!A13</f>
        <v>8. Cases Resulting in Probation Placement</v>
      </c>
      <c r="C13" s="32">
        <f>'Data Entry'!C13</f>
        <v>92</v>
      </c>
      <c r="D13" s="33">
        <f>IF(((AND(C70&gt;0,C13&gt;0))),(C13/(C70)),0)</f>
        <v>87.61904761904762</v>
      </c>
      <c r="E13" s="32">
        <f>'Data Entry'!F13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92</v>
      </c>
      <c r="Q13" s="41">
        <f>(C70*L70)-C13</f>
        <v>13</v>
      </c>
      <c r="R13" s="41">
        <f t="shared" si="5"/>
        <v>105</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Entry'!F14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10</v>
      </c>
      <c r="Q14" s="41">
        <f>(C70*L70)-C14</f>
        <v>95</v>
      </c>
      <c r="R14" s="41">
        <f t="shared" si="5"/>
        <v>105</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Entry'!F15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229</v>
      </c>
      <c r="R15" s="41">
        <f t="shared" si="5"/>
        <v>229</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0.61499999999999999</v>
      </c>
      <c r="E42" s="55">
        <f>MAX(C42:D42)</f>
        <v>16.169</v>
      </c>
      <c r="G42" s="1" t="str">
        <f>B42</f>
        <v>per 1000 youth</v>
      </c>
      <c r="L42" s="56">
        <v>1000</v>
      </c>
      <c r="M42" s="56"/>
      <c r="R42" s="48"/>
    </row>
    <row r="43" spans="2:18" ht="15" hidden="1" customHeight="1" x14ac:dyDescent="0.25">
      <c r="B43" s="48" t="s">
        <v>88</v>
      </c>
      <c r="C43" s="55">
        <f>C7/100</f>
        <v>2.33</v>
      </c>
      <c r="D43" s="55">
        <f>E7/100</f>
        <v>0.02</v>
      </c>
      <c r="E43" s="55">
        <f>MAX(C43:D43,0)</f>
        <v>2.33</v>
      </c>
      <c r="G43" s="1" t="str">
        <f>B43</f>
        <v>per 100 arrests</v>
      </c>
      <c r="L43" s="56">
        <v>100</v>
      </c>
      <c r="M43" s="56"/>
      <c r="R43" s="48"/>
    </row>
    <row r="44" spans="2:18" ht="15" hidden="1" customHeight="1" x14ac:dyDescent="0.25">
      <c r="B44" s="48" t="s">
        <v>89</v>
      </c>
      <c r="C44" s="55">
        <f>C8/100</f>
        <v>6.3</v>
      </c>
      <c r="D44" s="55">
        <f>E8/100</f>
        <v>0</v>
      </c>
      <c r="E44" s="55">
        <f>MAX(C44:D44,0)</f>
        <v>6.3</v>
      </c>
      <c r="G44" s="1" t="str">
        <f>B44</f>
        <v>per 100 referrals</v>
      </c>
      <c r="L44" s="56">
        <v>100</v>
      </c>
      <c r="M44" s="56"/>
      <c r="R44" s="48"/>
    </row>
    <row r="45" spans="2:18" ht="15" hidden="1" customHeight="1" x14ac:dyDescent="0.25">
      <c r="B45" s="48" t="s">
        <v>90</v>
      </c>
      <c r="C45" s="48">
        <f>C11/100</f>
        <v>2.29</v>
      </c>
      <c r="D45" s="48">
        <f>E11/100</f>
        <v>0</v>
      </c>
      <c r="E45" s="55">
        <f>MAX(C45:D45,0)</f>
        <v>2.29</v>
      </c>
      <c r="G45" s="1" t="str">
        <f>B45</f>
        <v>per 100 youth petitioned</v>
      </c>
      <c r="L45" s="56">
        <v>100</v>
      </c>
      <c r="M45" s="56"/>
      <c r="R45" s="48"/>
    </row>
    <row r="46" spans="2:18" ht="15" hidden="1" customHeight="1" x14ac:dyDescent="0.25">
      <c r="B46" s="48" t="s">
        <v>91</v>
      </c>
      <c r="C46" s="48">
        <f>C12/100</f>
        <v>1.05</v>
      </c>
      <c r="D46" s="48">
        <f>E12/100</f>
        <v>0</v>
      </c>
      <c r="E46" s="55">
        <f>MAX(C46:D46)</f>
        <v>1.05</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0.61499999999999999</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2.33</v>
      </c>
      <c r="D49" s="48">
        <f t="shared" si="9"/>
        <v>0.02</v>
      </c>
      <c r="E49" s="48">
        <f>MAX(C49:D49)</f>
        <v>2.33</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0</v>
      </c>
      <c r="E50" s="48">
        <f>MAX(C50:D50)</f>
        <v>6.3</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0</v>
      </c>
      <c r="E51" s="48">
        <f>MAX(C51:D51)</f>
        <v>2.29</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0</v>
      </c>
      <c r="E52" s="55">
        <f>MAX(C52:D52)</f>
        <v>1.05</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0.61499999999999999</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0.02</v>
      </c>
      <c r="E55" s="48">
        <f>MAX(C55:D55)</f>
        <v>2.33</v>
      </c>
      <c r="G55" s="1" t="str">
        <f>G49</f>
        <v>per 100 arrests</v>
      </c>
      <c r="L55" s="57">
        <f>IF(($E49&gt;0),L49,L48)</f>
        <v>100</v>
      </c>
      <c r="M55" s="57"/>
    </row>
    <row r="56" spans="2:18" ht="15" hidden="1" customHeight="1" x14ac:dyDescent="0.25">
      <c r="B56" s="48" t="str">
        <f t="shared" si="10"/>
        <v>per 100 referrals</v>
      </c>
      <c r="C56" s="48">
        <f t="shared" si="10"/>
        <v>6.3</v>
      </c>
      <c r="D56" s="48">
        <f t="shared" si="10"/>
        <v>0</v>
      </c>
      <c r="E56" s="48">
        <f>MAX(C56:D56)</f>
        <v>6.3</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0</v>
      </c>
      <c r="E57" s="48">
        <f>MAX(C57:D57)</f>
        <v>2.29</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0</v>
      </c>
      <c r="E58" s="55">
        <f>MAX(C58:D58)</f>
        <v>1.05</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0.61499999999999999</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0.02</v>
      </c>
      <c r="E61" s="48">
        <f>MAX(C61:D61)</f>
        <v>2.33</v>
      </c>
      <c r="G61" s="1" t="str">
        <f>G55</f>
        <v>per 100 arrests</v>
      </c>
      <c r="L61" s="57">
        <f>IF(($E55&gt;0),L55,L54)</f>
        <v>100</v>
      </c>
      <c r="M61" s="57"/>
    </row>
    <row r="62" spans="2:18" ht="15" hidden="1" customHeight="1" x14ac:dyDescent="0.25">
      <c r="B62" s="48" t="str">
        <f t="shared" si="11"/>
        <v>per 100 referrals</v>
      </c>
      <c r="C62" s="48">
        <f t="shared" si="11"/>
        <v>6.3</v>
      </c>
      <c r="D62" s="48">
        <f t="shared" si="11"/>
        <v>0</v>
      </c>
      <c r="E62" s="48">
        <f>MAX(C62:D62)</f>
        <v>6.3</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0</v>
      </c>
      <c r="E63" s="48">
        <f>MAX(C63:D63)</f>
        <v>2.29</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0</v>
      </c>
      <c r="E64" s="55">
        <f>MAX(C64:D64)</f>
        <v>1.05</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0.61499999999999999</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0.02</v>
      </c>
      <c r="E67" s="48">
        <f>MAX(C67:D67)</f>
        <v>2.33</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0</v>
      </c>
      <c r="E68" s="48">
        <f>MAX(C68:D68)</f>
        <v>6.3</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0</v>
      </c>
      <c r="E69" s="48">
        <f>MAX(C69:D69)</f>
        <v>2.29</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0</v>
      </c>
      <c r="E70" s="55">
        <f>MAX(C70:D70)</f>
        <v>1.05</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s>
  <sheetData>
    <row r="1" spans="2:21" ht="27.75" customHeight="1" x14ac:dyDescent="0.25">
      <c r="B1" s="15" t="s">
        <v>29</v>
      </c>
      <c r="D1" s="19" t="s">
        <v>30</v>
      </c>
      <c r="E1" s="13"/>
      <c r="F1" s="212" t="str">
        <f>'Data Entry'!E5</f>
        <v>Hispanic or Latino</v>
      </c>
      <c r="G1" s="212"/>
      <c r="H1" s="212"/>
      <c r="I1" s="212"/>
      <c r="J1" s="212"/>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Kalamazoo</v>
      </c>
      <c r="C3" s="21"/>
      <c r="D3" s="21"/>
      <c r="E3" s="21"/>
      <c r="F3" s="21"/>
      <c r="G3" s="7"/>
      <c r="H3" s="7"/>
      <c r="I3" s="7"/>
      <c r="J3" s="7"/>
      <c r="K3" s="7"/>
      <c r="N3" s="211" t="s">
        <v>31</v>
      </c>
      <c r="O3" s="211"/>
      <c r="P3" s="211"/>
      <c r="Q3" s="211"/>
      <c r="R3" s="211"/>
      <c r="S3" s="211"/>
      <c r="T3" s="211"/>
      <c r="U3" s="211"/>
    </row>
    <row r="4" spans="2:21" ht="24.7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Entry'!E6</f>
        <v>1402</v>
      </c>
      <c r="F6" s="33"/>
      <c r="G6" s="34"/>
      <c r="H6" s="35"/>
      <c r="I6" s="36"/>
      <c r="J6" s="37"/>
      <c r="K6" s="36"/>
      <c r="L6" s="1">
        <f>IF( ('Data Entry'!E6&gt;('Data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Entry'!E7</f>
        <v>7</v>
      </c>
      <c r="F7" s="33">
        <f>IF((AND($E$7&gt;0,$D$66&gt;0)),($E$7/$D$66),0)</f>
        <v>4.9928673323823114</v>
      </c>
      <c r="G7" s="38">
        <f t="shared" ref="G7:G15" si="0">IF(L$6=100,"*",IF(M7=FALSE,"--",IF(K7=20,"**",($F7/$D7))))</f>
        <v>0.3464792785291399</v>
      </c>
      <c r="H7" s="39"/>
      <c r="I7" s="40"/>
      <c r="J7" s="39">
        <f>IF((ABS($U7)&gt;Defaults!D$7),1,2)</f>
        <v>1</v>
      </c>
      <c r="K7" s="38">
        <f>IF((AND(N7&gt;Defaults!B$12,(N7+O7)&gt;Defaults!B$13, P7 &gt; Defaults!B$12, (P7+Q7) &gt; Defaults!B$13)),1,20)</f>
        <v>1</v>
      </c>
      <c r="L7" s="1">
        <f t="shared" ref="L7:L15" si="1">(J7*K7+L$6)-1</f>
        <v>1</v>
      </c>
      <c r="M7" s="1" t="b">
        <f t="shared" ref="M7:M15" si="2">(ISNUMBER(J7))</f>
        <v>1</v>
      </c>
      <c r="N7" s="41">
        <f t="shared" ref="N7:N15" si="3">E7</f>
        <v>7</v>
      </c>
      <c r="O7" s="41">
        <f>E6-E7</f>
        <v>1395</v>
      </c>
      <c r="P7" s="41">
        <f t="shared" ref="P7:P15" si="4">C7</f>
        <v>233</v>
      </c>
      <c r="Q7" s="41">
        <f>C6-C7</f>
        <v>15936</v>
      </c>
      <c r="R7" s="41">
        <f t="shared" ref="R7:R15" si="5">SUM(N7:Q7)</f>
        <v>17571</v>
      </c>
      <c r="S7" s="29">
        <f t="shared" ref="S7:S15" si="6">R7*((((N7*Q7)-(O7*P7))^2))</f>
        <v>800798171939019</v>
      </c>
      <c r="T7" s="29">
        <f t="shared" ref="T7:T15" si="7">(N7+O7)*(P7+Q7)*(N7+P7)*(O7+Q7)</f>
        <v>94290087474720</v>
      </c>
      <c r="U7" s="30">
        <f t="shared" ref="U7:U15" si="8">IF((S7&gt;0),S7/T7,"- -")</f>
        <v>8.4929200235785132</v>
      </c>
    </row>
    <row r="8" spans="2:21" ht="18" customHeight="1" x14ac:dyDescent="0.25">
      <c r="B8" s="31" t="str">
        <f>'Data Entry'!A8</f>
        <v>3. Refer to Juvenile Court</v>
      </c>
      <c r="C8" s="32">
        <f>'Data Entry'!C8</f>
        <v>630</v>
      </c>
      <c r="D8" s="33">
        <f>IF((AND(C67&gt;0,C8&gt;0)),(C8/C67),0)</f>
        <v>270.38626609442059</v>
      </c>
      <c r="E8" s="32">
        <f>'Data Entry'!E8</f>
        <v>0</v>
      </c>
      <c r="F8" s="33">
        <f>IF((AND($E$8&gt;0,$D$67&gt;0)),($E8/$D67),0)</f>
        <v>0</v>
      </c>
      <c r="G8" s="38" t="str">
        <f t="shared" si="0"/>
        <v>**</v>
      </c>
      <c r="H8" s="39"/>
      <c r="I8" s="40"/>
      <c r="J8" s="39">
        <f>IF((ABS($U8)&gt;Defaults!D$7),1,2)</f>
        <v>1</v>
      </c>
      <c r="K8" s="38">
        <f>IF((AND(N8&gt;Defaults!B$12,(N8+O8)&gt;Defaults!B$13, P8 &gt; Defaults!B$12, (P8+Q8) &gt; Defaults!B$13)),1,20)</f>
        <v>20</v>
      </c>
      <c r="L8" s="1">
        <f t="shared" si="1"/>
        <v>20</v>
      </c>
      <c r="M8" s="1" t="b">
        <f t="shared" si="2"/>
        <v>1</v>
      </c>
      <c r="N8" s="41">
        <f t="shared" si="3"/>
        <v>0</v>
      </c>
      <c r="O8" s="41">
        <f>((D67*L67)-E8)+0.05</f>
        <v>7.0500000000000007</v>
      </c>
      <c r="P8" s="41">
        <f t="shared" si="4"/>
        <v>630</v>
      </c>
      <c r="Q8" s="41">
        <f>(C$67*L67)-C8</f>
        <v>-397</v>
      </c>
      <c r="R8" s="41">
        <f t="shared" si="5"/>
        <v>240.04999999999995</v>
      </c>
      <c r="S8" s="29">
        <f t="shared" si="6"/>
        <v>4735447686.1124992</v>
      </c>
      <c r="T8" s="29">
        <f t="shared" si="7"/>
        <v>-403547361.52499998</v>
      </c>
      <c r="U8" s="30">
        <f t="shared" si="8"/>
        <v>-11.734552465458595</v>
      </c>
    </row>
    <row r="9" spans="2:21" ht="18" customHeight="1" x14ac:dyDescent="0.25">
      <c r="B9" s="31" t="str">
        <f>'Data Entry'!A9</f>
        <v xml:space="preserve">4. Cases Diverted </v>
      </c>
      <c r="C9" s="32">
        <f>'Data Entry'!C9</f>
        <v>401</v>
      </c>
      <c r="D9" s="33">
        <f>IF((AND(C68&gt;0,C9&gt;0)),((C9/C68)),0)</f>
        <v>63.650793650793652</v>
      </c>
      <c r="E9" s="32">
        <f>'Data Entry'!E9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401</v>
      </c>
      <c r="Q9" s="41">
        <f>(C$68*L68)-C9</f>
        <v>229</v>
      </c>
      <c r="R9" s="41">
        <f t="shared" si="5"/>
        <v>630</v>
      </c>
      <c r="S9" s="29">
        <f t="shared" si="6"/>
        <v>0</v>
      </c>
      <c r="T9" s="29">
        <f t="shared" si="7"/>
        <v>0</v>
      </c>
      <c r="U9" s="30" t="str">
        <f t="shared" si="8"/>
        <v>- -</v>
      </c>
    </row>
    <row r="10" spans="2:21" ht="18" customHeight="1" x14ac:dyDescent="0.25">
      <c r="B10" s="31" t="str">
        <f>'Data Entry'!A10</f>
        <v>5. Cases Involving Secure Detention</v>
      </c>
      <c r="C10" s="32">
        <f>'Data Entry'!C10</f>
        <v>158</v>
      </c>
      <c r="D10" s="33">
        <f>IF(((AND(C68&gt;0,C10&gt;0))),(C10/(C68)),0)</f>
        <v>25.079365079365079</v>
      </c>
      <c r="E10" s="32">
        <f>'Data Entry'!E10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158</v>
      </c>
      <c r="Q10" s="41">
        <f>(C$68*L68)-C10</f>
        <v>472</v>
      </c>
      <c r="R10" s="41">
        <f t="shared" si="5"/>
        <v>630</v>
      </c>
      <c r="S10" s="29">
        <f t="shared" si="6"/>
        <v>0</v>
      </c>
      <c r="T10" s="29">
        <f t="shared" si="7"/>
        <v>0</v>
      </c>
      <c r="U10" s="30" t="str">
        <f t="shared" si="8"/>
        <v>- -</v>
      </c>
    </row>
    <row r="11" spans="2:21" ht="18" customHeight="1" x14ac:dyDescent="0.25">
      <c r="B11" s="31" t="str">
        <f>'Data Entry'!A11</f>
        <v>6. Cases Petitioned (Charge Filed)</v>
      </c>
      <c r="C11" s="32">
        <f>'Data Entry'!C11</f>
        <v>229</v>
      </c>
      <c r="D11" s="33">
        <f>IF(((AND(C68&gt;0,C11&gt;0))),(C11/(C68)),0)</f>
        <v>36.349206349206348</v>
      </c>
      <c r="E11" s="32">
        <f>'Data Entry'!E11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229</v>
      </c>
      <c r="Q11" s="41">
        <f>(C$68*L68)-C11</f>
        <v>401</v>
      </c>
      <c r="R11" s="41">
        <f t="shared" si="5"/>
        <v>630</v>
      </c>
      <c r="S11" s="29">
        <f t="shared" si="6"/>
        <v>0</v>
      </c>
      <c r="T11" s="29">
        <f t="shared" si="7"/>
        <v>0</v>
      </c>
      <c r="U11" s="30" t="str">
        <f t="shared" si="8"/>
        <v>- -</v>
      </c>
    </row>
    <row r="12" spans="2:21" ht="18" customHeight="1" x14ac:dyDescent="0.25">
      <c r="B12" s="31" t="str">
        <f>'Data Entry'!A12</f>
        <v>7. Cases Resulting in Delinquent Findings</v>
      </c>
      <c r="C12" s="32">
        <f>'Data Entry'!C12</f>
        <v>105</v>
      </c>
      <c r="D12" s="33">
        <f>IF(((AND(C69&gt;0,C12&gt;0))),(C12/(C69)),0)</f>
        <v>45.851528384279476</v>
      </c>
      <c r="E12" s="32">
        <f>'Data Entry'!E12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105</v>
      </c>
      <c r="Q12" s="41">
        <f>(C69*L69)-C12</f>
        <v>124</v>
      </c>
      <c r="R12" s="41">
        <f t="shared" si="5"/>
        <v>229</v>
      </c>
      <c r="S12" s="29">
        <f t="shared" si="6"/>
        <v>0</v>
      </c>
      <c r="T12" s="29">
        <f t="shared" si="7"/>
        <v>0</v>
      </c>
      <c r="U12" s="30" t="str">
        <f t="shared" si="8"/>
        <v>- -</v>
      </c>
    </row>
    <row r="13" spans="2:21" ht="18" customHeight="1" x14ac:dyDescent="0.25">
      <c r="B13" s="31" t="str">
        <f>'Data Entry'!A13</f>
        <v>8. Cases Resulting in Probation Placement</v>
      </c>
      <c r="C13" s="32">
        <f>'Data Entry'!C13</f>
        <v>92</v>
      </c>
      <c r="D13" s="33">
        <f>IF(((AND(C70&gt;0,C13&gt;0))),(C13/(C70)),0)</f>
        <v>87.61904761904762</v>
      </c>
      <c r="E13" s="32">
        <f>'Data Entry'!E13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92</v>
      </c>
      <c r="Q13" s="41">
        <f>(C70*L70)-C13</f>
        <v>13</v>
      </c>
      <c r="R13" s="41">
        <f t="shared" si="5"/>
        <v>105</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Entry'!E14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10</v>
      </c>
      <c r="Q14" s="41">
        <f>(C70*L70)-C14</f>
        <v>95</v>
      </c>
      <c r="R14" s="41">
        <f t="shared" si="5"/>
        <v>105</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Entry'!E15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229</v>
      </c>
      <c r="R15" s="41">
        <f t="shared" si="5"/>
        <v>229</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12" customHeight="1" x14ac:dyDescent="0.25">
      <c r="B17" s="42"/>
      <c r="C17" s="43"/>
      <c r="D17" s="43"/>
      <c r="E17" s="43"/>
      <c r="F17" s="43"/>
      <c r="G17" s="43"/>
      <c r="H17" s="43"/>
      <c r="I17" s="43"/>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1.25" customHeight="1" x14ac:dyDescent="0.25">
      <c r="B24" s="61"/>
      <c r="C24" s="61"/>
      <c r="D24" s="61"/>
      <c r="E24" s="61"/>
      <c r="F24" s="61"/>
      <c r="G24" s="61"/>
      <c r="H24" s="61"/>
      <c r="I24" s="61"/>
      <c r="K24" s="1" t="s">
        <v>94</v>
      </c>
      <c r="L24" s="1" t="s">
        <v>95</v>
      </c>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customHeight="1" x14ac:dyDescent="0.25">
      <c r="R37" s="48"/>
    </row>
    <row r="38" spans="2:18" ht="15" customHeight="1" x14ac:dyDescent="0.25">
      <c r="R38" s="48"/>
    </row>
    <row r="39" spans="2:18" ht="15"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1.4019999999999999</v>
      </c>
      <c r="E42" s="55">
        <f>MAX(C42:D42)</f>
        <v>16.169</v>
      </c>
      <c r="G42" s="1" t="str">
        <f>B42</f>
        <v>per 1000 youth</v>
      </c>
      <c r="L42" s="56">
        <v>1000</v>
      </c>
      <c r="M42" s="56"/>
      <c r="R42" s="48"/>
    </row>
    <row r="43" spans="2:18" ht="15" hidden="1" customHeight="1" x14ac:dyDescent="0.25">
      <c r="B43" s="48" t="s">
        <v>88</v>
      </c>
      <c r="C43" s="55">
        <f>C7/100</f>
        <v>2.33</v>
      </c>
      <c r="D43" s="55">
        <f>E7/100</f>
        <v>7.0000000000000007E-2</v>
      </c>
      <c r="E43" s="55">
        <f>MAX(C43:D43,0)</f>
        <v>2.33</v>
      </c>
      <c r="G43" s="1" t="str">
        <f>B43</f>
        <v>per 100 arrests</v>
      </c>
      <c r="L43" s="56">
        <v>100</v>
      </c>
      <c r="M43" s="56"/>
      <c r="R43" s="48"/>
    </row>
    <row r="44" spans="2:18" ht="15" hidden="1" customHeight="1" x14ac:dyDescent="0.25">
      <c r="B44" s="48" t="s">
        <v>89</v>
      </c>
      <c r="C44" s="55">
        <f>C8/100</f>
        <v>6.3</v>
      </c>
      <c r="D44" s="55">
        <f>E8/100</f>
        <v>0</v>
      </c>
      <c r="E44" s="55">
        <f>MAX(C44:D44,0)</f>
        <v>6.3</v>
      </c>
      <c r="G44" s="1" t="str">
        <f>B44</f>
        <v>per 100 referrals</v>
      </c>
      <c r="L44" s="56">
        <v>100</v>
      </c>
      <c r="M44" s="56"/>
      <c r="R44" s="48"/>
    </row>
    <row r="45" spans="2:18" ht="15" hidden="1" customHeight="1" x14ac:dyDescent="0.25">
      <c r="B45" s="48" t="s">
        <v>90</v>
      </c>
      <c r="C45" s="48">
        <f>C11/100</f>
        <v>2.29</v>
      </c>
      <c r="D45" s="48">
        <f>E11/100</f>
        <v>0</v>
      </c>
      <c r="E45" s="55">
        <f>MAX(C45:D45,0)</f>
        <v>2.29</v>
      </c>
      <c r="G45" s="1" t="str">
        <f>B45</f>
        <v>per 100 youth petitioned</v>
      </c>
      <c r="L45" s="56">
        <v>100</v>
      </c>
      <c r="M45" s="56"/>
      <c r="R45" s="48"/>
    </row>
    <row r="46" spans="2:18" ht="15" hidden="1" customHeight="1" x14ac:dyDescent="0.25">
      <c r="B46" s="48" t="s">
        <v>91</v>
      </c>
      <c r="C46" s="48">
        <f>C12/100</f>
        <v>1.05</v>
      </c>
      <c r="D46" s="48">
        <f>E12/100</f>
        <v>0</v>
      </c>
      <c r="E46" s="55">
        <f>MAX(C46:D46)</f>
        <v>1.05</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1.4019999999999999</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2.33</v>
      </c>
      <c r="D49" s="48">
        <f t="shared" si="9"/>
        <v>7.0000000000000007E-2</v>
      </c>
      <c r="E49" s="48">
        <f>MAX(C49:D49)</f>
        <v>2.33</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0</v>
      </c>
      <c r="E50" s="48">
        <f>MAX(C50:D50)</f>
        <v>6.3</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0</v>
      </c>
      <c r="E51" s="48">
        <f>MAX(C51:D51)</f>
        <v>2.29</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0</v>
      </c>
      <c r="E52" s="55">
        <f>MAX(C52:D52)</f>
        <v>1.05</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1.4019999999999999</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7.0000000000000007E-2</v>
      </c>
      <c r="E55" s="48">
        <f>MAX(C55:D55)</f>
        <v>2.33</v>
      </c>
      <c r="G55" s="1" t="str">
        <f>G49</f>
        <v>per 100 arrests</v>
      </c>
      <c r="L55" s="57">
        <f>IF(($E49&gt;0),L49,L48)</f>
        <v>100</v>
      </c>
      <c r="M55" s="57"/>
    </row>
    <row r="56" spans="2:18" ht="15" hidden="1" customHeight="1" x14ac:dyDescent="0.25">
      <c r="B56" s="48" t="str">
        <f t="shared" si="10"/>
        <v>per 100 referrals</v>
      </c>
      <c r="C56" s="48">
        <f t="shared" si="10"/>
        <v>6.3</v>
      </c>
      <c r="D56" s="48">
        <f t="shared" si="10"/>
        <v>0</v>
      </c>
      <c r="E56" s="48">
        <f>MAX(C56:D56)</f>
        <v>6.3</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0</v>
      </c>
      <c r="E57" s="48">
        <f>MAX(C57:D57)</f>
        <v>2.29</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0</v>
      </c>
      <c r="E58" s="55">
        <f>MAX(C58:D58)</f>
        <v>1.05</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1.4019999999999999</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7.0000000000000007E-2</v>
      </c>
      <c r="E61" s="48">
        <f>MAX(C61:D61)</f>
        <v>2.33</v>
      </c>
      <c r="G61" s="1" t="str">
        <f>G55</f>
        <v>per 100 arrests</v>
      </c>
      <c r="L61" s="57">
        <f>IF(($E55&gt;0),L55,L54)</f>
        <v>100</v>
      </c>
      <c r="M61" s="57"/>
    </row>
    <row r="62" spans="2:18" ht="15" hidden="1" customHeight="1" x14ac:dyDescent="0.25">
      <c r="B62" s="48" t="str">
        <f t="shared" si="11"/>
        <v>per 100 referrals</v>
      </c>
      <c r="C62" s="48">
        <f t="shared" si="11"/>
        <v>6.3</v>
      </c>
      <c r="D62" s="48">
        <f t="shared" si="11"/>
        <v>0</v>
      </c>
      <c r="E62" s="48">
        <f>MAX(C62:D62)</f>
        <v>6.3</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0</v>
      </c>
      <c r="E63" s="48">
        <f>MAX(C63:D63)</f>
        <v>2.29</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0</v>
      </c>
      <c r="E64" s="55">
        <f>MAX(C64:D64)</f>
        <v>1.05</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1.4019999999999999</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7.0000000000000007E-2</v>
      </c>
      <c r="E67" s="48">
        <f>MAX(C67:D67)</f>
        <v>2.33</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0</v>
      </c>
      <c r="E68" s="48">
        <f>MAX(C68:D68)</f>
        <v>6.3</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0</v>
      </c>
      <c r="E69" s="48">
        <f>MAX(C69:D69)</f>
        <v>2.29</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0</v>
      </c>
      <c r="E70" s="55">
        <f>MAX(C70:D70)</f>
        <v>1.05</v>
      </c>
      <c r="G70" s="1" t="str">
        <f>G64</f>
        <v>per 100 youth found delinquent</v>
      </c>
      <c r="L70" s="57">
        <f>IF(($E64&gt;0),L64,L63)</f>
        <v>100</v>
      </c>
      <c r="M70" s="57">
        <f>IF((B70=G70),1,2)</f>
        <v>1</v>
      </c>
    </row>
    <row r="82" spans="2:2" ht="15" customHeight="1" x14ac:dyDescent="0.25">
      <c r="B82" s="59"/>
    </row>
    <row r="83" spans="2:2" ht="15" customHeight="1" x14ac:dyDescent="0.25">
      <c r="B83" s="60"/>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7" width="0" style="1" hidden="1" customWidth="1"/>
  </cols>
  <sheetData>
    <row r="1" spans="2:21" ht="27.75" customHeight="1" x14ac:dyDescent="0.25">
      <c r="B1" s="15" t="s">
        <v>29</v>
      </c>
      <c r="D1" s="19" t="s">
        <v>30</v>
      </c>
      <c r="E1" s="13"/>
      <c r="F1" s="212" t="str">
        <f>'Data Entry'!G5</f>
        <v>Native Hawaiian or Other Pacific Islanders</v>
      </c>
      <c r="G1" s="212"/>
      <c r="H1" s="212"/>
      <c r="I1" s="212"/>
      <c r="J1" s="212"/>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Kalamazoo</v>
      </c>
      <c r="C3" s="21"/>
      <c r="D3" s="21"/>
      <c r="E3" s="21"/>
      <c r="F3" s="21"/>
      <c r="G3" s="7"/>
      <c r="H3" s="7"/>
      <c r="I3" s="7"/>
      <c r="J3" s="7"/>
      <c r="K3" s="7"/>
      <c r="N3" s="211" t="s">
        <v>31</v>
      </c>
      <c r="O3" s="211"/>
      <c r="P3" s="211"/>
      <c r="Q3" s="211"/>
      <c r="R3" s="211"/>
      <c r="S3" s="211"/>
      <c r="T3" s="211"/>
      <c r="U3" s="211"/>
    </row>
    <row r="4" spans="2:21" ht="8.2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Entry'!G6</f>
        <v>0</v>
      </c>
      <c r="F6" s="33"/>
      <c r="G6" s="34"/>
      <c r="H6" s="35"/>
      <c r="I6" s="36"/>
      <c r="J6" s="37"/>
      <c r="K6" s="36"/>
      <c r="L6" s="1">
        <f>IF( ('Data Entry'!G6&gt;('Data Entry'!B6/100)),1,100)</f>
        <v>100</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Entry'!G7</f>
        <v>0</v>
      </c>
      <c r="F7" s="33">
        <f>IF((AND($E$7&gt;0,$D$66&gt;0)),($E$7/$D$66),0)</f>
        <v>0</v>
      </c>
      <c r="G7" s="38" t="str">
        <f t="shared" ref="G7:G15" si="0">IF(L$6=100,"*",IF(M7=FALSE,"--",IF(K7=20,"**",($F7/$D7))))</f>
        <v>*</v>
      </c>
      <c r="H7" s="39"/>
      <c r="I7" s="40"/>
      <c r="J7" s="39" t="e">
        <f>IF((ABS($U7)&gt;Defaults!D$7),1,2)</f>
        <v>#VALUE!</v>
      </c>
      <c r="K7" s="38">
        <f>IF((AND(N7&gt;Defaults!B$12,(N7+O7)&gt;Defaults!B$13, P7 &gt; Defaults!B$12, (P7+Q7) &gt; Defaults!B$13)),1,20)</f>
        <v>20</v>
      </c>
      <c r="L7" s="1" t="e">
        <f t="shared" ref="L7:L15" si="1">(J7*K7+L$6)-1</f>
        <v>#VALUE!</v>
      </c>
      <c r="M7" s="1" t="b">
        <f t="shared" ref="M7:M15" si="2">(ISNUMBER(J7))</f>
        <v>0</v>
      </c>
      <c r="N7" s="41">
        <f t="shared" ref="N7:N15" si="3">E7</f>
        <v>0</v>
      </c>
      <c r="O7" s="41">
        <f>E6-E7</f>
        <v>0</v>
      </c>
      <c r="P7" s="41">
        <f t="shared" ref="P7:P15" si="4">C7</f>
        <v>233</v>
      </c>
      <c r="Q7" s="41">
        <f>C6-C7</f>
        <v>15936</v>
      </c>
      <c r="R7" s="41">
        <f t="shared" ref="R7:R15" si="5">SUM(N7:Q7)</f>
        <v>16169</v>
      </c>
      <c r="S7" s="29">
        <f t="shared" ref="S7:S15" si="6">R7*((((N7*Q7)-(O7*P7))^2))</f>
        <v>0</v>
      </c>
      <c r="T7" s="29">
        <f t="shared" ref="T7:T15" si="7">(N7+O7)*(P7+Q7)*(N7+P7)*(O7+Q7)</f>
        <v>0</v>
      </c>
      <c r="U7" s="30" t="str">
        <f t="shared" ref="U7:U15" si="8">IF((S7&gt;0),S7/T7,"- -")</f>
        <v>- -</v>
      </c>
    </row>
    <row r="8" spans="2:21" ht="18" customHeight="1" x14ac:dyDescent="0.25">
      <c r="B8" s="31" t="str">
        <f>'Data Entry'!A8</f>
        <v>3. Refer to Juvenile Court</v>
      </c>
      <c r="C8" s="32">
        <f>'Data Entry'!C8</f>
        <v>630</v>
      </c>
      <c r="D8" s="33">
        <f>IF((AND(C67&gt;0,C8&gt;0)),(C8/C67),0)</f>
        <v>270.38626609442059</v>
      </c>
      <c r="E8" s="32">
        <f>'Data Entry'!G8</f>
        <v>0</v>
      </c>
      <c r="F8" s="33">
        <f>IF((AND($E$8&gt;0,$D$67&gt;0)),($E8/$D67),0)</f>
        <v>0</v>
      </c>
      <c r="G8" s="38" t="str">
        <f t="shared" si="0"/>
        <v>*</v>
      </c>
      <c r="H8" s="39"/>
      <c r="I8" s="40"/>
      <c r="J8" s="39">
        <f>IF((ABS($U8)&gt;Defaults!D$7),1,2)</f>
        <v>2</v>
      </c>
      <c r="K8" s="38">
        <f>IF((AND(N8&gt;Defaults!B$12,(N8+O8)&gt;Defaults!B$13, P8 &gt; Defaults!B$12, (P8+Q8) &gt; Defaults!B$13)),1,20)</f>
        <v>20</v>
      </c>
      <c r="L8" s="1">
        <f t="shared" si="1"/>
        <v>139</v>
      </c>
      <c r="M8" s="1" t="b">
        <f t="shared" si="2"/>
        <v>1</v>
      </c>
      <c r="N8" s="41">
        <f t="shared" si="3"/>
        <v>0</v>
      </c>
      <c r="O8" s="41">
        <f>((D67*L67)-E8)+0.05</f>
        <v>0.05</v>
      </c>
      <c r="P8" s="41">
        <f t="shared" si="4"/>
        <v>630</v>
      </c>
      <c r="Q8" s="41">
        <f>(C$67*L67)-C8</f>
        <v>-397</v>
      </c>
      <c r="R8" s="41">
        <f t="shared" si="5"/>
        <v>233.04999999999995</v>
      </c>
      <c r="S8" s="29">
        <f t="shared" si="6"/>
        <v>231243.86249999996</v>
      </c>
      <c r="T8" s="29">
        <f t="shared" si="7"/>
        <v>-2913414.5249999999</v>
      </c>
      <c r="U8" s="30">
        <f t="shared" si="8"/>
        <v>-7.937211149175552E-2</v>
      </c>
    </row>
    <row r="9" spans="2:21" ht="18" customHeight="1" x14ac:dyDescent="0.25">
      <c r="B9" s="31" t="str">
        <f>'Data Entry'!A9</f>
        <v xml:space="preserve">4. Cases Diverted </v>
      </c>
      <c r="C9" s="32">
        <f>'Data Entry'!C9</f>
        <v>401</v>
      </c>
      <c r="D9" s="33">
        <f>IF((AND(C68&gt;0,C9&gt;0)),((C9/C68)),0)</f>
        <v>63.650793650793652</v>
      </c>
      <c r="E9" s="32">
        <f>'Data Entry'!G9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401</v>
      </c>
      <c r="Q9" s="41">
        <f>(C$68*L68)-C9</f>
        <v>229</v>
      </c>
      <c r="R9" s="41">
        <f t="shared" si="5"/>
        <v>630</v>
      </c>
      <c r="S9" s="29">
        <f t="shared" si="6"/>
        <v>0</v>
      </c>
      <c r="T9" s="29">
        <f t="shared" si="7"/>
        <v>0</v>
      </c>
      <c r="U9" s="30" t="str">
        <f t="shared" si="8"/>
        <v>- -</v>
      </c>
    </row>
    <row r="10" spans="2:21" ht="18" customHeight="1" x14ac:dyDescent="0.25">
      <c r="B10" s="31" t="str">
        <f>'Data Entry'!A10</f>
        <v>5. Cases Involving Secure Detention</v>
      </c>
      <c r="C10" s="32">
        <f>'Data Entry'!C10</f>
        <v>158</v>
      </c>
      <c r="D10" s="33">
        <f>IF(((AND(C68&gt;0,C10&gt;0))),(C10/(C68)),0)</f>
        <v>25.079365079365079</v>
      </c>
      <c r="E10" s="32">
        <f>'Data Entry'!G10</f>
        <v>1</v>
      </c>
      <c r="F10" s="33">
        <f>IF(((AND($E$10&gt;0,$D$68&gt;0))),($E$10/($D$68)),0)</f>
        <v>0</v>
      </c>
      <c r="G10" s="38" t="str">
        <f t="shared" si="0"/>
        <v>*</v>
      </c>
      <c r="H10" s="39"/>
      <c r="I10" s="40"/>
      <c r="J10" s="39" t="e">
        <f>IF((ABS($U10)&gt;Defaults!D$7),1,2)</f>
        <v>#DIV/0!</v>
      </c>
      <c r="K10" s="38">
        <f>IF((AND(N10&gt;Defaults!B$12,(N10+O10)&gt;Defaults!B$13, P10 &gt; Defaults!B$12, (P10+Q10) &gt; Defaults!B$13)),1,20)</f>
        <v>20</v>
      </c>
      <c r="L10" s="1" t="e">
        <f t="shared" si="1"/>
        <v>#DIV/0!</v>
      </c>
      <c r="M10" s="1" t="b">
        <f t="shared" si="2"/>
        <v>0</v>
      </c>
      <c r="N10" s="41">
        <f t="shared" si="3"/>
        <v>1</v>
      </c>
      <c r="O10" s="41">
        <f>(D$68*L68)-E10</f>
        <v>-1</v>
      </c>
      <c r="P10" s="41">
        <f t="shared" si="4"/>
        <v>158</v>
      </c>
      <c r="Q10" s="41">
        <f>(C$68*L68)-C10</f>
        <v>472</v>
      </c>
      <c r="R10" s="41">
        <f t="shared" si="5"/>
        <v>630</v>
      </c>
      <c r="S10" s="29">
        <f t="shared" si="6"/>
        <v>250047000</v>
      </c>
      <c r="T10" s="29">
        <f t="shared" si="7"/>
        <v>0</v>
      </c>
      <c r="U10" s="30" t="e">
        <f t="shared" si="8"/>
        <v>#DIV/0!</v>
      </c>
    </row>
    <row r="11" spans="2:21" ht="18" customHeight="1" x14ac:dyDescent="0.25">
      <c r="B11" s="31" t="str">
        <f>'Data Entry'!A11</f>
        <v>6. Cases Petitioned (Charge Filed)</v>
      </c>
      <c r="C11" s="32">
        <f>'Data Entry'!C11</f>
        <v>229</v>
      </c>
      <c r="D11" s="33">
        <f>IF(((AND(C68&gt;0,C11&gt;0))),(C11/(C68)),0)</f>
        <v>36.349206349206348</v>
      </c>
      <c r="E11" s="32">
        <f>'Data Entry'!G11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229</v>
      </c>
      <c r="Q11" s="41">
        <f>(C$68*L68)-C11</f>
        <v>401</v>
      </c>
      <c r="R11" s="41">
        <f t="shared" si="5"/>
        <v>630</v>
      </c>
      <c r="S11" s="29">
        <f t="shared" si="6"/>
        <v>0</v>
      </c>
      <c r="T11" s="29">
        <f t="shared" si="7"/>
        <v>0</v>
      </c>
      <c r="U11" s="30" t="str">
        <f t="shared" si="8"/>
        <v>- -</v>
      </c>
    </row>
    <row r="12" spans="2:21" ht="18" customHeight="1" x14ac:dyDescent="0.25">
      <c r="B12" s="31" t="str">
        <f>'Data Entry'!A12</f>
        <v>7. Cases Resulting in Delinquent Findings</v>
      </c>
      <c r="C12" s="32">
        <f>'Data Entry'!C12</f>
        <v>105</v>
      </c>
      <c r="D12" s="33">
        <f>IF(((AND(C69&gt;0,C12&gt;0))),(C12/(C69)),0)</f>
        <v>45.851528384279476</v>
      </c>
      <c r="E12" s="32">
        <f>'Data Entry'!G12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105</v>
      </c>
      <c r="Q12" s="41">
        <f>(C69*L69)-C12</f>
        <v>124</v>
      </c>
      <c r="R12" s="41">
        <f t="shared" si="5"/>
        <v>229</v>
      </c>
      <c r="S12" s="29">
        <f t="shared" si="6"/>
        <v>0</v>
      </c>
      <c r="T12" s="29">
        <f t="shared" si="7"/>
        <v>0</v>
      </c>
      <c r="U12" s="30" t="str">
        <f t="shared" si="8"/>
        <v>- -</v>
      </c>
    </row>
    <row r="13" spans="2:21" ht="18" customHeight="1" x14ac:dyDescent="0.25">
      <c r="B13" s="31" t="str">
        <f>'Data Entry'!A13</f>
        <v>8. Cases Resulting in Probation Placement</v>
      </c>
      <c r="C13" s="32">
        <f>'Data Entry'!C13</f>
        <v>92</v>
      </c>
      <c r="D13" s="33">
        <f>IF(((AND(C70&gt;0,C13&gt;0))),(C13/(C70)),0)</f>
        <v>87.61904761904762</v>
      </c>
      <c r="E13" s="32">
        <f>'Data Entry'!G13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92</v>
      </c>
      <c r="Q13" s="41">
        <f>(C70*L70)-C13</f>
        <v>13</v>
      </c>
      <c r="R13" s="41">
        <f t="shared" si="5"/>
        <v>105</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Entry'!G14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10</v>
      </c>
      <c r="Q14" s="41">
        <f>(C70*L70)-C14</f>
        <v>95</v>
      </c>
      <c r="R14" s="41">
        <f t="shared" si="5"/>
        <v>105</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Entry'!G15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229</v>
      </c>
      <c r="R15" s="41">
        <f t="shared" si="5"/>
        <v>229</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0</v>
      </c>
      <c r="E42" s="55">
        <f>MAX(C42:D42)</f>
        <v>16.169</v>
      </c>
      <c r="G42" s="1" t="str">
        <f>B42</f>
        <v>per 1000 youth</v>
      </c>
      <c r="L42" s="56">
        <v>1000</v>
      </c>
      <c r="M42" s="56"/>
      <c r="R42" s="48"/>
    </row>
    <row r="43" spans="2:18" ht="15" hidden="1" customHeight="1" x14ac:dyDescent="0.25">
      <c r="B43" s="48" t="s">
        <v>88</v>
      </c>
      <c r="C43" s="55">
        <f>C7/100</f>
        <v>2.33</v>
      </c>
      <c r="D43" s="55">
        <f>E7/100</f>
        <v>0</v>
      </c>
      <c r="E43" s="55">
        <f>MAX(C43:D43,0)</f>
        <v>2.33</v>
      </c>
      <c r="G43" s="1" t="str">
        <f>B43</f>
        <v>per 100 arrests</v>
      </c>
      <c r="L43" s="56">
        <v>100</v>
      </c>
      <c r="M43" s="56"/>
      <c r="R43" s="48"/>
    </row>
    <row r="44" spans="2:18" ht="15" hidden="1" customHeight="1" x14ac:dyDescent="0.25">
      <c r="B44" s="48" t="s">
        <v>89</v>
      </c>
      <c r="C44" s="55">
        <f>C8/100</f>
        <v>6.3</v>
      </c>
      <c r="D44" s="55">
        <f>E8/100</f>
        <v>0</v>
      </c>
      <c r="E44" s="55">
        <f>MAX(C44:D44,0)</f>
        <v>6.3</v>
      </c>
      <c r="G44" s="1" t="str">
        <f>B44</f>
        <v>per 100 referrals</v>
      </c>
      <c r="L44" s="56">
        <v>100</v>
      </c>
      <c r="M44" s="56"/>
      <c r="R44" s="48"/>
    </row>
    <row r="45" spans="2:18" ht="15" hidden="1" customHeight="1" x14ac:dyDescent="0.25">
      <c r="B45" s="48" t="s">
        <v>90</v>
      </c>
      <c r="C45" s="48">
        <f>C11/100</f>
        <v>2.29</v>
      </c>
      <c r="D45" s="48">
        <f>E11/100</f>
        <v>0</v>
      </c>
      <c r="E45" s="55">
        <f>MAX(C45:D45,0)</f>
        <v>2.29</v>
      </c>
      <c r="G45" s="1" t="str">
        <f>B45</f>
        <v>per 100 youth petitioned</v>
      </c>
      <c r="L45" s="56">
        <v>100</v>
      </c>
      <c r="M45" s="56"/>
      <c r="R45" s="48"/>
    </row>
    <row r="46" spans="2:18" ht="15" hidden="1" customHeight="1" x14ac:dyDescent="0.25">
      <c r="B46" s="48" t="s">
        <v>91</v>
      </c>
      <c r="C46" s="48">
        <f>C12/100</f>
        <v>1.05</v>
      </c>
      <c r="D46" s="48">
        <f>E12/100</f>
        <v>0</v>
      </c>
      <c r="E46" s="55">
        <f>MAX(C46:D46)</f>
        <v>1.05</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0</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2.33</v>
      </c>
      <c r="D49" s="48">
        <f t="shared" si="9"/>
        <v>0</v>
      </c>
      <c r="E49" s="48">
        <f>MAX(C49:D49)</f>
        <v>2.33</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0</v>
      </c>
      <c r="E50" s="48">
        <f>MAX(C50:D50)</f>
        <v>6.3</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0</v>
      </c>
      <c r="E51" s="48">
        <f>MAX(C51:D51)</f>
        <v>2.29</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0</v>
      </c>
      <c r="E52" s="55">
        <f>MAX(C52:D52)</f>
        <v>1.05</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0</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0</v>
      </c>
      <c r="E55" s="48">
        <f>MAX(C55:D55)</f>
        <v>2.33</v>
      </c>
      <c r="G55" s="1" t="str">
        <f>G49</f>
        <v>per 100 arrests</v>
      </c>
      <c r="L55" s="57">
        <f>IF(($E49&gt;0),L49,L48)</f>
        <v>100</v>
      </c>
      <c r="M55" s="57"/>
    </row>
    <row r="56" spans="2:18" ht="15" hidden="1" customHeight="1" x14ac:dyDescent="0.25">
      <c r="B56" s="48" t="str">
        <f t="shared" si="10"/>
        <v>per 100 referrals</v>
      </c>
      <c r="C56" s="48">
        <f t="shared" si="10"/>
        <v>6.3</v>
      </c>
      <c r="D56" s="48">
        <f t="shared" si="10"/>
        <v>0</v>
      </c>
      <c r="E56" s="48">
        <f>MAX(C56:D56)</f>
        <v>6.3</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0</v>
      </c>
      <c r="E57" s="48">
        <f>MAX(C57:D57)</f>
        <v>2.29</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0</v>
      </c>
      <c r="E58" s="55">
        <f>MAX(C58:D58)</f>
        <v>1.05</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0</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0</v>
      </c>
      <c r="E61" s="48">
        <f>MAX(C61:D61)</f>
        <v>2.33</v>
      </c>
      <c r="G61" s="1" t="str">
        <f>G55</f>
        <v>per 100 arrests</v>
      </c>
      <c r="L61" s="57">
        <f>IF(($E55&gt;0),L55,L54)</f>
        <v>100</v>
      </c>
      <c r="M61" s="57"/>
    </row>
    <row r="62" spans="2:18" ht="15" hidden="1" customHeight="1" x14ac:dyDescent="0.25">
      <c r="B62" s="48" t="str">
        <f t="shared" si="11"/>
        <v>per 100 referrals</v>
      </c>
      <c r="C62" s="48">
        <f t="shared" si="11"/>
        <v>6.3</v>
      </c>
      <c r="D62" s="48">
        <f t="shared" si="11"/>
        <v>0</v>
      </c>
      <c r="E62" s="48">
        <f>MAX(C62:D62)</f>
        <v>6.3</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0</v>
      </c>
      <c r="E63" s="48">
        <f>MAX(C63:D63)</f>
        <v>2.29</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0</v>
      </c>
      <c r="E64" s="55">
        <f>MAX(C64:D64)</f>
        <v>1.05</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0</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0</v>
      </c>
      <c r="E67" s="48">
        <f>MAX(C67:D67)</f>
        <v>2.33</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0</v>
      </c>
      <c r="E68" s="48">
        <f>MAX(C68:D68)</f>
        <v>6.3</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0</v>
      </c>
      <c r="E69" s="48">
        <f>MAX(C69:D69)</f>
        <v>2.29</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0</v>
      </c>
      <c r="E70" s="55">
        <f>MAX(C70:D70)</f>
        <v>1.05</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6" width="0" style="1" hidden="1" customWidth="1"/>
  </cols>
  <sheetData>
    <row r="1" spans="2:21" ht="27.75" customHeight="1" x14ac:dyDescent="0.25">
      <c r="B1" s="15" t="s">
        <v>29</v>
      </c>
      <c r="D1" s="19" t="s">
        <v>30</v>
      </c>
      <c r="E1" s="13"/>
      <c r="F1" s="212" t="str">
        <f>'Data Entry'!H5</f>
        <v>American Indian or Alaska Native</v>
      </c>
      <c r="G1" s="212"/>
      <c r="H1" s="212"/>
      <c r="I1" s="212"/>
      <c r="J1" s="212"/>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Kalamazoo</v>
      </c>
      <c r="C3" s="21"/>
      <c r="D3" s="21"/>
      <c r="E3" s="21"/>
      <c r="F3" s="21"/>
      <c r="G3" s="7"/>
      <c r="H3" s="7"/>
      <c r="I3" s="7"/>
      <c r="J3" s="7"/>
      <c r="K3" s="7"/>
      <c r="N3" s="211" t="s">
        <v>31</v>
      </c>
      <c r="O3" s="211"/>
      <c r="P3" s="211"/>
      <c r="Q3" s="211"/>
      <c r="R3" s="211"/>
      <c r="S3" s="211"/>
      <c r="T3" s="211"/>
      <c r="U3" s="211"/>
    </row>
    <row r="4" spans="2:21" ht="8.2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Entry'!H6</f>
        <v>139</v>
      </c>
      <c r="F6" s="33"/>
      <c r="G6" s="34"/>
      <c r="H6" s="35"/>
      <c r="I6" s="36"/>
      <c r="J6" s="37"/>
      <c r="K6" s="36"/>
      <c r="L6" s="1">
        <f>IF( ('Data Entry'!H6&gt;('Data Entry'!B6/100)),1,100)</f>
        <v>100</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Entry'!H7</f>
        <v>0</v>
      </c>
      <c r="F7" s="33">
        <f>IF((AND($E$7&gt;0,$D$66&gt;0)),($E$7/$D$66),0)</f>
        <v>0</v>
      </c>
      <c r="G7" s="38" t="str">
        <f t="shared" ref="G7:G15" si="0">IF(L$6=100,"*",IF(M7=FALSE,"--",IF(K7=20,"**",($F7/$D7))))</f>
        <v>*</v>
      </c>
      <c r="H7" s="39"/>
      <c r="I7" s="40"/>
      <c r="J7" s="39">
        <f>IF((ABS($U7)&gt;Defaults!D$7),1,2)</f>
        <v>2</v>
      </c>
      <c r="K7" s="38">
        <f>IF((AND(N7&gt;Defaults!B$12,(N7+O7)&gt;Defaults!B$13, P7 &gt; Defaults!B$12, (P7+Q7) &gt; Defaults!B$13)),1,20)</f>
        <v>20</v>
      </c>
      <c r="L7" s="1">
        <f t="shared" ref="L7:L15" si="1">(J7*K7+L$6)-1</f>
        <v>139</v>
      </c>
      <c r="M7" s="1" t="b">
        <f t="shared" ref="M7:M15" si="2">(ISNUMBER(J7))</f>
        <v>1</v>
      </c>
      <c r="N7" s="41">
        <f t="shared" ref="N7:N15" si="3">E7</f>
        <v>0</v>
      </c>
      <c r="O7" s="41">
        <f>E6-E7</f>
        <v>139</v>
      </c>
      <c r="P7" s="41">
        <f t="shared" ref="P7:P15" si="4">C7</f>
        <v>233</v>
      </c>
      <c r="Q7" s="41">
        <f>C6-C7</f>
        <v>15936</v>
      </c>
      <c r="R7" s="41">
        <f t="shared" ref="R7:R15" si="5">SUM(N7:Q7)</f>
        <v>16308</v>
      </c>
      <c r="S7" s="29">
        <f t="shared" ref="S7:S15" si="6">R7*((((N7*Q7)-(O7*P7))^2))</f>
        <v>17105750976852</v>
      </c>
      <c r="T7" s="29">
        <f t="shared" ref="T7:T15" si="7">(N7+O7)*(P7+Q7)*(N7+P7)*(O7+Q7)</f>
        <v>8417921353225</v>
      </c>
      <c r="U7" s="30">
        <f t="shared" ref="U7:U15" si="8">IF((S7&gt;0),S7/T7,"- -")</f>
        <v>2.0320635295907814</v>
      </c>
    </row>
    <row r="8" spans="2:21" ht="18" customHeight="1" x14ac:dyDescent="0.25">
      <c r="B8" s="31" t="str">
        <f>'Data Entry'!A8</f>
        <v>3. Refer to Juvenile Court</v>
      </c>
      <c r="C8" s="32">
        <f>'Data Entry'!C8</f>
        <v>630</v>
      </c>
      <c r="D8" s="33">
        <f>IF((AND(C67&gt;0,C8&gt;0)),(C8/C67),0)</f>
        <v>270.38626609442059</v>
      </c>
      <c r="E8" s="32">
        <f>'Data Entry'!H8</f>
        <v>5</v>
      </c>
      <c r="F8" s="33">
        <f>IF((AND($E$8&gt;0,$D$67&gt;0)),($E8/$D67),0)</f>
        <v>0</v>
      </c>
      <c r="G8" s="38" t="str">
        <f t="shared" si="0"/>
        <v>*</v>
      </c>
      <c r="H8" s="39"/>
      <c r="I8" s="40"/>
      <c r="J8" s="39">
        <f>IF((ABS($U8)&gt;Defaults!D$7),1,2)</f>
        <v>1</v>
      </c>
      <c r="K8" s="38">
        <f>IF((AND(N8&gt;Defaults!B$12,(N8+O8)&gt;Defaults!B$13, P8 &gt; Defaults!B$12, (P8+Q8) &gt; Defaults!B$13)),1,20)</f>
        <v>20</v>
      </c>
      <c r="L8" s="1">
        <f t="shared" si="1"/>
        <v>119</v>
      </c>
      <c r="M8" s="1" t="b">
        <f t="shared" si="2"/>
        <v>1</v>
      </c>
      <c r="N8" s="41">
        <f t="shared" si="3"/>
        <v>5</v>
      </c>
      <c r="O8" s="41">
        <f>((D67*L67)-E8)+0.05</f>
        <v>-4.95</v>
      </c>
      <c r="P8" s="41">
        <f t="shared" si="4"/>
        <v>630</v>
      </c>
      <c r="Q8" s="41">
        <f>(C$67*L67)-C8</f>
        <v>-397</v>
      </c>
      <c r="R8" s="41">
        <f t="shared" si="5"/>
        <v>233.04999999999995</v>
      </c>
      <c r="S8" s="29">
        <f t="shared" si="6"/>
        <v>299427825.36249995</v>
      </c>
      <c r="T8" s="29">
        <f t="shared" si="7"/>
        <v>-2973525.6124999896</v>
      </c>
      <c r="U8" s="30">
        <f t="shared" si="8"/>
        <v>-100.69791364963432</v>
      </c>
    </row>
    <row r="9" spans="2:21" ht="18" customHeight="1" x14ac:dyDescent="0.25">
      <c r="B9" s="31" t="str">
        <f>'Data Entry'!A9</f>
        <v xml:space="preserve">4. Cases Diverted </v>
      </c>
      <c r="C9" s="32">
        <f>'Data Entry'!C9</f>
        <v>401</v>
      </c>
      <c r="D9" s="33">
        <f>IF((AND(C68&gt;0,C9&gt;0)),((C9/C68)),0)</f>
        <v>63.650793650793652</v>
      </c>
      <c r="E9" s="32">
        <f>'Data Entry'!H9</f>
        <v>3</v>
      </c>
      <c r="F9" s="33">
        <f>IF((AND($E$9&gt;0,$D$68&gt;0)),(($E$9/$D$68)),0)</f>
        <v>60</v>
      </c>
      <c r="G9" s="38" t="str">
        <f t="shared" si="0"/>
        <v>*</v>
      </c>
      <c r="H9" s="39"/>
      <c r="I9" s="40"/>
      <c r="J9" s="39">
        <f>IF((ABS($U9)&gt;Defaults!D$7),1,2)</f>
        <v>2</v>
      </c>
      <c r="K9" s="38">
        <f>IF((AND(N9&gt;Defaults!B$12,(N9+O9)&gt;Defaults!B$13, P9 &gt; Defaults!B$12, (P9+Q9) &gt; Defaults!B$13)),1,20)</f>
        <v>20</v>
      </c>
      <c r="L9" s="1">
        <f t="shared" si="1"/>
        <v>139</v>
      </c>
      <c r="M9" s="1" t="b">
        <f t="shared" si="2"/>
        <v>1</v>
      </c>
      <c r="N9" s="41">
        <f t="shared" si="3"/>
        <v>3</v>
      </c>
      <c r="O9" s="41">
        <f>(D$68*L68)-E9</f>
        <v>2</v>
      </c>
      <c r="P9" s="41">
        <f t="shared" si="4"/>
        <v>401</v>
      </c>
      <c r="Q9" s="41">
        <f>(C$68*L68)-C9</f>
        <v>229</v>
      </c>
      <c r="R9" s="41">
        <f t="shared" si="5"/>
        <v>635</v>
      </c>
      <c r="S9" s="29">
        <f t="shared" si="6"/>
        <v>8397875</v>
      </c>
      <c r="T9" s="29">
        <f t="shared" si="7"/>
        <v>293970600</v>
      </c>
      <c r="U9" s="30">
        <f t="shared" si="8"/>
        <v>2.8567057386010709E-2</v>
      </c>
    </row>
    <row r="10" spans="2:21" ht="18" customHeight="1" x14ac:dyDescent="0.25">
      <c r="B10" s="31" t="str">
        <f>'Data Entry'!A10</f>
        <v>5. Cases Involving Secure Detention</v>
      </c>
      <c r="C10" s="32">
        <f>'Data Entry'!C10</f>
        <v>158</v>
      </c>
      <c r="D10" s="33">
        <f>IF(((AND(C68&gt;0,C10&gt;0))),(C10/(C68)),0)</f>
        <v>25.079365079365079</v>
      </c>
      <c r="E10" s="32">
        <f>'Data Entry'!H10</f>
        <v>2</v>
      </c>
      <c r="F10" s="33">
        <f>IF(((AND($E$10&gt;0,$D$68&gt;0))),($E$10/($D$68)),0)</f>
        <v>40</v>
      </c>
      <c r="G10" s="38" t="str">
        <f t="shared" si="0"/>
        <v>*</v>
      </c>
      <c r="H10" s="39"/>
      <c r="I10" s="40"/>
      <c r="J10" s="39">
        <f>IF((ABS($U10)&gt;Defaults!D$7),1,2)</f>
        <v>2</v>
      </c>
      <c r="K10" s="38">
        <f>IF((AND(N10&gt;Defaults!B$12,(N10+O10)&gt;Defaults!B$13, P10 &gt; Defaults!B$12, (P10+Q10) &gt; Defaults!B$13)),1,20)</f>
        <v>20</v>
      </c>
      <c r="L10" s="1">
        <f t="shared" si="1"/>
        <v>139</v>
      </c>
      <c r="M10" s="1" t="b">
        <f t="shared" si="2"/>
        <v>1</v>
      </c>
      <c r="N10" s="41">
        <f t="shared" si="3"/>
        <v>2</v>
      </c>
      <c r="O10" s="41">
        <f>(D$68*L68)-E10</f>
        <v>3</v>
      </c>
      <c r="P10" s="41">
        <f t="shared" si="4"/>
        <v>158</v>
      </c>
      <c r="Q10" s="41">
        <f>(C$68*L68)-C10</f>
        <v>472</v>
      </c>
      <c r="R10" s="41">
        <f t="shared" si="5"/>
        <v>635</v>
      </c>
      <c r="S10" s="29">
        <f t="shared" si="6"/>
        <v>140271500</v>
      </c>
      <c r="T10" s="29">
        <f t="shared" si="7"/>
        <v>239400000</v>
      </c>
      <c r="U10" s="30">
        <f t="shared" si="8"/>
        <v>0.58592940685045947</v>
      </c>
    </row>
    <row r="11" spans="2:21" ht="18" customHeight="1" x14ac:dyDescent="0.25">
      <c r="B11" s="31" t="str">
        <f>'Data Entry'!A11</f>
        <v>6. Cases Petitioned (Charge Filed)</v>
      </c>
      <c r="C11" s="32">
        <f>'Data Entry'!C11</f>
        <v>229</v>
      </c>
      <c r="D11" s="33">
        <f>IF(((AND(C68&gt;0,C11&gt;0))),(C11/(C68)),0)</f>
        <v>36.349206349206348</v>
      </c>
      <c r="E11" s="32">
        <f>'Data Entry'!H11</f>
        <v>2</v>
      </c>
      <c r="F11" s="33">
        <f>IF(((AND($E$11&gt;0,$D$68&gt;0))),($E$11/($D$68)),0)</f>
        <v>40</v>
      </c>
      <c r="G11" s="38" t="str">
        <f t="shared" si="0"/>
        <v>*</v>
      </c>
      <c r="H11" s="39"/>
      <c r="I11" s="40"/>
      <c r="J11" s="39">
        <f>IF((ABS($U11)&gt;Defaults!D$7),1,2)</f>
        <v>2</v>
      </c>
      <c r="K11" s="38">
        <f>IF((AND(N11&gt;Defaults!B$12,(N11+O11)&gt;Defaults!B$13, P11 &gt; Defaults!B$12, (P11+Q11) &gt; Defaults!B$13)),1,20)</f>
        <v>20</v>
      </c>
      <c r="L11" s="1">
        <f t="shared" si="1"/>
        <v>139</v>
      </c>
      <c r="M11" s="1" t="b">
        <f t="shared" si="2"/>
        <v>1</v>
      </c>
      <c r="N11" s="41">
        <f t="shared" si="3"/>
        <v>2</v>
      </c>
      <c r="O11" s="41">
        <f>(D$68*L68)-E11</f>
        <v>3</v>
      </c>
      <c r="P11" s="41">
        <f t="shared" si="4"/>
        <v>229</v>
      </c>
      <c r="Q11" s="41">
        <f>(C$68*L68)-C11</f>
        <v>401</v>
      </c>
      <c r="R11" s="41">
        <f t="shared" si="5"/>
        <v>635</v>
      </c>
      <c r="S11" s="29">
        <f t="shared" si="6"/>
        <v>8397875</v>
      </c>
      <c r="T11" s="29">
        <f t="shared" si="7"/>
        <v>293970600</v>
      </c>
      <c r="U11" s="30">
        <f t="shared" si="8"/>
        <v>2.8567057386010709E-2</v>
      </c>
    </row>
    <row r="12" spans="2:21" ht="18" customHeight="1" x14ac:dyDescent="0.25">
      <c r="B12" s="31" t="str">
        <f>'Data Entry'!A12</f>
        <v>7. Cases Resulting in Delinquent Findings</v>
      </c>
      <c r="C12" s="32">
        <f>'Data Entry'!C12</f>
        <v>105</v>
      </c>
      <c r="D12" s="33">
        <f>IF(((AND(C69&gt;0,C12&gt;0))),(C12/(C69)),0)</f>
        <v>45.851528384279476</v>
      </c>
      <c r="E12" s="32">
        <f>'Data Entry'!H12</f>
        <v>0</v>
      </c>
      <c r="F12" s="33">
        <f>IF(((AND($D$69&gt;0,$E$12&gt;0))),(E12/(D69)),0)</f>
        <v>0</v>
      </c>
      <c r="G12" s="38" t="str">
        <f t="shared" si="0"/>
        <v>*</v>
      </c>
      <c r="H12" s="39"/>
      <c r="I12" s="40"/>
      <c r="J12" s="39">
        <f>IF((ABS($U12)&gt;Defaults!D$7),1,2)</f>
        <v>2</v>
      </c>
      <c r="K12" s="38">
        <f>IF((AND(N12&gt;Defaults!B$12,(N12+O12)&gt;Defaults!B$13, P12 &gt; Defaults!B$12, (P12+Q12) &gt; Defaults!B$13)),1,20)</f>
        <v>20</v>
      </c>
      <c r="L12" s="1">
        <f t="shared" si="1"/>
        <v>139</v>
      </c>
      <c r="M12" s="1" t="b">
        <f t="shared" si="2"/>
        <v>1</v>
      </c>
      <c r="N12" s="41">
        <f t="shared" si="3"/>
        <v>0</v>
      </c>
      <c r="O12" s="41">
        <f>(D69*L69)-E12</f>
        <v>2</v>
      </c>
      <c r="P12" s="41">
        <f t="shared" si="4"/>
        <v>105</v>
      </c>
      <c r="Q12" s="41">
        <f>(C69*L69)-C12</f>
        <v>124</v>
      </c>
      <c r="R12" s="41">
        <f t="shared" si="5"/>
        <v>231</v>
      </c>
      <c r="S12" s="29">
        <f t="shared" si="6"/>
        <v>10187100</v>
      </c>
      <c r="T12" s="29">
        <f t="shared" si="7"/>
        <v>6059340</v>
      </c>
      <c r="U12" s="30">
        <f t="shared" si="8"/>
        <v>1.6812227074235808</v>
      </c>
    </row>
    <row r="13" spans="2:21" ht="18" customHeight="1" x14ac:dyDescent="0.25">
      <c r="B13" s="31" t="str">
        <f>'Data Entry'!A13</f>
        <v>8. Cases Resulting in Probation Placement</v>
      </c>
      <c r="C13" s="32">
        <f>'Data Entry'!C13</f>
        <v>92</v>
      </c>
      <c r="D13" s="33">
        <f>IF(((AND(C70&gt;0,C13&gt;0))),(C13/(C70)),0)</f>
        <v>87.61904761904762</v>
      </c>
      <c r="E13" s="32">
        <f>'Data Entry'!H13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92</v>
      </c>
      <c r="Q13" s="41">
        <f>(C70*L70)-C13</f>
        <v>13</v>
      </c>
      <c r="R13" s="41">
        <f t="shared" si="5"/>
        <v>105</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Entry'!H14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10</v>
      </c>
      <c r="Q14" s="41">
        <f>(C70*L70)-C14</f>
        <v>95</v>
      </c>
      <c r="R14" s="41">
        <f t="shared" si="5"/>
        <v>105</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Entry'!H15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2</v>
      </c>
      <c r="P15" s="41">
        <f t="shared" si="4"/>
        <v>0</v>
      </c>
      <c r="Q15" s="41">
        <f>(C69*L69)-C15</f>
        <v>229</v>
      </c>
      <c r="R15" s="41">
        <f t="shared" si="5"/>
        <v>231</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0.13900000000000001</v>
      </c>
      <c r="E42" s="55">
        <f>MAX(C42:D42)</f>
        <v>16.169</v>
      </c>
      <c r="G42" s="1" t="str">
        <f>B42</f>
        <v>per 1000 youth</v>
      </c>
      <c r="L42" s="56">
        <v>1000</v>
      </c>
      <c r="M42" s="56"/>
      <c r="R42" s="48"/>
    </row>
    <row r="43" spans="2:18" ht="15" hidden="1" customHeight="1" x14ac:dyDescent="0.25">
      <c r="B43" s="48" t="s">
        <v>88</v>
      </c>
      <c r="C43" s="55">
        <f>C7/100</f>
        <v>2.33</v>
      </c>
      <c r="D43" s="55">
        <f>E7/100</f>
        <v>0</v>
      </c>
      <c r="E43" s="55">
        <f>MAX(C43:D43,0)</f>
        <v>2.33</v>
      </c>
      <c r="G43" s="1" t="str">
        <f>B43</f>
        <v>per 100 arrests</v>
      </c>
      <c r="L43" s="56">
        <v>100</v>
      </c>
      <c r="M43" s="56"/>
      <c r="R43" s="48"/>
    </row>
    <row r="44" spans="2:18" ht="15" hidden="1" customHeight="1" x14ac:dyDescent="0.25">
      <c r="B44" s="48" t="s">
        <v>89</v>
      </c>
      <c r="C44" s="55">
        <f>C8/100</f>
        <v>6.3</v>
      </c>
      <c r="D44" s="55">
        <f>E8/100</f>
        <v>0.05</v>
      </c>
      <c r="E44" s="55">
        <f>MAX(C44:D44,0)</f>
        <v>6.3</v>
      </c>
      <c r="G44" s="1" t="str">
        <f>B44</f>
        <v>per 100 referrals</v>
      </c>
      <c r="L44" s="56">
        <v>100</v>
      </c>
      <c r="M44" s="56"/>
      <c r="R44" s="48"/>
    </row>
    <row r="45" spans="2:18" ht="15" hidden="1" customHeight="1" x14ac:dyDescent="0.25">
      <c r="B45" s="48" t="s">
        <v>90</v>
      </c>
      <c r="C45" s="48">
        <f>C11/100</f>
        <v>2.29</v>
      </c>
      <c r="D45" s="48">
        <f>E11/100</f>
        <v>0.02</v>
      </c>
      <c r="E45" s="55">
        <f>MAX(C45:D45,0)</f>
        <v>2.29</v>
      </c>
      <c r="G45" s="1" t="str">
        <f>B45</f>
        <v>per 100 youth petitioned</v>
      </c>
      <c r="L45" s="56">
        <v>100</v>
      </c>
      <c r="M45" s="56"/>
      <c r="R45" s="48"/>
    </row>
    <row r="46" spans="2:18" ht="15" hidden="1" customHeight="1" x14ac:dyDescent="0.25">
      <c r="B46" s="48" t="s">
        <v>91</v>
      </c>
      <c r="C46" s="48">
        <f>C12/100</f>
        <v>1.05</v>
      </c>
      <c r="D46" s="48">
        <f>E12/100</f>
        <v>0</v>
      </c>
      <c r="E46" s="55">
        <f>MAX(C46:D46)</f>
        <v>1.05</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0.13900000000000001</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2.33</v>
      </c>
      <c r="D49" s="48">
        <f t="shared" si="9"/>
        <v>0</v>
      </c>
      <c r="E49" s="48">
        <f>MAX(C49:D49)</f>
        <v>2.33</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0.05</v>
      </c>
      <c r="E50" s="48">
        <f>MAX(C50:D50)</f>
        <v>6.3</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0.02</v>
      </c>
      <c r="E51" s="48">
        <f>MAX(C51:D51)</f>
        <v>2.29</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0</v>
      </c>
      <c r="E52" s="55">
        <f>MAX(C52:D52)</f>
        <v>1.05</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0.13900000000000001</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0</v>
      </c>
      <c r="E55" s="48">
        <f>MAX(C55:D55)</f>
        <v>2.33</v>
      </c>
      <c r="G55" s="1" t="str">
        <f>G49</f>
        <v>per 100 arrests</v>
      </c>
      <c r="L55" s="57">
        <f>IF(($E49&gt;0),L49,L48)</f>
        <v>100</v>
      </c>
      <c r="M55" s="57"/>
    </row>
    <row r="56" spans="2:18" ht="15" hidden="1" customHeight="1" x14ac:dyDescent="0.25">
      <c r="B56" s="48" t="str">
        <f t="shared" si="10"/>
        <v>per 100 referrals</v>
      </c>
      <c r="C56" s="48">
        <f t="shared" si="10"/>
        <v>6.3</v>
      </c>
      <c r="D56" s="48">
        <f t="shared" si="10"/>
        <v>0.05</v>
      </c>
      <c r="E56" s="48">
        <f>MAX(C56:D56)</f>
        <v>6.3</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0.02</v>
      </c>
      <c r="E57" s="48">
        <f>MAX(C57:D57)</f>
        <v>2.29</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0</v>
      </c>
      <c r="E58" s="55">
        <f>MAX(C58:D58)</f>
        <v>1.05</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0.13900000000000001</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0</v>
      </c>
      <c r="E61" s="48">
        <f>MAX(C61:D61)</f>
        <v>2.33</v>
      </c>
      <c r="G61" s="1" t="str">
        <f>G55</f>
        <v>per 100 arrests</v>
      </c>
      <c r="L61" s="57">
        <f>IF(($E55&gt;0),L55,L54)</f>
        <v>100</v>
      </c>
      <c r="M61" s="57"/>
    </row>
    <row r="62" spans="2:18" ht="15" hidden="1" customHeight="1" x14ac:dyDescent="0.25">
      <c r="B62" s="48" t="str">
        <f t="shared" si="11"/>
        <v>per 100 referrals</v>
      </c>
      <c r="C62" s="48">
        <f t="shared" si="11"/>
        <v>6.3</v>
      </c>
      <c r="D62" s="48">
        <f t="shared" si="11"/>
        <v>0.05</v>
      </c>
      <c r="E62" s="48">
        <f>MAX(C62:D62)</f>
        <v>6.3</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0.02</v>
      </c>
      <c r="E63" s="48">
        <f>MAX(C63:D63)</f>
        <v>2.29</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0</v>
      </c>
      <c r="E64" s="55">
        <f>MAX(C64:D64)</f>
        <v>1.05</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0.13900000000000001</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0</v>
      </c>
      <c r="E67" s="48">
        <f>MAX(C67:D67)</f>
        <v>2.33</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0.05</v>
      </c>
      <c r="E68" s="48">
        <f>MAX(C68:D68)</f>
        <v>6.3</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0.02</v>
      </c>
      <c r="E69" s="48">
        <f>MAX(C69:D69)</f>
        <v>2.29</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0</v>
      </c>
      <c r="E70" s="55">
        <f>MAX(C70:D70)</f>
        <v>1.05</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topLeftCell="A4" zoomScale="95" zoomScaleNormal="95" workbookViewId="0">
      <selection activeCell="G11" sqref="G11"/>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6" width="0" style="1" hidden="1" customWidth="1"/>
  </cols>
  <sheetData>
    <row r="1" spans="2:21" ht="27.75" customHeight="1" x14ac:dyDescent="0.25">
      <c r="B1" s="15" t="s">
        <v>29</v>
      </c>
      <c r="D1" s="19" t="s">
        <v>30</v>
      </c>
      <c r="E1" s="13"/>
      <c r="F1" s="212" t="str">
        <f>'Data Entry'!I5</f>
        <v>Biracial or Other</v>
      </c>
      <c r="G1" s="212"/>
      <c r="H1" s="212"/>
      <c r="I1" s="212"/>
      <c r="J1" s="212"/>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Kalamazoo</v>
      </c>
      <c r="C3" s="21"/>
      <c r="D3" s="21"/>
      <c r="E3" s="21"/>
      <c r="F3" s="21"/>
      <c r="G3" s="7"/>
      <c r="H3" s="7"/>
      <c r="I3" s="7"/>
      <c r="J3" s="7"/>
      <c r="K3" s="7"/>
      <c r="N3" s="211" t="s">
        <v>31</v>
      </c>
      <c r="O3" s="211"/>
      <c r="P3" s="211"/>
      <c r="Q3" s="211"/>
      <c r="R3" s="211"/>
      <c r="S3" s="211"/>
      <c r="T3" s="211"/>
      <c r="U3" s="211"/>
    </row>
    <row r="4" spans="2:21" ht="8.25" customHeight="1" x14ac:dyDescent="0.25">
      <c r="B4" s="4"/>
      <c r="C4" s="22"/>
      <c r="D4" s="22"/>
      <c r="E4" s="22"/>
      <c r="F4" s="22"/>
      <c r="G4" s="8"/>
      <c r="H4" s="8"/>
      <c r="I4" s="8"/>
      <c r="N4" s="211"/>
      <c r="O4" s="211"/>
      <c r="P4" s="211"/>
      <c r="Q4" s="211"/>
      <c r="R4" s="211"/>
      <c r="S4" s="211"/>
      <c r="T4" s="211"/>
      <c r="U4" s="211"/>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16169</v>
      </c>
      <c r="D6" s="33"/>
      <c r="E6" s="32">
        <f>'Data Entry'!I6</f>
        <v>0</v>
      </c>
      <c r="F6" s="33"/>
      <c r="G6" s="34"/>
      <c r="H6" s="35"/>
      <c r="I6" s="36"/>
      <c r="J6" s="37"/>
      <c r="K6" s="36"/>
      <c r="L6" s="1">
        <f>IF( ('Data Entry'!I6&gt;('Data Entry'!B6/100)),1,100)</f>
        <v>100</v>
      </c>
      <c r="M6" s="1" t="s">
        <v>50</v>
      </c>
      <c r="N6" s="20"/>
      <c r="O6" s="20"/>
      <c r="P6" s="20"/>
      <c r="Q6" s="20"/>
      <c r="R6" s="20"/>
      <c r="S6" s="29"/>
      <c r="T6" s="29"/>
      <c r="U6" s="30"/>
    </row>
    <row r="7" spans="2:21" ht="18" customHeight="1" x14ac:dyDescent="0.25">
      <c r="B7" s="31" t="str">
        <f>'Data Entry'!A7</f>
        <v xml:space="preserve">2. Juvenile Arrests </v>
      </c>
      <c r="C7" s="32">
        <f>'Data Entry'!C7</f>
        <v>233</v>
      </c>
      <c r="D7" s="33">
        <f>IF((AND(C66&gt;0,C7&gt;0)),(C7/C66),0)</f>
        <v>14.410291298163152</v>
      </c>
      <c r="E7" s="32">
        <f>'Data Entry'!I7</f>
        <v>0</v>
      </c>
      <c r="F7" s="33">
        <f>IF((AND($E$7&gt;0,$D$66&gt;0)),($E$7/$D$66),0)</f>
        <v>0</v>
      </c>
      <c r="G7" s="38" t="str">
        <f t="shared" ref="G7:G15" si="0">IF(L$6=100,"*",IF(M7=FALSE,"--",IF(K7=20,"**",($F7/$D7))))</f>
        <v>*</v>
      </c>
      <c r="H7" s="39"/>
      <c r="I7" s="40"/>
      <c r="J7" s="39" t="e">
        <f>IF((ABS($U7)&gt;Defaults!D$7),1,2)</f>
        <v>#VALUE!</v>
      </c>
      <c r="K7" s="38">
        <f>IF((AND(N7&gt;Defaults!B$12,(N7+O7)&gt;Defaults!B$13, P7 &gt; Defaults!B$12, (P7+Q7) &gt; Defaults!B$13)),1,20)</f>
        <v>20</v>
      </c>
      <c r="L7" s="1" t="e">
        <f t="shared" ref="L7:L15" si="1">(J7*K7+L$6)-1</f>
        <v>#VALUE!</v>
      </c>
      <c r="M7" s="1" t="b">
        <f t="shared" ref="M7:M15" si="2">(ISNUMBER(J7))</f>
        <v>0</v>
      </c>
      <c r="N7" s="41">
        <f t="shared" ref="N7:N15" si="3">E7</f>
        <v>0</v>
      </c>
      <c r="O7" s="41">
        <f>E6-E7</f>
        <v>0</v>
      </c>
      <c r="P7" s="41">
        <f t="shared" ref="P7:P15" si="4">C7</f>
        <v>233</v>
      </c>
      <c r="Q7" s="41">
        <f>C6-C7</f>
        <v>15936</v>
      </c>
      <c r="R7" s="41">
        <f t="shared" ref="R7:R15" si="5">SUM(N7:Q7)</f>
        <v>16169</v>
      </c>
      <c r="S7" s="29">
        <f t="shared" ref="S7:S15" si="6">R7*((((N7*Q7)-(O7*P7))^2))</f>
        <v>0</v>
      </c>
      <c r="T7" s="29">
        <f t="shared" ref="T7:T15" si="7">(N7+O7)*(P7+Q7)*(N7+P7)*(O7+Q7)</f>
        <v>0</v>
      </c>
      <c r="U7" s="30" t="str">
        <f t="shared" ref="U7:U15" si="8">IF((S7&gt;0),S7/T7,"- -")</f>
        <v>- -</v>
      </c>
    </row>
    <row r="8" spans="2:21" ht="18" customHeight="1" x14ac:dyDescent="0.25">
      <c r="B8" s="31" t="str">
        <f>'Data Entry'!A8</f>
        <v>3. Refer to Juvenile Court</v>
      </c>
      <c r="C8" s="32">
        <f>'Data Entry'!C8</f>
        <v>630</v>
      </c>
      <c r="D8" s="33">
        <f>IF((AND(C67&gt;0,C8&gt;0)),(C8/C67),0)</f>
        <v>270.38626609442059</v>
      </c>
      <c r="E8" s="32">
        <f>'Data Entry'!I8</f>
        <v>95</v>
      </c>
      <c r="F8" s="33">
        <f>IF((AND($E$8&gt;0,$D$67&gt;0)),($E8/$D67),0)</f>
        <v>0</v>
      </c>
      <c r="G8" s="38" t="str">
        <f t="shared" si="0"/>
        <v>*</v>
      </c>
      <c r="H8" s="39"/>
      <c r="I8" s="40"/>
      <c r="J8" s="39">
        <f>IF((ABS($U8)&gt;Defaults!D$7),1,2)</f>
        <v>1</v>
      </c>
      <c r="K8" s="38">
        <f>IF((AND(N8&gt;Defaults!B$12,(N8+O8)&gt;Defaults!B$13, P8 &gt; Defaults!B$12, (P8+Q8) &gt; Defaults!B$13)),1,20)</f>
        <v>20</v>
      </c>
      <c r="L8" s="1">
        <f t="shared" si="1"/>
        <v>119</v>
      </c>
      <c r="M8" s="1" t="b">
        <f t="shared" si="2"/>
        <v>1</v>
      </c>
      <c r="N8" s="41">
        <f t="shared" si="3"/>
        <v>95</v>
      </c>
      <c r="O8" s="41">
        <f>((D67*L67)-E8)+0.05</f>
        <v>-94.95</v>
      </c>
      <c r="P8" s="41">
        <f t="shared" si="4"/>
        <v>630</v>
      </c>
      <c r="Q8" s="41">
        <f>(C$67*L67)-C8</f>
        <v>-397</v>
      </c>
      <c r="R8" s="41">
        <f t="shared" si="5"/>
        <v>233.04999999999995</v>
      </c>
      <c r="S8" s="29">
        <f t="shared" si="6"/>
        <v>113860006189.86247</v>
      </c>
      <c r="T8" s="29">
        <f t="shared" si="7"/>
        <v>-4155132.6874997634</v>
      </c>
      <c r="U8" s="30">
        <f t="shared" si="8"/>
        <v>-27402.255175243175</v>
      </c>
    </row>
    <row r="9" spans="2:21" ht="18" customHeight="1" x14ac:dyDescent="0.25">
      <c r="B9" s="31" t="str">
        <f>'Data Entry'!A9</f>
        <v xml:space="preserve">4. Cases Diverted </v>
      </c>
      <c r="C9" s="32">
        <f>'Data Entry'!C9</f>
        <v>401</v>
      </c>
      <c r="D9" s="33">
        <f>IF((AND(C68&gt;0,C9&gt;0)),((C9/C68)),0)</f>
        <v>63.650793650793652</v>
      </c>
      <c r="E9" s="32">
        <f>'Data Entry'!I9</f>
        <v>53</v>
      </c>
      <c r="F9" s="33">
        <f>IF((AND($E$9&gt;0,$D$68&gt;0)),(($E$9/$D$68)),0)</f>
        <v>55.789473684210527</v>
      </c>
      <c r="G9" s="38" t="str">
        <f t="shared" si="0"/>
        <v>*</v>
      </c>
      <c r="H9" s="39"/>
      <c r="I9" s="40"/>
      <c r="J9" s="39">
        <f>IF((ABS($U9)&gt;Defaults!D$7),1,2)</f>
        <v>2</v>
      </c>
      <c r="K9" s="38">
        <f>IF((AND(N9&gt;Defaults!B$12,(N9+O9)&gt;Defaults!B$13, P9 &gt; Defaults!B$12, (P9+Q9) &gt; Defaults!B$13)),1,20)</f>
        <v>1</v>
      </c>
      <c r="L9" s="1">
        <f t="shared" si="1"/>
        <v>101</v>
      </c>
      <c r="M9" s="1" t="b">
        <f t="shared" si="2"/>
        <v>1</v>
      </c>
      <c r="N9" s="41">
        <f t="shared" si="3"/>
        <v>53</v>
      </c>
      <c r="O9" s="41">
        <f>(D$68*L68)-E9</f>
        <v>42</v>
      </c>
      <c r="P9" s="41">
        <f t="shared" si="4"/>
        <v>401</v>
      </c>
      <c r="Q9" s="41">
        <f>(C$68*L68)-C9</f>
        <v>229</v>
      </c>
      <c r="R9" s="41">
        <f t="shared" si="5"/>
        <v>725</v>
      </c>
      <c r="S9" s="29">
        <f t="shared" si="6"/>
        <v>16049343125</v>
      </c>
      <c r="T9" s="29">
        <f t="shared" si="7"/>
        <v>7363584900</v>
      </c>
      <c r="U9" s="30">
        <f t="shared" si="8"/>
        <v>2.1795556570550305</v>
      </c>
    </row>
    <row r="10" spans="2:21" ht="18" customHeight="1" x14ac:dyDescent="0.25">
      <c r="B10" s="31" t="str">
        <f>'Data Entry'!A10</f>
        <v>5. Cases Involving Secure Detention</v>
      </c>
      <c r="C10" s="32">
        <f>'Data Entry'!C10</f>
        <v>158</v>
      </c>
      <c r="D10" s="33">
        <f>IF(((AND(C68&gt;0,C10&gt;0))),(C10/(C68)),0)</f>
        <v>25.079365079365079</v>
      </c>
      <c r="E10" s="32">
        <f>'Data Entry'!I10</f>
        <v>30</v>
      </c>
      <c r="F10" s="33">
        <f>IF(((AND($E$10&gt;0,$D$68&gt;0))),($E$10/($D$68)),0)</f>
        <v>31.578947368421055</v>
      </c>
      <c r="G10" s="38" t="str">
        <f t="shared" si="0"/>
        <v>*</v>
      </c>
      <c r="H10" s="39"/>
      <c r="I10" s="40"/>
      <c r="J10" s="39">
        <f>IF((ABS($U10)&gt;Defaults!D$7),1,2)</f>
        <v>2</v>
      </c>
      <c r="K10" s="38">
        <f>IF((AND(N10&gt;Defaults!B$12,(N10+O10)&gt;Defaults!B$13, P10 &gt; Defaults!B$12, (P10+Q10) &gt; Defaults!B$13)),1,20)</f>
        <v>1</v>
      </c>
      <c r="L10" s="1">
        <f t="shared" si="1"/>
        <v>101</v>
      </c>
      <c r="M10" s="1" t="b">
        <f t="shared" si="2"/>
        <v>1</v>
      </c>
      <c r="N10" s="41">
        <f t="shared" si="3"/>
        <v>30</v>
      </c>
      <c r="O10" s="41">
        <f>(D$68*L68)-E10</f>
        <v>65</v>
      </c>
      <c r="P10" s="41">
        <f t="shared" si="4"/>
        <v>158</v>
      </c>
      <c r="Q10" s="41">
        <f>(C$68*L68)-C10</f>
        <v>472</v>
      </c>
      <c r="R10" s="41">
        <f t="shared" si="5"/>
        <v>725</v>
      </c>
      <c r="S10" s="29">
        <f t="shared" si="6"/>
        <v>10970772500</v>
      </c>
      <c r="T10" s="29">
        <f t="shared" si="7"/>
        <v>6042216600</v>
      </c>
      <c r="U10" s="30">
        <f t="shared" si="8"/>
        <v>1.8156867299328527</v>
      </c>
    </row>
    <row r="11" spans="2:21" ht="18" customHeight="1" x14ac:dyDescent="0.25">
      <c r="B11" s="31" t="str">
        <f>'Data Entry'!A11</f>
        <v>6. Cases Petitioned (Charge Filed)</v>
      </c>
      <c r="C11" s="32">
        <f>'Data Entry'!C11</f>
        <v>229</v>
      </c>
      <c r="D11" s="33">
        <f>IF(((AND(C68&gt;0,C11&gt;0))),(C11/(C68)),0)</f>
        <v>36.349206349206348</v>
      </c>
      <c r="E11" s="32">
        <f>'Data Entry'!I11</f>
        <v>42</v>
      </c>
      <c r="F11" s="33">
        <f>IF(((AND($E$11&gt;0,$D$68&gt;0))),($E$11/($D$68)),0)</f>
        <v>44.210526315789473</v>
      </c>
      <c r="G11" s="38" t="str">
        <f t="shared" si="0"/>
        <v>*</v>
      </c>
      <c r="H11" s="39"/>
      <c r="I11" s="40"/>
      <c r="J11" s="39">
        <f>IF((ABS($U11)&gt;Defaults!D$7),1,2)</f>
        <v>2</v>
      </c>
      <c r="K11" s="38">
        <f>IF((AND(N11&gt;Defaults!B$12,(N11+O11)&gt;Defaults!B$13, P11 &gt; Defaults!B$12, (P11+Q11) &gt; Defaults!B$13)),1,20)</f>
        <v>1</v>
      </c>
      <c r="L11" s="1">
        <f t="shared" si="1"/>
        <v>101</v>
      </c>
      <c r="M11" s="1" t="b">
        <f t="shared" si="2"/>
        <v>1</v>
      </c>
      <c r="N11" s="41">
        <f t="shared" si="3"/>
        <v>42</v>
      </c>
      <c r="O11" s="41">
        <f>(D$68*L68)-E11</f>
        <v>53</v>
      </c>
      <c r="P11" s="41">
        <f t="shared" si="4"/>
        <v>229</v>
      </c>
      <c r="Q11" s="41">
        <f>(C$68*L68)-C11</f>
        <v>401</v>
      </c>
      <c r="R11" s="41">
        <f t="shared" si="5"/>
        <v>725</v>
      </c>
      <c r="S11" s="29">
        <f t="shared" si="6"/>
        <v>16049343125</v>
      </c>
      <c r="T11" s="29">
        <f t="shared" si="7"/>
        <v>7363584900</v>
      </c>
      <c r="U11" s="30">
        <f t="shared" si="8"/>
        <v>2.1795556570550305</v>
      </c>
    </row>
    <row r="12" spans="2:21" ht="18" customHeight="1" x14ac:dyDescent="0.25">
      <c r="B12" s="31" t="str">
        <f>'Data Entry'!A12</f>
        <v>7. Cases Resulting in Delinquent Findings</v>
      </c>
      <c r="C12" s="32">
        <f>'Data Entry'!C12</f>
        <v>105</v>
      </c>
      <c r="D12" s="33">
        <f>IF(((AND(C69&gt;0,C12&gt;0))),(C12/(C69)),0)</f>
        <v>45.851528384279476</v>
      </c>
      <c r="E12" s="32">
        <f>'Data Entry'!I12</f>
        <v>15</v>
      </c>
      <c r="F12" s="33">
        <f>IF(((AND($D$69&gt;0,$E$12&gt;0))),(E12/(D69)),0)</f>
        <v>35.714285714285715</v>
      </c>
      <c r="G12" s="38" t="str">
        <f t="shared" si="0"/>
        <v>*</v>
      </c>
      <c r="H12" s="39"/>
      <c r="I12" s="40"/>
      <c r="J12" s="39">
        <f>IF((ABS($U12)&gt;Defaults!D$7),1,2)</f>
        <v>2</v>
      </c>
      <c r="K12" s="38">
        <f>IF((AND(N12&gt;Defaults!B$12,(N12+O12)&gt;Defaults!B$13, P12 &gt; Defaults!B$12, (P12+Q12) &gt; Defaults!B$13)),1,20)</f>
        <v>1</v>
      </c>
      <c r="L12" s="1">
        <f t="shared" si="1"/>
        <v>101</v>
      </c>
      <c r="M12" s="1" t="b">
        <f t="shared" si="2"/>
        <v>1</v>
      </c>
      <c r="N12" s="41">
        <f t="shared" si="3"/>
        <v>15</v>
      </c>
      <c r="O12" s="41">
        <f>(D69*L69)-E12</f>
        <v>27</v>
      </c>
      <c r="P12" s="41">
        <f t="shared" si="4"/>
        <v>105</v>
      </c>
      <c r="Q12" s="41">
        <f>(C69*L69)-C12</f>
        <v>124</v>
      </c>
      <c r="R12" s="41">
        <f t="shared" si="5"/>
        <v>271</v>
      </c>
      <c r="S12" s="29">
        <f t="shared" si="6"/>
        <v>257619375</v>
      </c>
      <c r="T12" s="29">
        <f t="shared" si="7"/>
        <v>174278160</v>
      </c>
      <c r="U12" s="30">
        <f t="shared" si="8"/>
        <v>1.478208026754471</v>
      </c>
    </row>
    <row r="13" spans="2:21" ht="18" customHeight="1" x14ac:dyDescent="0.25">
      <c r="B13" s="31" t="str">
        <f>'Data Entry'!A13</f>
        <v>8. Cases Resulting in Probation Placement</v>
      </c>
      <c r="C13" s="32">
        <f>'Data Entry'!C13</f>
        <v>92</v>
      </c>
      <c r="D13" s="33">
        <f>IF(((AND(C70&gt;0,C13&gt;0))),(C13/(C70)),0)</f>
        <v>87.61904761904762</v>
      </c>
      <c r="E13" s="32">
        <f>'Data Entry'!I13</f>
        <v>34</v>
      </c>
      <c r="F13" s="33">
        <f>IF(((AND($D$70&gt;0,$E$13&gt;0))),($E$13/($D$70)),0)</f>
        <v>226.66666666666669</v>
      </c>
      <c r="G13" s="38" t="str">
        <f t="shared" si="0"/>
        <v>*</v>
      </c>
      <c r="H13" s="39"/>
      <c r="I13" s="40"/>
      <c r="J13" s="39">
        <f>IF((ABS($U13)&gt;Defaults!D$7),1,2)</f>
        <v>1</v>
      </c>
      <c r="K13" s="38">
        <f>IF((AND(N13&gt;Defaults!B$12,(N13+O13)&gt;Defaults!B$13, P13 &gt; Defaults!B$12, (P13+Q13) &gt; Defaults!B$13)),1,20)</f>
        <v>20</v>
      </c>
      <c r="L13" s="1">
        <f t="shared" si="1"/>
        <v>119</v>
      </c>
      <c r="M13" s="1" t="b">
        <f t="shared" si="2"/>
        <v>1</v>
      </c>
      <c r="N13" s="41">
        <f t="shared" si="3"/>
        <v>34</v>
      </c>
      <c r="O13" s="41">
        <f>(D70*L70)-E13</f>
        <v>-19</v>
      </c>
      <c r="P13" s="41">
        <f t="shared" si="4"/>
        <v>92</v>
      </c>
      <c r="Q13" s="41">
        <f>(C70*L70)-C13</f>
        <v>13</v>
      </c>
      <c r="R13" s="41">
        <f t="shared" si="5"/>
        <v>120</v>
      </c>
      <c r="S13" s="29">
        <f t="shared" si="6"/>
        <v>575532000</v>
      </c>
      <c r="T13" s="29">
        <f t="shared" si="7"/>
        <v>-1190700</v>
      </c>
      <c r="U13" s="30">
        <f t="shared" si="8"/>
        <v>-483.35600907029476</v>
      </c>
    </row>
    <row r="14" spans="2:21" ht="30.75" customHeight="1" x14ac:dyDescent="0.25">
      <c r="B14" s="31" t="str">
        <f>'Data Entry'!A14</f>
        <v xml:space="preserve">9. Cases Resulting in Confinement in Secure Juvenile Correctional Facilities </v>
      </c>
      <c r="C14" s="32">
        <f>'Data Entry'!C14</f>
        <v>10</v>
      </c>
      <c r="D14" s="33">
        <f>IF(((AND(C70&gt;0,C14&gt;0))), ((C14/(C70))),0)</f>
        <v>9.5238095238095237</v>
      </c>
      <c r="E14" s="32">
        <f>'Data Entry'!I14</f>
        <v>2</v>
      </c>
      <c r="F14" s="33">
        <f>IF(((AND($D$70&gt;0,$E$14&gt;0))), (($E$14/($D$70))),0)</f>
        <v>13.333333333333334</v>
      </c>
      <c r="G14" s="38" t="str">
        <f t="shared" si="0"/>
        <v>*</v>
      </c>
      <c r="H14" s="39"/>
      <c r="I14" s="40"/>
      <c r="J14" s="39">
        <f>IF((ABS($U14)&gt;Defaults!D$7),1,2)</f>
        <v>2</v>
      </c>
      <c r="K14" s="38">
        <f>IF((AND(N14&gt;Defaults!B$12,(N14+O14)&gt;Defaults!B$13, P14 &gt; Defaults!B$12, (P14+Q14) &gt; Defaults!B$13)),1,20)</f>
        <v>20</v>
      </c>
      <c r="L14" s="1">
        <f t="shared" si="1"/>
        <v>139</v>
      </c>
      <c r="M14" s="1" t="b">
        <f t="shared" si="2"/>
        <v>1</v>
      </c>
      <c r="N14" s="41">
        <f t="shared" si="3"/>
        <v>2</v>
      </c>
      <c r="O14" s="41">
        <f>(D70*L70)-E14</f>
        <v>13</v>
      </c>
      <c r="P14" s="41">
        <f t="shared" si="4"/>
        <v>10</v>
      </c>
      <c r="Q14" s="41">
        <f>(C70*L70)-C14</f>
        <v>95</v>
      </c>
      <c r="R14" s="41">
        <f t="shared" si="5"/>
        <v>120</v>
      </c>
      <c r="S14" s="29">
        <f t="shared" si="6"/>
        <v>432000</v>
      </c>
      <c r="T14" s="29">
        <f t="shared" si="7"/>
        <v>2041200</v>
      </c>
      <c r="U14" s="30">
        <f t="shared" si="8"/>
        <v>0.21164021164021163</v>
      </c>
    </row>
    <row r="15" spans="2:21" ht="15.75" customHeight="1" x14ac:dyDescent="0.25">
      <c r="B15" s="31" t="str">
        <f>'Data Entry'!A15</f>
        <v xml:space="preserve">10. Cases Transferred to Adult Court </v>
      </c>
      <c r="C15" s="32">
        <f>'Data Entry'!C15</f>
        <v>0</v>
      </c>
      <c r="D15" s="33">
        <f>IF(((AND(C69&gt;0,C15&gt;0))),((C15/(C69))),0)</f>
        <v>0</v>
      </c>
      <c r="E15" s="32">
        <f>'Data Entry'!I15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42</v>
      </c>
      <c r="P15" s="41">
        <f t="shared" si="4"/>
        <v>0</v>
      </c>
      <c r="Q15" s="41">
        <f>(C69*L69)-C15</f>
        <v>229</v>
      </c>
      <c r="R15" s="41">
        <f t="shared" si="5"/>
        <v>271</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1</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10" t="s">
        <v>80</v>
      </c>
      <c r="C40" s="210"/>
      <c r="D40" s="210"/>
      <c r="E40" s="210"/>
      <c r="F40" s="210"/>
      <c r="G40" s="210"/>
      <c r="H40" s="210"/>
      <c r="I40" s="210"/>
      <c r="J40" s="210"/>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16.169</v>
      </c>
      <c r="D42" s="55">
        <f>E6/1000</f>
        <v>0</v>
      </c>
      <c r="E42" s="55">
        <f>MAX(C42:D42)</f>
        <v>16.169</v>
      </c>
      <c r="G42" s="1" t="str">
        <f>B42</f>
        <v>per 1000 youth</v>
      </c>
      <c r="L42" s="56">
        <v>1000</v>
      </c>
      <c r="M42" s="56"/>
      <c r="R42" s="48"/>
    </row>
    <row r="43" spans="2:18" ht="15" hidden="1" customHeight="1" x14ac:dyDescent="0.25">
      <c r="B43" s="48" t="s">
        <v>88</v>
      </c>
      <c r="C43" s="55">
        <f>C7/100</f>
        <v>2.33</v>
      </c>
      <c r="D43" s="55">
        <f>E7/100</f>
        <v>0</v>
      </c>
      <c r="E43" s="55">
        <f>MAX(C43:D43,0)</f>
        <v>2.33</v>
      </c>
      <c r="G43" s="1" t="str">
        <f>B43</f>
        <v>per 100 arrests</v>
      </c>
      <c r="L43" s="56">
        <v>100</v>
      </c>
      <c r="M43" s="56"/>
      <c r="R43" s="48"/>
    </row>
    <row r="44" spans="2:18" ht="15" hidden="1" customHeight="1" x14ac:dyDescent="0.25">
      <c r="B44" s="48" t="s">
        <v>89</v>
      </c>
      <c r="C44" s="55">
        <f>C8/100</f>
        <v>6.3</v>
      </c>
      <c r="D44" s="55">
        <f>E8/100</f>
        <v>0.95</v>
      </c>
      <c r="E44" s="55">
        <f>MAX(C44:D44,0)</f>
        <v>6.3</v>
      </c>
      <c r="G44" s="1" t="str">
        <f>B44</f>
        <v>per 100 referrals</v>
      </c>
      <c r="L44" s="56">
        <v>100</v>
      </c>
      <c r="M44" s="56"/>
      <c r="R44" s="48"/>
    </row>
    <row r="45" spans="2:18" ht="15" hidden="1" customHeight="1" x14ac:dyDescent="0.25">
      <c r="B45" s="48" t="s">
        <v>90</v>
      </c>
      <c r="C45" s="48">
        <f>C11/100</f>
        <v>2.29</v>
      </c>
      <c r="D45" s="48">
        <f>E11/100</f>
        <v>0.42</v>
      </c>
      <c r="E45" s="55">
        <f>MAX(C45:D45,0)</f>
        <v>2.29</v>
      </c>
      <c r="G45" s="1" t="str">
        <f>B45</f>
        <v>per 100 youth petitioned</v>
      </c>
      <c r="L45" s="56">
        <v>100</v>
      </c>
      <c r="M45" s="56"/>
      <c r="R45" s="48"/>
    </row>
    <row r="46" spans="2:18" ht="15" hidden="1" customHeight="1" x14ac:dyDescent="0.25">
      <c r="B46" s="48" t="s">
        <v>91</v>
      </c>
      <c r="C46" s="48">
        <f>C12/100</f>
        <v>1.05</v>
      </c>
      <c r="D46" s="48">
        <f>E12/100</f>
        <v>0.15</v>
      </c>
      <c r="E46" s="55">
        <f>MAX(C46:D46)</f>
        <v>1.05</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16.169</v>
      </c>
      <c r="D48" s="55">
        <f>D42</f>
        <v>0</v>
      </c>
      <c r="E48" s="55">
        <f>MAX(C48:D48)</f>
        <v>16.169</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2.33</v>
      </c>
      <c r="D49" s="48">
        <f t="shared" si="9"/>
        <v>0</v>
      </c>
      <c r="E49" s="48">
        <f>MAX(C49:D49)</f>
        <v>2.33</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6.3</v>
      </c>
      <c r="D50" s="48">
        <f t="shared" si="9"/>
        <v>0.95</v>
      </c>
      <c r="E50" s="48">
        <f>MAX(C50:D50)</f>
        <v>6.3</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2.29</v>
      </c>
      <c r="D51" s="48">
        <f>IF(($E45&gt;0),D45,D44)</f>
        <v>0.42</v>
      </c>
      <c r="E51" s="48">
        <f>MAX(C51:D51)</f>
        <v>2.29</v>
      </c>
      <c r="G51" s="1" t="str">
        <f>G45</f>
        <v>per 100 youth petitioned</v>
      </c>
      <c r="L51" s="57">
        <f>IF(($E45&gt;0),L45,L44)</f>
        <v>100</v>
      </c>
      <c r="M51" s="57"/>
    </row>
    <row r="52" spans="2:18" ht="15" hidden="1" customHeight="1" x14ac:dyDescent="0.25">
      <c r="B52" s="48" t="str">
        <f>IF(($E46&gt;0),B46,B45)</f>
        <v>per 100 youth found delinquent</v>
      </c>
      <c r="C52" s="48">
        <f>IF(($E46&gt;0),C46,C45)</f>
        <v>1.05</v>
      </c>
      <c r="D52" s="48">
        <f>IF(($E46&gt;0),D46,D45)</f>
        <v>0.15</v>
      </c>
      <c r="E52" s="55">
        <f>MAX(C52:D52)</f>
        <v>1.05</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16.169</v>
      </c>
      <c r="D54" s="55">
        <f>D48</f>
        <v>0</v>
      </c>
      <c r="E54" s="55">
        <f>MAX(C54:D54)</f>
        <v>16.169</v>
      </c>
      <c r="G54" s="1" t="str">
        <f>G48</f>
        <v>per 1000 youth</v>
      </c>
      <c r="L54" s="57">
        <f>L48</f>
        <v>1000</v>
      </c>
      <c r="M54" s="57"/>
    </row>
    <row r="55" spans="2:18" ht="15" hidden="1" customHeight="1" x14ac:dyDescent="0.25">
      <c r="B55" s="48" t="str">
        <f t="shared" ref="B55:D56" si="10">IF(($E49&gt;0),B49,B48)</f>
        <v>per 100 arrests</v>
      </c>
      <c r="C55" s="48">
        <f t="shared" si="10"/>
        <v>2.33</v>
      </c>
      <c r="D55" s="48">
        <f t="shared" si="10"/>
        <v>0</v>
      </c>
      <c r="E55" s="48">
        <f>MAX(C55:D55)</f>
        <v>2.33</v>
      </c>
      <c r="G55" s="1" t="str">
        <f>G49</f>
        <v>per 100 arrests</v>
      </c>
      <c r="L55" s="57">
        <f>IF(($E49&gt;0),L49,L48)</f>
        <v>100</v>
      </c>
      <c r="M55" s="57"/>
    </row>
    <row r="56" spans="2:18" ht="15" hidden="1" customHeight="1" x14ac:dyDescent="0.25">
      <c r="B56" s="48" t="str">
        <f t="shared" si="10"/>
        <v>per 100 referrals</v>
      </c>
      <c r="C56" s="48">
        <f t="shared" si="10"/>
        <v>6.3</v>
      </c>
      <c r="D56" s="48">
        <f t="shared" si="10"/>
        <v>0.95</v>
      </c>
      <c r="E56" s="48">
        <f>MAX(C56:D56)</f>
        <v>6.3</v>
      </c>
      <c r="G56" s="1" t="str">
        <f>G50</f>
        <v>per 100 referrals</v>
      </c>
      <c r="L56" s="57">
        <f>IF(($E50&gt;0),L50,L49)</f>
        <v>100</v>
      </c>
      <c r="M56" s="57"/>
    </row>
    <row r="57" spans="2:18" ht="15" hidden="1" customHeight="1" x14ac:dyDescent="0.25">
      <c r="B57" s="48" t="str">
        <f>IF(($E51&gt;0),B51,B49)</f>
        <v>per 100 youth petitioned</v>
      </c>
      <c r="C57" s="48">
        <f>IF(($E51&gt;0),C51,C50)</f>
        <v>2.29</v>
      </c>
      <c r="D57" s="48">
        <f>IF(($E51&gt;0),D51,D50)</f>
        <v>0.42</v>
      </c>
      <c r="E57" s="48">
        <f>MAX(C57:D57)</f>
        <v>2.29</v>
      </c>
      <c r="G57" s="1" t="str">
        <f>G51</f>
        <v>per 100 youth petitioned</v>
      </c>
      <c r="L57" s="57">
        <f>IF(($E51&gt;0),L51,L50)</f>
        <v>100</v>
      </c>
      <c r="M57" s="57"/>
    </row>
    <row r="58" spans="2:18" ht="15" hidden="1" customHeight="1" x14ac:dyDescent="0.25">
      <c r="B58" s="48" t="str">
        <f>IF(($E52&gt;0),B52,B51)</f>
        <v>per 100 youth found delinquent</v>
      </c>
      <c r="C58" s="48">
        <f>IF(($E52&gt;0),C52,C51)</f>
        <v>1.05</v>
      </c>
      <c r="D58" s="48">
        <f>IF(($E52&gt;0),D52,D51)</f>
        <v>0.15</v>
      </c>
      <c r="E58" s="55">
        <f>MAX(C58:D58)</f>
        <v>1.05</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16.169</v>
      </c>
      <c r="D60" s="55">
        <f>D54</f>
        <v>0</v>
      </c>
      <c r="E60" s="55">
        <f>MAX(C60:D60)</f>
        <v>16.169</v>
      </c>
      <c r="G60" s="1" t="str">
        <f>G54</f>
        <v>per 1000 youth</v>
      </c>
      <c r="L60" s="57">
        <f>L54</f>
        <v>1000</v>
      </c>
      <c r="M60" s="57"/>
    </row>
    <row r="61" spans="2:18" ht="15" hidden="1" customHeight="1" x14ac:dyDescent="0.25">
      <c r="B61" s="48" t="str">
        <f t="shared" ref="B61:D62" si="11">IF(($E55&gt;0),B55,B54)</f>
        <v>per 100 arrests</v>
      </c>
      <c r="C61" s="48">
        <f t="shared" si="11"/>
        <v>2.33</v>
      </c>
      <c r="D61" s="48">
        <f t="shared" si="11"/>
        <v>0</v>
      </c>
      <c r="E61" s="48">
        <f>MAX(C61:D61)</f>
        <v>2.33</v>
      </c>
      <c r="G61" s="1" t="str">
        <f>G55</f>
        <v>per 100 arrests</v>
      </c>
      <c r="L61" s="57">
        <f>IF(($E55&gt;0),L55,L54)</f>
        <v>100</v>
      </c>
      <c r="M61" s="57"/>
    </row>
    <row r="62" spans="2:18" ht="15" hidden="1" customHeight="1" x14ac:dyDescent="0.25">
      <c r="B62" s="48" t="str">
        <f t="shared" si="11"/>
        <v>per 100 referrals</v>
      </c>
      <c r="C62" s="48">
        <f t="shared" si="11"/>
        <v>6.3</v>
      </c>
      <c r="D62" s="48">
        <f t="shared" si="11"/>
        <v>0.95</v>
      </c>
      <c r="E62" s="48">
        <f>MAX(C62:D62)</f>
        <v>6.3</v>
      </c>
      <c r="G62" s="1" t="str">
        <f>G56</f>
        <v>per 100 referrals</v>
      </c>
      <c r="L62" s="57">
        <f>IF(($E56&gt;0),L56,L55)</f>
        <v>100</v>
      </c>
      <c r="M62" s="57"/>
    </row>
    <row r="63" spans="2:18" ht="15" hidden="1" customHeight="1" x14ac:dyDescent="0.25">
      <c r="B63" s="48" t="str">
        <f>IF(($E57&gt;0),B57,B55)</f>
        <v>per 100 youth petitioned</v>
      </c>
      <c r="C63" s="48">
        <f>IF(($E57&gt;0),C57,C56)</f>
        <v>2.29</v>
      </c>
      <c r="D63" s="48">
        <f>IF(($E57&gt;0),D57,D56)</f>
        <v>0.42</v>
      </c>
      <c r="E63" s="48">
        <f>MAX(C63:D63)</f>
        <v>2.29</v>
      </c>
      <c r="G63" s="1" t="str">
        <f>G57</f>
        <v>per 100 youth petitioned</v>
      </c>
      <c r="L63" s="57">
        <f>IF(($E57&gt;0),L57,L56)</f>
        <v>100</v>
      </c>
      <c r="M63" s="57"/>
    </row>
    <row r="64" spans="2:18" ht="15" hidden="1" customHeight="1" x14ac:dyDescent="0.25">
      <c r="B64" s="48" t="str">
        <f>IF(($E58&gt;0),B58,B57)</f>
        <v>per 100 youth found delinquent</v>
      </c>
      <c r="C64" s="48">
        <f>IF(($E58&gt;0),C58,C57)</f>
        <v>1.05</v>
      </c>
      <c r="D64" s="48">
        <f>IF(($E58&gt;0),D58,D57)</f>
        <v>0.15</v>
      </c>
      <c r="E64" s="55">
        <f>MAX(C64:D64)</f>
        <v>1.05</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16.169</v>
      </c>
      <c r="D66" s="55">
        <f>D60</f>
        <v>0</v>
      </c>
      <c r="E66" s="55">
        <f>MAX(C66:D66)</f>
        <v>16.169</v>
      </c>
      <c r="G66" s="1" t="str">
        <f>G60</f>
        <v>per 1000 youth</v>
      </c>
      <c r="L66" s="57">
        <f>L60</f>
        <v>1000</v>
      </c>
      <c r="M66" s="57">
        <f>IF((B66=G66),1,2)</f>
        <v>1</v>
      </c>
    </row>
    <row r="67" spans="2:13" ht="15" hidden="1" customHeight="1" x14ac:dyDescent="0.25">
      <c r="B67" s="48" t="str">
        <f t="shared" ref="B67:D68" si="12">IF(($E61&gt;0),B61,B60)</f>
        <v>per 100 arrests</v>
      </c>
      <c r="C67" s="48">
        <f t="shared" si="12"/>
        <v>2.33</v>
      </c>
      <c r="D67" s="48">
        <f t="shared" si="12"/>
        <v>0</v>
      </c>
      <c r="E67" s="48">
        <f>MAX(C67:D67)</f>
        <v>2.33</v>
      </c>
      <c r="G67" s="1" t="str">
        <f>G61</f>
        <v>per 100 arrests</v>
      </c>
      <c r="L67" s="57">
        <f>IF(($E61&gt;0),L61,L60)</f>
        <v>100</v>
      </c>
      <c r="M67" s="57">
        <f>IF((B67=G67),1,2)</f>
        <v>1</v>
      </c>
    </row>
    <row r="68" spans="2:13" ht="15" hidden="1" customHeight="1" x14ac:dyDescent="0.25">
      <c r="B68" s="48" t="str">
        <f t="shared" si="12"/>
        <v>per 100 referrals</v>
      </c>
      <c r="C68" s="48">
        <f t="shared" si="12"/>
        <v>6.3</v>
      </c>
      <c r="D68" s="48">
        <f t="shared" si="12"/>
        <v>0.95</v>
      </c>
      <c r="E68" s="48">
        <f>MAX(C68:D68)</f>
        <v>6.3</v>
      </c>
      <c r="G68" s="1" t="str">
        <f>G62</f>
        <v>per 100 referrals</v>
      </c>
      <c r="L68" s="57">
        <f>IF(($E62&gt;0),L62,L61)</f>
        <v>100</v>
      </c>
      <c r="M68" s="57">
        <f>IF((B68=G68),1,2)</f>
        <v>1</v>
      </c>
    </row>
    <row r="69" spans="2:13" ht="15" hidden="1" customHeight="1" x14ac:dyDescent="0.25">
      <c r="B69" s="48" t="str">
        <f>IF(($E63&gt;0),B63,B61)</f>
        <v>per 100 youth petitioned</v>
      </c>
      <c r="C69" s="48">
        <f>IF(($E63&gt;0),C63,C62)</f>
        <v>2.29</v>
      </c>
      <c r="D69" s="48">
        <f>IF(($E63&gt;0),D63,D62)</f>
        <v>0.42</v>
      </c>
      <c r="E69" s="48">
        <f>MAX(C69:D69)</f>
        <v>2.29</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1.05</v>
      </c>
      <c r="D70" s="48">
        <f>IF(($E64&gt;0),D64,D63)</f>
        <v>0.15</v>
      </c>
      <c r="E70" s="55">
        <f>MAX(C70:D70)</f>
        <v>1.05</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Data Entry</vt:lpstr>
      <vt:lpstr>Standard Display</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Entry'!Print_Area</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Stephanie Price</cp:lastModifiedBy>
  <cp:lastPrinted>2013-05-09T15:54:08Z</cp:lastPrinted>
  <dcterms:created xsi:type="dcterms:W3CDTF">2002-11-18T06:04:28Z</dcterms:created>
  <dcterms:modified xsi:type="dcterms:W3CDTF">2014-06-13T20:30:16Z</dcterms:modified>
</cp:coreProperties>
</file>