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1" documentId="8_{F059C357-1469-4F46-8C8A-4F612D48D78A}" xr6:coauthVersionLast="47" xr6:coauthVersionMax="47" xr10:uidLastSave="{3DBEB591-A9EA-4ED5-B0A4-33E0BCBFA096}"/>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 l="1"/>
  <c r="B9" i="1"/>
  <c r="B10" i="1"/>
  <c r="B11" i="1"/>
  <c r="B12" i="1"/>
  <c r="B13" i="1"/>
  <c r="B14" i="1"/>
  <c r="B15" i="1"/>
  <c r="A6" i="17"/>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M66" i="7"/>
  <c r="F27" i="7"/>
  <c r="F27" i="6"/>
  <c r="M66"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L49" i="6" s="1"/>
  <c r="E43" i="7"/>
  <c r="D49" i="7" s="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D23" i="10"/>
  <c r="C48" i="7"/>
  <c r="E42" i="7"/>
  <c r="C54" i="8"/>
  <c r="E48" i="8"/>
  <c r="H26" i="10"/>
  <c r="D26" i="10"/>
  <c r="I26" i="10"/>
  <c r="C26" i="10"/>
  <c r="E20" i="10"/>
  <c r="C20" i="10"/>
  <c r="G20" i="10"/>
  <c r="H20" i="10"/>
  <c r="D20" i="10"/>
  <c r="G23" i="10"/>
  <c r="G19" i="10"/>
  <c r="E44" i="7"/>
  <c r="H23" i="10"/>
  <c r="E22" i="10"/>
  <c r="E25" i="10"/>
  <c r="F20" i="10"/>
  <c r="D49" i="6" l="1"/>
  <c r="B49" i="6"/>
  <c r="C49" i="6"/>
  <c r="C49" i="7"/>
  <c r="L49" i="7"/>
  <c r="B49" i="7"/>
  <c r="D50" i="5"/>
  <c r="E50" i="5" s="1"/>
  <c r="L56" i="5" s="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D51" i="2"/>
  <c r="L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B64" i="5" s="1"/>
  <c r="C57" i="5"/>
  <c r="C66" i="6"/>
  <c r="E60" i="6"/>
  <c r="C66" i="2"/>
  <c r="E60" i="2"/>
  <c r="E56" i="6"/>
  <c r="E55" i="6"/>
  <c r="E55" i="7"/>
  <c r="E58" i="7"/>
  <c r="C64" i="5" l="1"/>
  <c r="D64" i="5"/>
  <c r="B56" i="8"/>
  <c r="L56" i="8"/>
  <c r="C57" i="8"/>
  <c r="C64" i="8" s="1"/>
  <c r="B57" i="8"/>
  <c r="B64" i="8" s="1"/>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D63" i="8" s="1"/>
  <c r="I7" i="9"/>
  <c r="C63" i="3"/>
  <c r="Q8" i="13"/>
  <c r="B63" i="8"/>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L63" i="8"/>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3" l="1"/>
  <c r="Q13" i="3" s="1"/>
  <c r="L70" i="6"/>
  <c r="C70" i="6"/>
  <c r="C69" i="7"/>
  <c r="D12" i="7" s="1"/>
  <c r="D70" i="6"/>
  <c r="O13" i="6" s="1"/>
  <c r="B70" i="3"/>
  <c r="M70" i="3" s="1"/>
  <c r="L69" i="7"/>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D13" i="6"/>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4" i="3" l="1"/>
  <c r="Q13" i="6"/>
  <c r="T13" i="6" s="1"/>
  <c r="Q15" i="7"/>
  <c r="Q12" i="7"/>
  <c r="B69" i="6"/>
  <c r="M69" i="6" s="1"/>
  <c r="D12" i="3"/>
  <c r="D15" i="7"/>
  <c r="Q14" i="6"/>
  <c r="F13" i="6"/>
  <c r="O13" i="3"/>
  <c r="T13" i="3" s="1"/>
  <c r="F14" i="6"/>
  <c r="E70" i="6"/>
  <c r="O14" i="6"/>
  <c r="D14" i="6"/>
  <c r="E70" i="3"/>
  <c r="F14" i="3"/>
  <c r="E69" i="7"/>
  <c r="F34" i="3"/>
  <c r="F33" i="3"/>
  <c r="O15" i="7"/>
  <c r="C69" i="6"/>
  <c r="D12" i="6" s="1"/>
  <c r="O12" i="7"/>
  <c r="B69" i="3"/>
  <c r="M69" i="3" s="1"/>
  <c r="F12" i="7"/>
  <c r="L69" i="3"/>
  <c r="Q12" i="3" s="1"/>
  <c r="D69" i="3"/>
  <c r="E69" i="3"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K13" i="6"/>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2" i="7" l="1"/>
  <c r="R13" i="6"/>
  <c r="S13" i="6" s="1"/>
  <c r="U13" i="6" s="1"/>
  <c r="J13" i="6" s="1"/>
  <c r="M13" i="6" s="1"/>
  <c r="G13" i="6" s="1"/>
  <c r="T14" i="3"/>
  <c r="R14" i="8"/>
  <c r="S14" i="8" s="1"/>
  <c r="R13" i="3"/>
  <c r="S13" i="3" s="1"/>
  <c r="U13" i="3" s="1"/>
  <c r="J13" i="3" s="1"/>
  <c r="M13" i="3" s="1"/>
  <c r="G13" i="3" s="1"/>
  <c r="K13" i="3"/>
  <c r="O12" i="6"/>
  <c r="Q15" i="6"/>
  <c r="O15" i="6"/>
  <c r="K15" i="7"/>
  <c r="R14" i="6"/>
  <c r="S14" i="6" s="1"/>
  <c r="K14" i="6"/>
  <c r="T14" i="6"/>
  <c r="T15" i="7"/>
  <c r="F35" i="6"/>
  <c r="R15" i="7"/>
  <c r="S15" i="7" s="1"/>
  <c r="U15" i="7" s="1"/>
  <c r="J15" i="7" s="1"/>
  <c r="L15" i="7" s="1"/>
  <c r="S16" i="16" s="1"/>
  <c r="F32" i="6"/>
  <c r="F32" i="3"/>
  <c r="Q15" i="3"/>
  <c r="E69" i="6"/>
  <c r="D15" i="6"/>
  <c r="O15" i="3"/>
  <c r="Q12" i="6"/>
  <c r="K12" i="7"/>
  <c r="F35" i="3"/>
  <c r="R14" i="3"/>
  <c r="S14" i="3" s="1"/>
  <c r="U14" i="3" s="1"/>
  <c r="J14" i="3" s="1"/>
  <c r="M14" i="3" s="1"/>
  <c r="G14" i="3" s="1"/>
  <c r="I15" i="16" s="1"/>
  <c r="R12" i="7"/>
  <c r="S12" i="7" s="1"/>
  <c r="U12" i="7" s="1"/>
  <c r="J12" i="7" s="1"/>
  <c r="T13" i="8"/>
  <c r="F15" i="3"/>
  <c r="F12" i="3"/>
  <c r="K14" i="3"/>
  <c r="O12" i="3"/>
  <c r="R12" i="3" s="1"/>
  <c r="S12" i="3" s="1"/>
  <c r="U12" i="3" s="1"/>
  <c r="J12" i="3" s="1"/>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D15" i="5"/>
  <c r="D12" i="5"/>
  <c r="Q15" i="5"/>
  <c r="K15" i="5" s="1"/>
  <c r="I12" i="16"/>
  <c r="E11" i="9"/>
  <c r="I12" i="13"/>
  <c r="G13" i="9"/>
  <c r="M14" i="13"/>
  <c r="T14" i="8"/>
  <c r="L13" i="6"/>
  <c r="R14" i="16" s="1"/>
  <c r="D13" i="2"/>
  <c r="E70" i="2"/>
  <c r="Q14" i="2"/>
  <c r="K14" i="2" s="1"/>
  <c r="M13" i="4"/>
  <c r="G13" i="4" s="1"/>
  <c r="G14" i="16" s="1"/>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4" i="8" l="1"/>
  <c r="J14" i="8" s="1"/>
  <c r="N30" i="8" s="1"/>
  <c r="K15" i="6"/>
  <c r="I15" i="13"/>
  <c r="L13" i="3"/>
  <c r="P14" i="16" s="1"/>
  <c r="R12" i="6"/>
  <c r="S12" i="6" s="1"/>
  <c r="U12" i="6" s="1"/>
  <c r="J12" i="6" s="1"/>
  <c r="M12" i="6" s="1"/>
  <c r="G12" i="6" s="1"/>
  <c r="R15" i="6"/>
  <c r="S15" i="6" s="1"/>
  <c r="U15" i="6" s="1"/>
  <c r="J15" i="6" s="1"/>
  <c r="T15" i="6"/>
  <c r="M15" i="7"/>
  <c r="T12" i="6"/>
  <c r="K12" i="6"/>
  <c r="L12" i="7"/>
  <c r="S13" i="16" s="1"/>
  <c r="R15" i="3"/>
  <c r="S15" i="3" s="1"/>
  <c r="U15" i="3" s="1"/>
  <c r="J15" i="3" s="1"/>
  <c r="M15" i="3" s="1"/>
  <c r="G15" i="3" s="1"/>
  <c r="I16" i="16" s="1"/>
  <c r="E14" i="9"/>
  <c r="N30" i="3"/>
  <c r="T15" i="3"/>
  <c r="K15" i="3"/>
  <c r="L14" i="3"/>
  <c r="P15" i="16" s="1"/>
  <c r="M12" i="7"/>
  <c r="K12" i="3"/>
  <c r="L12" i="3" s="1"/>
  <c r="P13" i="16" s="1"/>
  <c r="T12" i="3"/>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Y13" i="13"/>
  <c r="L15" i="6"/>
  <c r="R16"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N13" i="9"/>
  <c r="L14" i="8"/>
  <c r="T15" i="16" s="1"/>
  <c r="M14" i="8"/>
  <c r="G14" i="8" s="1"/>
  <c r="K15" i="16" s="1"/>
  <c r="M15" i="6"/>
  <c r="G15" i="6" s="1"/>
  <c r="L13" i="7"/>
  <c r="S14" i="16" s="1"/>
  <c r="M9" i="3"/>
  <c r="G9" i="3" s="1"/>
  <c r="I10" i="13" s="1"/>
  <c r="I14" i="13"/>
  <c r="I14" i="16"/>
  <c r="G12" i="13"/>
  <c r="G12" i="16"/>
  <c r="N9" i="9"/>
  <c r="P10" i="16"/>
  <c r="M14" i="7"/>
  <c r="N30" i="7"/>
  <c r="L14" i="7"/>
  <c r="S15" i="16" s="1"/>
  <c r="L8" i="7"/>
  <c r="S9" i="16" s="1"/>
  <c r="O13" i="9"/>
  <c r="M9" i="9"/>
  <c r="M10" i="9"/>
  <c r="O14" i="9"/>
  <c r="V10" i="13"/>
  <c r="Z14"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V14" i="13" l="1"/>
  <c r="Q12" i="9"/>
  <c r="L12" i="6"/>
  <c r="R13" i="16" s="1"/>
  <c r="E15" i="9"/>
  <c r="L15" i="3"/>
  <c r="P16" i="16" s="1"/>
  <c r="I16" i="13"/>
  <c r="V15" i="13"/>
  <c r="N14" i="9"/>
  <c r="L8" i="6"/>
  <c r="R9" i="16" s="1"/>
  <c r="Q15" i="13"/>
  <c r="L10" i="7"/>
  <c r="S11" i="16" s="1"/>
  <c r="R14" i="9"/>
  <c r="X16" i="13"/>
  <c r="P15" i="9"/>
  <c r="L15" i="5"/>
  <c r="Q16" i="16" s="1"/>
  <c r="T9" i="13"/>
  <c r="L8" i="9"/>
  <c r="X15" i="13"/>
  <c r="P14" i="9"/>
  <c r="G8" i="9"/>
  <c r="Z15" i="13"/>
  <c r="Q14" i="9"/>
  <c r="Y15" i="13"/>
  <c r="Y14" i="13"/>
  <c r="E9" i="13"/>
  <c r="Q13" i="9"/>
  <c r="I14"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8" i="9" l="1"/>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<sst xmlns="http://schemas.openxmlformats.org/spreadsheetml/2006/main" count="654" uniqueCount="141">
  <si>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</si>
  <si>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</si>
  <si>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</si>
  <si>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</si>
  <si>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</si>
  <si>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</si>
  <si>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</si>
  <si>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</si>
  <si>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</si>
  <si>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</si>
  <si>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</si>
  <si>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</si>
  <si>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</si>
  <si>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</si>
  <si>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</si>
  <si>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</si>
  <si>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</si>
  <si>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</si>
  <si>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</si>
  <si>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</si>
  <si>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</si>
  <si>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</si>
  <si>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</si>
  <si>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</si>
  <si>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</si>
  <si>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</si>
  <si>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</si>
  <si>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</si>
  <si>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</si>
  <si>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</si>
  <si>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</si>
  <si>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</si>
  <si>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</si>
  <si>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</si>
  <si>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</si>
  <si>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</si>
  <si>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</si>
  <si>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</si>
  <si>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</si>
  <si>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</si>
  <si>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</si>
  <si>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</si>
  <si>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</si>
  <si>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</si>
  <si>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</si>
  <si>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</si>
  <si>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</si>
  <si>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</si>
  <si>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</si>
  <si>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</si>
  <si>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</si>
  <si>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</si>
  <si>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</si>
  <si>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</si>
  <si>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</si>
  <si>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</si>
  <si>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</si>
  <si>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</si>
  <si>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</si>
  <si>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</si>
  <si>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</si>
  <si>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</si>
  <si>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</si>
  <si>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</si>
  <si>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</si>
  <si>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</si>
  <si>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</si>
  <si>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</si>
  <si>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</si>
  <si>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</si>
  <si>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</si>
  <si>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</si>
  <si>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</si>
  <si>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</si>
  <si>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</si>
  <si>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</si>
  <si>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</si>
  <si>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</si>
  <si>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</si>
  <si>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</si>
  <si>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</si>
  <si>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</si>
  <si>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</si>
  <si>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</si>
  <si>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</si>
  <si>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</si>
  <si>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</si>
  <si>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</si>
  <si>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</si>
  <si>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</si>
  <si>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</si>
  <si>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</si>
  <si>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</si>
  <si>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</si>
  <si>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</si>
  <si>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</si>
  <si>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</si>
  <si>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</si>
  <si>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</si>
  <si>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</si>
  <si>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</si>
  <si>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</si>
  <si>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</si>
  <si>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</si>
  <si>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</si>
  <si>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</si>
  <si>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</si>
  <si>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</si>
  <si>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</si>
  <si>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</si>
  <si>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</si>
  <si>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</si>
  <si>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</si>
  <si>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</si>
  <si>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</si>
  <si>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</si>
  <si>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</si>
  <si>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</si>
  <si>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</si>
  <si>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</si>
  <si>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</si>
  <si>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</si>
  <si>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</si>
  <si>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</si>
  <si>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</si>
  <si>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</si>
  <si>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</si>
  <si>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</si>
  <si>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</si>
  <si>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</si>
  <si>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</si>
  <si>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</si>
  <si>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</si>
  <si>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</si>
  <si>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</si>
  <si>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</si>
  <si>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Jackson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</si>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</sst>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Jackson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N=323</c:v>
                </c:pt>
                <c:pt idx="3">
                  <c:v>Petitions, total N=423</c:v>
                </c:pt>
                <c:pt idx="4">
                  <c:v>Detentions, total N=74</c:v>
                </c:pt>
                <c:pt idx="5">
                  <c:v>Referrals, total N=551</c:v>
                </c:pt>
                <c:pt idx="6">
                  <c:v>Arrests, total N=149</c:v>
                </c:pt>
                <c:pt idx="7">
                  <c:v>Population, total N=15419</c:v>
                </c:pt>
              </c:strCache>
            </c:strRef>
          </c:cat>
          <c:val>
            <c:numRef>
              <c:f>'Stacked 100%'!$B$7:$B$14</c:f>
              <c:numCache>
                <c:formatCode>0%</c:formatCode>
                <c:ptCount val="8"/>
                <c:pt idx="0">
                  <c:v>0</c:v>
                </c:pt>
                <c:pt idx="1">
                  <c:v>0</c:v>
                </c:pt>
                <c:pt idx="2">
                  <c:v>0</c:v>
                </c:pt>
                <c:pt idx="3">
                  <c:v>0</c:v>
                </c:pt>
                <c:pt idx="4">
                  <c:v>0</c:v>
                </c:pt>
                <c:pt idx="5">
                  <c:v>0</c:v>
                </c:pt>
                <c:pt idx="6">
                  <c:v>0.32885906040268459</c:v>
                </c:pt>
                <c:pt idx="7">
                  <c:v>0.11609053764835592</c:v>
                </c:pt>
              </c:numCache>
            </c:numRef>
          </c:val>
          <c:extLst>
            <c:ext xmlns:c16="http://schemas.microsoft.com/office/drawing/2014/chart" uri="{C3380CC4-5D6E-409C-BE32-E72D297353CC}">
              <c16:uniqueId val="{00000000-D064-42CB-9398-2508351F89B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N=323</c:v>
                </c:pt>
                <c:pt idx="3">
                  <c:v>Petitions, total N=423</c:v>
                </c:pt>
                <c:pt idx="4">
                  <c:v>Detentions, total N=74</c:v>
                </c:pt>
                <c:pt idx="5">
                  <c:v>Referrals, total N=551</c:v>
                </c:pt>
                <c:pt idx="6">
                  <c:v>Arrests, total N=149</c:v>
                </c:pt>
                <c:pt idx="7">
                  <c:v>Population, total N=15419</c:v>
                </c:pt>
              </c:strCache>
            </c:strRef>
          </c:cat>
          <c:val>
            <c:numRef>
              <c:f>'Stacked 100%'!$C$7:$C$14</c:f>
              <c:numCache>
                <c:formatCode>0%</c:formatCode>
                <c:ptCount val="8"/>
                <c:pt idx="0">
                  <c:v>0</c:v>
                </c:pt>
                <c:pt idx="1">
                  <c:v>0</c:v>
                </c:pt>
                <c:pt idx="2">
                  <c:v>0</c:v>
                </c:pt>
                <c:pt idx="3">
                  <c:v>0</c:v>
                </c:pt>
                <c:pt idx="4">
                  <c:v>0</c:v>
                </c:pt>
                <c:pt idx="5">
                  <c:v>0</c:v>
                </c:pt>
                <c:pt idx="6">
                  <c:v>0</c:v>
                </c:pt>
                <c:pt idx="7">
                  <c:v>6.005577534211038E-2</c:v>
                </c:pt>
              </c:numCache>
            </c:numRef>
          </c:val>
          <c:extLst>
            <c:ext xmlns:c16="http://schemas.microsoft.com/office/drawing/2014/chart" uri="{C3380CC4-5D6E-409C-BE32-E72D297353CC}">
              <c16:uniqueId val="{00000001-D064-42CB-9398-2508351F89B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N=7</c:v>
                </c:pt>
                <c:pt idx="2">
                  <c:v>Delinquent Findings, total N=323</c:v>
                </c:pt>
                <c:pt idx="3">
                  <c:v>Petitions, total N=423</c:v>
                </c:pt>
                <c:pt idx="4">
                  <c:v>Detentions, total N=74</c:v>
                </c:pt>
                <c:pt idx="5">
                  <c:v>Referrals, total N=551</c:v>
                </c:pt>
                <c:pt idx="6">
                  <c:v>Arrests, total N=149</c:v>
                </c:pt>
                <c:pt idx="7">
                  <c:v>Population, total N=15419</c:v>
                </c:pt>
              </c:strCache>
            </c:strRef>
          </c:cat>
          <c:val>
            <c:numRef>
              <c:f>'Stacked 100%'!$H$7:$H$14</c:f>
              <c:numCache>
                <c:formatCode>0%</c:formatCode>
                <c:ptCount val="8"/>
                <c:pt idx="0">
                  <c:v>0</c:v>
                </c:pt>
                <c:pt idx="1">
                  <c:v>0</c:v>
                </c:pt>
                <c:pt idx="2">
                  <c:v>0</c:v>
                </c:pt>
                <c:pt idx="3">
                  <c:v>0</c:v>
                </c:pt>
                <c:pt idx="4">
                  <c:v>0</c:v>
                </c:pt>
                <c:pt idx="5">
                  <c:v>0</c:v>
                </c:pt>
                <c:pt idx="6">
                  <c:v>0</c:v>
                </c:pt>
                <c:pt idx="7">
                  <c:v>1.1020184725972655E-6</c:v>
                </c:pt>
              </c:numCache>
            </c:numRef>
          </c:val>
          <c:extLst>
            <c:ext xmlns:c16="http://schemas.microsoft.com/office/drawing/2014/chart" uri="{C3380CC4-5D6E-409C-BE32-E72D297353CC}">
              <c16:uniqueId val="{00000002-D064-42CB-9398-2508351F89B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N=323</c:v>
                </c:pt>
                <c:pt idx="3">
                  <c:v>Petitions, total N=423</c:v>
                </c:pt>
                <c:pt idx="4">
                  <c:v>Detentions, total N=74</c:v>
                </c:pt>
                <c:pt idx="5">
                  <c:v>Referrals, total N=551</c:v>
                </c:pt>
                <c:pt idx="6">
                  <c:v>Arrests, total N=149</c:v>
                </c:pt>
                <c:pt idx="7">
                  <c:v>Population, total N=15419</c:v>
                </c:pt>
              </c:strCache>
            </c:strRef>
          </c:cat>
          <c:val>
            <c:numRef>
              <c:f>'Stacked 100%'!$I$7:$I$14</c:f>
              <c:numCache>
                <c:formatCode>0%</c:formatCode>
                <c:ptCount val="8"/>
                <c:pt idx="0">
                  <c:v>0</c:v>
                </c:pt>
                <c:pt idx="1">
                  <c:v>0</c:v>
                </c:pt>
                <c:pt idx="2">
                  <c:v>0</c:v>
                </c:pt>
                <c:pt idx="3">
                  <c:v>0</c:v>
                </c:pt>
                <c:pt idx="4">
                  <c:v>0</c:v>
                </c:pt>
                <c:pt idx="5">
                  <c:v>0</c:v>
                </c:pt>
                <c:pt idx="6">
                  <c:v>0.63758389261744963</c:v>
                </c:pt>
                <c:pt idx="7">
                  <c:v>0.80686166418055649</c:v>
                </c:pt>
              </c:numCache>
            </c:numRef>
          </c:val>
          <c:extLst>
            <c:ext xmlns:c16="http://schemas.microsoft.com/office/drawing/2014/chart" uri="{C3380CC4-5D6E-409C-BE32-E72D297353CC}">
              <c16:uniqueId val="{00000003-D064-42CB-9398-2508351F89B1}"/>
            </c:ext>
          </c:extLst>
        </c:ser>
        <c:dLbls>
          <c:showLegendKey val="0"/>
          <c:showVal val="0"/>
          <c:showCatName val="0"/>
          <c:showSerName val="0"/>
          <c:showPercent val="0"/>
          <c:showBubbleSize val="0"/>
        </c:dLbls>
        <c:gapWidth val="150"/>
        <c:overlap val="100"/>
        <c:axId val="66982272"/>
        <c:axId val="66983808"/>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N=7</c:v>
                </c:pt>
                <c:pt idx="2">
                  <c:v>Delinquent Findings, total N=323</c:v>
                </c:pt>
                <c:pt idx="3">
                  <c:v>Petitions, total N=423</c:v>
                </c:pt>
                <c:pt idx="4">
                  <c:v>Detentions, total N=74</c:v>
                </c:pt>
                <c:pt idx="5">
                  <c:v>Referrals, total N=551</c:v>
                </c:pt>
                <c:pt idx="6">
                  <c:v>Arrests, total N=149</c:v>
                </c:pt>
                <c:pt idx="7">
                  <c:v>Population, total N=15419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064-42CB-9398-2508351F89B1}"/>
            </c:ext>
          </c:extLst>
        </c:ser>
        <c:dLbls>
          <c:showLegendKey val="0"/>
          <c:showVal val="0"/>
          <c:showCatName val="0"/>
          <c:showSerName val="0"/>
          <c:showPercent val="0"/>
          <c:showBubbleSize val="0"/>
        </c:dLbls>
        <c:gapWidth val="150"/>
        <c:overlap val="100"/>
        <c:axId val="66987136"/>
        <c:axId val="66985344"/>
      </c:barChart>
      <c:catAx>
        <c:axId val="6698227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66983808"/>
        <c:crosses val="autoZero"/>
        <c:auto val="1"/>
        <c:lblAlgn val="ctr"/>
        <c:lblOffset val="100"/>
        <c:noMultiLvlLbl val="0"/>
      </c:catAx>
      <c:valAx>
        <c:axId val="66983808"/>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66982272"/>
        <c:crosses val="autoZero"/>
        <c:crossBetween val="between"/>
      </c:valAx>
      <c:valAx>
        <c:axId val="66985344"/>
        <c:scaling>
          <c:orientation val="minMax"/>
        </c:scaling>
        <c:delete val="1"/>
        <c:axPos val="t"/>
        <c:numFmt formatCode="0%" sourceLinked="1"/>
        <c:majorTickMark val="out"/>
        <c:minorTickMark val="none"/>
        <c:tickLblPos val="nextTo"/>
        <c:crossAx val="66987136"/>
        <c:crosses val="max"/>
        <c:crossBetween val="between"/>
      </c:valAx>
      <c:catAx>
        <c:axId val="66987136"/>
        <c:scaling>
          <c:orientation val="minMax"/>
        </c:scaling>
        <c:delete val="1"/>
        <c:axPos val="l"/>
        <c:numFmt formatCode="General" sourceLinked="1"/>
        <c:majorTickMark val="out"/>
        <c:minorTickMark val="none"/>
        <c:tickLblPos val="nextTo"/>
        <c:crossAx val="66985344"/>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5" sqref="K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15419</v>
      </c>
      <c r="C6" s="11">
        <v>12441</v>
      </c>
      <c r="D6" s="11">
        <v>1790</v>
      </c>
      <c r="E6" s="11">
        <v>926</v>
      </c>
      <c r="F6" s="11">
        <v>191</v>
      </c>
      <c r="G6" s="11"/>
      <c r="H6" s="11">
        <v>71</v>
      </c>
      <c r="I6" s="11"/>
      <c r="J6" s="91">
        <f>SUM(D6:I6)</f>
        <v>2978</v>
      </c>
      <c r="K6" s="92"/>
    </row>
    <row r="7" spans="1:11" ht="15.75" customHeight="1" thickBot="1">
      <c r="A7" s="10" t="s">
        <v>8</v>
      </c>
      <c r="B7" s="11">
        <f t="shared" ref="B7:B15" si="0">SUM(C7:I7)+K7</f>
        <v>149</v>
      </c>
      <c r="C7" s="11">
        <v>95</v>
      </c>
      <c r="D7" s="11">
        <v>49</v>
      </c>
      <c r="E7" s="11"/>
      <c r="F7" s="11"/>
      <c r="G7" s="11"/>
      <c r="H7" s="11"/>
      <c r="I7" s="11"/>
      <c r="J7" s="91">
        <f t="shared" ref="J7:J15" si="1">SUM(D7:I7)</f>
        <v>49</v>
      </c>
      <c r="K7" s="92">
        <v>5</v>
      </c>
    </row>
    <row r="8" spans="1:11" ht="15.75" customHeight="1" thickBot="1">
      <c r="A8" s="10" t="s">
        <v>9</v>
      </c>
      <c r="B8" s="11">
        <f t="shared" si="0"/>
        <v>551</v>
      </c>
      <c r="C8" s="11"/>
      <c r="D8" s="11"/>
      <c r="E8" s="11"/>
      <c r="F8" s="11"/>
      <c r="G8" s="11"/>
      <c r="H8" s="11"/>
      <c r="I8" s="11"/>
      <c r="J8" s="91">
        <f t="shared" si="1"/>
        <v>0</v>
      </c>
      <c r="K8" s="92">
        <v>551</v>
      </c>
    </row>
    <row r="9" spans="1:11" ht="15.75" customHeight="1" thickBot="1">
      <c r="A9" s="10" t="s">
        <v>10</v>
      </c>
      <c r="B9" s="11">
        <f t="shared" si="0"/>
        <v>128</v>
      </c>
      <c r="C9" s="11"/>
      <c r="D9" s="11"/>
      <c r="E9" s="11"/>
      <c r="F9" s="11"/>
      <c r="G9" s="11"/>
      <c r="H9" s="11"/>
      <c r="I9" s="11"/>
      <c r="J9" s="91">
        <f t="shared" si="1"/>
        <v>0</v>
      </c>
      <c r="K9" s="92">
        <v>128</v>
      </c>
    </row>
    <row r="10" spans="1:11" ht="15.75" customHeight="1" thickBot="1">
      <c r="A10" s="10" t="s">
        <v>11</v>
      </c>
      <c r="B10" s="11">
        <f t="shared" si="0"/>
        <v>74</v>
      </c>
      <c r="C10" s="11"/>
      <c r="D10" s="11"/>
      <c r="E10" s="11"/>
      <c r="F10" s="11"/>
      <c r="G10" s="11"/>
      <c r="H10" s="11"/>
      <c r="I10" s="11"/>
      <c r="J10" s="91">
        <f t="shared" si="1"/>
        <v>0</v>
      </c>
      <c r="K10" s="92">
        <v>74</v>
      </c>
    </row>
    <row r="11" spans="1:11" ht="15.75" customHeight="1" thickBot="1">
      <c r="A11" s="10" t="s">
        <v>12</v>
      </c>
      <c r="B11" s="11">
        <f t="shared" si="0"/>
        <v>423</v>
      </c>
      <c r="C11" s="11"/>
      <c r="D11" s="11"/>
      <c r="E11" s="11"/>
      <c r="F11" s="11"/>
      <c r="G11" s="11"/>
      <c r="H11" s="11"/>
      <c r="I11" s="11"/>
      <c r="J11" s="91">
        <f t="shared" si="1"/>
        <v>0</v>
      </c>
      <c r="K11" s="92">
        <v>423</v>
      </c>
    </row>
    <row r="12" spans="1:11" ht="15.75" customHeight="1" thickBot="1">
      <c r="A12" s="10" t="s">
        <v>13</v>
      </c>
      <c r="B12" s="11">
        <f t="shared" si="0"/>
        <v>323</v>
      </c>
      <c r="C12" s="11"/>
      <c r="D12" s="11"/>
      <c r="E12" s="11"/>
      <c r="F12" s="11"/>
      <c r="G12" s="11"/>
      <c r="H12" s="11"/>
      <c r="I12" s="11"/>
      <c r="J12" s="91">
        <f t="shared" si="1"/>
        <v>0</v>
      </c>
      <c r="K12" s="92">
        <v>323</v>
      </c>
    </row>
    <row r="13" spans="1:11" ht="15.75" customHeight="1" thickBot="1">
      <c r="A13" s="10" t="s">
        <v>133</v>
      </c>
      <c r="B13" s="11">
        <f t="shared" si="0"/>
        <v>92</v>
      </c>
      <c r="C13" s="11"/>
      <c r="D13" s="11"/>
      <c r="E13" s="11"/>
      <c r="F13" s="11"/>
      <c r="G13" s="11"/>
      <c r="H13" s="11"/>
      <c r="I13" s="11"/>
      <c r="J13" s="91">
        <f t="shared" si="1"/>
        <v>0</v>
      </c>
      <c r="K13" s="92">
        <v>92</v>
      </c>
    </row>
    <row r="14" spans="1:11" ht="26.25" customHeight="1" thickBot="1">
      <c r="A14" s="10" t="s">
        <v>123</v>
      </c>
      <c r="B14" s="11">
        <f t="shared" si="0"/>
        <v>7</v>
      </c>
      <c r="C14" s="11"/>
      <c r="D14" s="11"/>
      <c r="E14" s="11"/>
      <c r="F14" s="11"/>
      <c r="G14" s="11"/>
      <c r="H14" s="11"/>
      <c r="I14" s="11"/>
      <c r="J14" s="91">
        <f t="shared" si="1"/>
        <v>0</v>
      </c>
      <c r="K14" s="92">
        <v>7</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12441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95</v>
      </c>
      <c r="D7" s="34">
        <f>IF((AND(C66&gt;0,C7&gt;0)),(C7/C66),0)</f>
        <v>7.6360421188007388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95</v>
      </c>
      <c r="Q7" s="42">
        <f>C6-C7</f>
        <v>12346</v>
      </c>
      <c r="R7" s="42">
        <f t="shared" ref="R7:R15" si="5">SUM(N7:Q7)</f>
        <v>12441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95</v>
      </c>
      <c r="R8" s="42">
        <f t="shared" si="5"/>
        <v>95.05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95</v>
      </c>
      <c r="R9" s="42">
        <f t="shared" si="5"/>
        <v>95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95</v>
      </c>
      <c r="R10" s="42">
        <f t="shared" si="5"/>
        <v>95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95</v>
      </c>
      <c r="R11" s="42">
        <f t="shared" si="5"/>
        <v>95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95</v>
      </c>
      <c r="R12" s="42">
        <f t="shared" si="5"/>
        <v>95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95</v>
      </c>
      <c r="R13" s="42">
        <f t="shared" si="5"/>
        <v>95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95</v>
      </c>
      <c r="R14" s="42">
        <f t="shared" si="5"/>
        <v>95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95</v>
      </c>
      <c r="R15" s="42">
        <f t="shared" si="5"/>
        <v>95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12.441000000000001</v>
      </c>
      <c r="D42" s="56">
        <f>E6/1000</f>
        <v>0</v>
      </c>
      <c r="E42" s="56">
        <f>MAX(C42:D42)</f>
        <v>12.441000000000001</v>
      </c>
      <c r="G42" s="1" t="str">
        <f>B42</f>
        <v>per 1000 youth</v>
      </c>
      <c r="L42" s="57">
        <v>1000</v>
      </c>
      <c r="M42" s="57"/>
      <c r="R42" s="49"/>
    </row>
    <row r="43" spans="2:18" ht="15" hidden="1" customHeight="1">
      <c r="B43" s="49" t="s">
        <v>87</v>
      </c>
      <c r="C43" s="56">
        <f>C7/100</f>
        <v>0.95</v>
      </c>
      <c r="D43" s="56">
        <f>E7/100</f>
        <v>0</v>
      </c>
      <c r="E43" s="56">
        <f>MAX(C43:D43,0)</f>
        <v>0.95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12.441000000000001</v>
      </c>
      <c r="D48" s="56">
        <f>D42</f>
        <v>0</v>
      </c>
      <c r="E48" s="56">
        <f>MAX(C48:D48)</f>
        <v>12.441000000000001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0.95</v>
      </c>
      <c r="D49" s="49">
        <f t="shared" si="9"/>
        <v>0</v>
      </c>
      <c r="E49" s="49">
        <f>MAX(C49:D49)</f>
        <v>0.95</v>
      </c>
      <c r="G49" s="1" t="str">
        <f>G43</f>
        <v>per 100 arrests</v>
      </c>
      <c r="L49" s="58">
        <f>IF(($E43&gt;0),L43,L42)</f>
        <v>100</v>
      </c>
      <c r="M49" s="58"/>
      <c r="N49" s="21"/>
      <c r="O49" s="21"/>
      <c r="P49" s="21"/>
      <c r="Q49" s="21"/>
      <c r="R49" s="21"/>
    </row>
    <row r="50" spans="2:18" ht="15" hidden="1" customHeight="1">
      <c r="B50" s="49" t="str">
        <f t="shared" si="9"/>
        <v>per 100 arrests</v>
      </c>
      <c r="C50" s="49">
        <f t="shared" si="9"/>
        <v>0.95</v>
      </c>
      <c r="D50" s="49">
        <f t="shared" si="9"/>
        <v>0</v>
      </c>
      <c r="E50" s="49">
        <f>MAX(C50:D50)</f>
        <v>0.95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12.441000000000001</v>
      </c>
      <c r="D54" s="56">
        <f>D48</f>
        <v>0</v>
      </c>
      <c r="E54" s="56">
        <f>MAX(C54:D54)</f>
        <v>12.441000000000001</v>
      </c>
      <c r="G54" s="1" t="str">
        <f>G48</f>
        <v>per 1000 youth</v>
      </c>
      <c r="L54" s="58">
        <f>L48</f>
        <v>1000</v>
      </c>
      <c r="M54" s="58"/>
    </row>
    <row r="55" spans="2:18" ht="15" hidden="1" customHeight="1">
      <c r="B55" s="49" t="str">
        <f t="shared" ref="B55:D56" si="10">IF(($E49&gt;0),B49,B48)</f>
        <v>per 100 arrests</v>
      </c>
      <c r="C55" s="49">
        <f t="shared" si="10"/>
        <v>0.95</v>
      </c>
      <c r="D55" s="49">
        <f t="shared" si="10"/>
        <v>0</v>
      </c>
      <c r="E55" s="49">
        <f>MAX(C55:D55)</f>
        <v>0.95</v>
      </c>
      <c r="G55" s="1" t="str">
        <f>G49</f>
        <v>per 100 arrests</v>
      </c>
      <c r="L55" s="58">
        <f>IF(($E49&gt;0),L49,L48)</f>
        <v>100</v>
      </c>
      <c r="M55" s="58"/>
    </row>
    <row r="56" spans="2:18" ht="15" hidden="1" customHeight="1">
      <c r="B56" s="49" t="str">
        <f t="shared" si="10"/>
        <v>per 100 arrests</v>
      </c>
      <c r="C56" s="49">
        <f t="shared" si="10"/>
        <v>0.95</v>
      </c>
      <c r="D56" s="49">
        <f t="shared" si="10"/>
        <v>0</v>
      </c>
      <c r="E56" s="49">
        <f>MAX(C56:D56)</f>
        <v>0.95</v>
      </c>
      <c r="G56" s="1" t="str">
        <f>G50</f>
        <v>per 100 referrals</v>
      </c>
      <c r="L56" s="58">
        <f>IF(($E50&gt;0),L50,L49)</f>
        <v>100</v>
      </c>
      <c r="M56" s="58"/>
    </row>
    <row r="57" spans="2:18" ht="15" hidden="1" customHeight="1">
      <c r="B57" s="49" t="str">
        <f>IF(($E51&gt;0),B51,B49)</f>
        <v>per 100 arrests</v>
      </c>
      <c r="C57" s="49">
        <f>IF(($E51&gt;0),C51,C50)</f>
        <v>0.95</v>
      </c>
      <c r="D57" s="49">
        <f>IF(($E51&gt;0),D51,D50)</f>
        <v>0</v>
      </c>
      <c r="E57" s="49">
        <f>MAX(C57:D57)</f>
        <v>0.95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12.441000000000001</v>
      </c>
      <c r="D60" s="56">
        <f>D54</f>
        <v>0</v>
      </c>
      <c r="E60" s="56">
        <f>MAX(C60:D60)</f>
        <v>12.441000000000001</v>
      </c>
      <c r="G60" s="1" t="str">
        <f>G54</f>
        <v>per 1000 youth</v>
      </c>
      <c r="L60" s="58">
        <f>L54</f>
        <v>1000</v>
      </c>
      <c r="M60" s="58"/>
    </row>
    <row r="61" spans="2:18" ht="15" hidden="1" customHeight="1">
      <c r="B61" s="49" t="str">
        <f t="shared" ref="B61:D62" si="11">IF(($E55&gt;0),B55,B54)</f>
        <v>per 100 arrests</v>
      </c>
      <c r="C61" s="49">
        <f t="shared" si="11"/>
        <v>0.95</v>
      </c>
      <c r="D61" s="49">
        <f t="shared" si="11"/>
        <v>0</v>
      </c>
      <c r="E61" s="49">
        <f>MAX(C61:D61)</f>
        <v>0.95</v>
      </c>
      <c r="G61" s="1" t="str">
        <f>G55</f>
        <v>per 100 arrests</v>
      </c>
      <c r="L61" s="58">
        <f>IF(($E55&gt;0),L55,L54)</f>
        <v>100</v>
      </c>
      <c r="M61" s="58"/>
    </row>
    <row r="62" spans="2:18" ht="15" hidden="1" customHeight="1">
      <c r="B62" s="49" t="str">
        <f t="shared" si="11"/>
        <v>per 100 arrests</v>
      </c>
      <c r="C62" s="49">
        <f t="shared" si="11"/>
        <v>0.95</v>
      </c>
      <c r="D62" s="49">
        <f t="shared" si="11"/>
        <v>0</v>
      </c>
      <c r="E62" s="49">
        <f>MAX(C62:D62)</f>
        <v>0.95</v>
      </c>
      <c r="G62" s="1" t="str">
        <f>G56</f>
        <v>per 100 referrals</v>
      </c>
      <c r="L62" s="58">
        <f>IF(($E56&gt;0),L56,L55)</f>
        <v>100</v>
      </c>
      <c r="M62" s="58"/>
    </row>
    <row r="63" spans="2:18" ht="15" hidden="1" customHeight="1">
      <c r="B63" s="49" t="str">
        <f>IF(($E57&gt;0),B57,B55)</f>
        <v>per 100 arrests</v>
      </c>
      <c r="C63" s="49">
        <f>IF(($E57&gt;0),C57,C56)</f>
        <v>0.95</v>
      </c>
      <c r="D63" s="49">
        <f>IF(($E57&gt;0),D57,D56)</f>
        <v>0</v>
      </c>
      <c r="E63" s="49">
        <f>MAX(C63:D63)</f>
        <v>0.95</v>
      </c>
      <c r="G63" s="1" t="str">
        <f>G57</f>
        <v>per 100 youth petitioned</v>
      </c>
      <c r="L63" s="58">
        <f>IF(($E57&gt;0),L57,L56)</f>
        <v>100</v>
      </c>
      <c r="M63" s="58"/>
    </row>
    <row r="64" spans="2:18" ht="15" hidden="1" customHeight="1">
      <c r="B64" s="49" t="str">
        <f>IF(($E58&gt;0),B58,B57)</f>
        <v>per 100 arrests</v>
      </c>
      <c r="C64" s="49">
        <f>IF(($E58&gt;0),C58,C57)</f>
        <v>0.95</v>
      </c>
      <c r="D64" s="49">
        <f>IF(($E58&gt;0),D58,D57)</f>
        <v>0</v>
      </c>
      <c r="E64" s="56">
        <f>MAX(C64:D64)</f>
        <v>0.95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12.441000000000001</v>
      </c>
      <c r="D66" s="56">
        <f>D60</f>
        <v>0</v>
      </c>
      <c r="E66" s="56">
        <f>MAX(C66:D66)</f>
        <v>12.441000000000001</v>
      </c>
      <c r="G66" s="1" t="str">
        <f>G60</f>
        <v>per 1000 youth</v>
      </c>
      <c r="L66" s="58">
        <f>L60</f>
        <v>1000</v>
      </c>
      <c r="M66" s="58">
        <f>IF((B66=G66),1,2)</f>
        <v>1</v>
      </c>
    </row>
    <row r="67" spans="2:13" ht="15" hidden="1" customHeight="1">
      <c r="B67" s="49" t="str">
        <f t="shared" ref="B67:D68" si="12">IF(($E61&gt;0),B61,B60)</f>
        <v>per 100 arrests</v>
      </c>
      <c r="C67" s="49">
        <f t="shared" si="12"/>
        <v>0.95</v>
      </c>
      <c r="D67" s="49">
        <f t="shared" si="12"/>
        <v>0</v>
      </c>
      <c r="E67" s="49">
        <f>MAX(C67:D67)</f>
        <v>0.95</v>
      </c>
      <c r="G67" s="1" t="str">
        <f>G61</f>
        <v>per 100 arrests</v>
      </c>
      <c r="L67" s="58">
        <f>IF(($E61&gt;0),L61,L60)</f>
        <v>100</v>
      </c>
      <c r="M67" s="58">
        <f>IF((B67=G67),1,2)</f>
        <v>1</v>
      </c>
    </row>
    <row r="68" spans="2:13" ht="15" hidden="1" customHeight="1">
      <c r="B68" s="49" t="str">
        <f t="shared" si="12"/>
        <v>per 100 arrests</v>
      </c>
      <c r="C68" s="49">
        <f t="shared" si="12"/>
        <v>0.95</v>
      </c>
      <c r="D68" s="49">
        <f t="shared" si="12"/>
        <v>0</v>
      </c>
      <c r="E68" s="49">
        <f>MAX(C68:D68)</f>
        <v>0.95</v>
      </c>
      <c r="G68" s="1" t="str">
        <f>G62</f>
        <v>per 100 referrals</v>
      </c>
      <c r="L68" s="58">
        <f>IF(($E62&gt;0),L62,L61)</f>
        <v>100</v>
      </c>
      <c r="M68" s="58">
        <f>IF((B68=G68),1,2)</f>
        <v>2</v>
      </c>
    </row>
    <row r="69" spans="2:13" ht="15" hidden="1" customHeight="1">
      <c r="B69" s="49" t="str">
        <f>IF(($E63&gt;0),B63,B61)</f>
        <v>per 100 arrests</v>
      </c>
      <c r="C69" s="49">
        <f>IF(($E63&gt;0),C63,C62)</f>
        <v>0.95</v>
      </c>
      <c r="D69" s="49">
        <f>IF(($E63&gt;0),D63,D62)</f>
        <v>0</v>
      </c>
      <c r="E69" s="49">
        <f>MAX(C69:D69)</f>
        <v>0.95</v>
      </c>
      <c r="G69" s="1" t="str">
        <f>G63</f>
        <v>per 100 youth petitioned</v>
      </c>
      <c r="L69" s="58">
        <f>IF(($E63&gt;0),L63,L62)</f>
        <v>100</v>
      </c>
      <c r="M69" s="58">
        <f>IF((B69=G69),1,2)</f>
        <v>2</v>
      </c>
    </row>
    <row r="70" spans="2:13" ht="15" hidden="1" customHeight="1">
      <c r="B70" s="49" t="str">
        <f>IF(($E64&gt;0),B64,B63)</f>
        <v>per 100 arrests</v>
      </c>
      <c r="C70" s="49">
        <f>IF(($E64&gt;0),C64,C63)</f>
        <v>0.95</v>
      </c>
      <c r="D70" s="49">
        <f>IF(($E64&gt;0),D64,D63)</f>
        <v>0</v>
      </c>
      <c r="E70" s="56">
        <f>MAX(C70:D70)</f>
        <v>0.95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12441</v>
      </c>
      <c r="D6" s="34"/>
      <c r="E6" s="33">
        <f>'Data Entry'!J6</f>
        <v>2978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95</v>
      </c>
      <c r="D7" s="34">
        <f>IF((AND(C66&gt;0,C7&gt;0)),(C7/C66),0)</f>
        <v>7.6360421188007388</v>
      </c>
      <c r="E7" s="33">
        <f>'Data Entry'!J7</f>
        <v>49</v>
      </c>
      <c r="F7" s="34">
        <f>IF((AND($E$7&gt;0,$D$66&gt;0)),($E$7/$D$66),0)</f>
        <v>16.453995970449967</v>
      </c>
      <c r="G7" s="39">
        <f t="shared" ref="G7:G15" si="0">IF(L$6=100,"*",IF(M7=FALSE,"--",IF(K7=20,"**",($F7/$D7))))</f>
        <v>2.1547806722986111</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49</v>
      </c>
      <c r="O7" s="42">
        <f>E6-E7</f>
        <v>2929</v>
      </c>
      <c r="P7" s="42">
        <f t="shared" ref="P7:P15" si="4">C7</f>
        <v>95</v>
      </c>
      <c r="Q7" s="42">
        <f>C6-C7</f>
        <v>12346</v>
      </c>
      <c r="R7" s="42">
        <f t="shared" ref="R7:R15" si="5">SUM(N7:Q7)</f>
        <v>15419</v>
      </c>
      <c r="S7" s="30">
        <f t="shared" ref="S7:S15" si="6">R7*((((N7*Q7)-(O7*P7))^2))</f>
        <v>1645704356150819</v>
      </c>
      <c r="T7" s="30">
        <f t="shared" ref="T7:T15" si="7">(N7+O7)*(P7+Q7)*(N7+P7)*(O7+Q7)</f>
        <v>81493635880800</v>
      </c>
      <c r="U7" s="31">
        <f t="shared" ref="U7:U15" si="8">IF((S7&gt;0),S7/T7,"- -")</f>
        <v>20.194268403461294</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49.05</v>
      </c>
      <c r="P8" s="42">
        <f t="shared" si="4"/>
        <v>0</v>
      </c>
      <c r="Q8" s="42">
        <f>(C$67*L67)-C8</f>
        <v>95</v>
      </c>
      <c r="R8" s="42">
        <f t="shared" si="5"/>
        <v>144.05000000000001</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49</v>
      </c>
      <c r="P9" s="42">
        <f t="shared" si="4"/>
        <v>0</v>
      </c>
      <c r="Q9" s="42">
        <f>(C$68*L68)-C9</f>
        <v>95</v>
      </c>
      <c r="R9" s="42">
        <f t="shared" si="5"/>
        <v>144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49</v>
      </c>
      <c r="P10" s="42">
        <f t="shared" si="4"/>
        <v>0</v>
      </c>
      <c r="Q10" s="42">
        <f>(C$68*L68)-C10</f>
        <v>95</v>
      </c>
      <c r="R10" s="42">
        <f t="shared" si="5"/>
        <v>144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49</v>
      </c>
      <c r="P11" s="42">
        <f t="shared" si="4"/>
        <v>0</v>
      </c>
      <c r="Q11" s="42">
        <f>(C$68*L68)-C11</f>
        <v>95</v>
      </c>
      <c r="R11" s="42">
        <f t="shared" si="5"/>
        <v>144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49</v>
      </c>
      <c r="P12" s="42">
        <f t="shared" si="4"/>
        <v>0</v>
      </c>
      <c r="Q12" s="42">
        <f>(C69*L69)-C12</f>
        <v>95</v>
      </c>
      <c r="R12" s="42">
        <f t="shared" si="5"/>
        <v>144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49</v>
      </c>
      <c r="P13" s="42">
        <f t="shared" si="4"/>
        <v>0</v>
      </c>
      <c r="Q13" s="42">
        <f>(C70*L70)-C13</f>
        <v>95</v>
      </c>
      <c r="R13" s="42">
        <f t="shared" si="5"/>
        <v>144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49</v>
      </c>
      <c r="P14" s="42">
        <f t="shared" si="4"/>
        <v>0</v>
      </c>
      <c r="Q14" s="42">
        <f>(C70*L70)-C14</f>
        <v>95</v>
      </c>
      <c r="R14" s="42">
        <f t="shared" si="5"/>
        <v>144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49</v>
      </c>
      <c r="P15" s="42">
        <f t="shared" si="4"/>
        <v>0</v>
      </c>
      <c r="Q15" s="42">
        <f>(C69*L69)-C15</f>
        <v>95</v>
      </c>
      <c r="R15" s="42">
        <f t="shared" si="5"/>
        <v>144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12.441000000000001</v>
      </c>
      <c r="D42" s="56">
        <f>E6/1000</f>
        <v>2.9780000000000002</v>
      </c>
      <c r="E42" s="56">
        <f>MAX(C42:D42)</f>
        <v>12.441000000000001</v>
      </c>
      <c r="G42" s="1" t="str">
        <f>B42</f>
        <v>per 1000 youth</v>
      </c>
      <c r="L42" s="57">
        <v>1000</v>
      </c>
      <c r="M42" s="57"/>
      <c r="R42" s="49"/>
    </row>
    <row r="43" spans="2:18" ht="15" hidden="1" customHeight="1">
      <c r="B43" s="49" t="s">
        <v>87</v>
      </c>
      <c r="C43" s="56">
        <f>C7/100</f>
        <v>0.95</v>
      </c>
      <c r="D43" s="56">
        <f>E7/100</f>
        <v>0.49</v>
      </c>
      <c r="E43" s="56">
        <f>MAX(C43:D43,0)</f>
        <v>0.95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12.441000000000001</v>
      </c>
      <c r="D48" s="56">
        <f>D42</f>
        <v>2.9780000000000002</v>
      </c>
      <c r="E48" s="56">
        <f>MAX(C48:D48)</f>
        <v>12.441000000000001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0.95</v>
      </c>
      <c r="D49" s="49">
        <f t="shared" si="9"/>
        <v>0.49</v>
      </c>
      <c r="E49" s="49">
        <f>MAX(C49:D49)</f>
        <v>0.95</v>
      </c>
      <c r="G49" s="1" t="str">
        <f>G43</f>
        <v>per 100 arrests</v>
      </c>
      <c r="L49" s="58">
        <f>IF(($E43&gt;0),L43,L42)</f>
        <v>100</v>
      </c>
      <c r="M49" s="58"/>
      <c r="N49" s="21"/>
      <c r="O49" s="21"/>
      <c r="P49" s="21"/>
      <c r="Q49" s="21"/>
      <c r="R49" s="21"/>
    </row>
    <row r="50" spans="2:18" ht="15" hidden="1" customHeight="1">
      <c r="B50" s="49" t="str">
        <f t="shared" si="9"/>
        <v>per 100 arrests</v>
      </c>
      <c r="C50" s="49">
        <f t="shared" si="9"/>
        <v>0.95</v>
      </c>
      <c r="D50" s="49">
        <f t="shared" si="9"/>
        <v>0.49</v>
      </c>
      <c r="E50" s="49">
        <f>MAX(C50:D50)</f>
        <v>0.95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12.441000000000001</v>
      </c>
      <c r="D54" s="56">
        <f>D48</f>
        <v>2.9780000000000002</v>
      </c>
      <c r="E54" s="56">
        <f>MAX(C54:D54)</f>
        <v>12.441000000000001</v>
      </c>
      <c r="G54" s="1" t="str">
        <f>G48</f>
        <v>per 1000 youth</v>
      </c>
      <c r="L54" s="58">
        <f>L48</f>
        <v>1000</v>
      </c>
      <c r="M54" s="58"/>
    </row>
    <row r="55" spans="2:18" ht="15" hidden="1" customHeight="1">
      <c r="B55" s="49" t="str">
        <f t="shared" ref="B55:D56" si="10">IF(($E49&gt;0),B49,B48)</f>
        <v>per 100 arrests</v>
      </c>
      <c r="C55" s="49">
        <f t="shared" si="10"/>
        <v>0.95</v>
      </c>
      <c r="D55" s="49">
        <f t="shared" si="10"/>
        <v>0.49</v>
      </c>
      <c r="E55" s="49">
        <f>MAX(C55:D55)</f>
        <v>0.95</v>
      </c>
      <c r="G55" s="1" t="str">
        <f>G49</f>
        <v>per 100 arrests</v>
      </c>
      <c r="L55" s="58">
        <f>IF(($E49&gt;0),L49,L48)</f>
        <v>100</v>
      </c>
      <c r="M55" s="58"/>
    </row>
    <row r="56" spans="2:18" ht="15" hidden="1" customHeight="1">
      <c r="B56" s="49" t="str">
        <f t="shared" si="10"/>
        <v>per 100 arrests</v>
      </c>
      <c r="C56" s="49">
        <f t="shared" si="10"/>
        <v>0.95</v>
      </c>
      <c r="D56" s="49">
        <f t="shared" si="10"/>
        <v>0.49</v>
      </c>
      <c r="E56" s="49">
        <f>MAX(C56:D56)</f>
        <v>0.95</v>
      </c>
      <c r="G56" s="1" t="str">
        <f>G50</f>
        <v>per 100 referrals</v>
      </c>
      <c r="L56" s="58">
        <f>IF(($E50&gt;0),L50,L49)</f>
        <v>100</v>
      </c>
      <c r="M56" s="58"/>
    </row>
    <row r="57" spans="2:18" ht="15" hidden="1" customHeight="1">
      <c r="B57" s="49" t="str">
        <f>IF(($E51&gt;0),B51,B49)</f>
        <v>per 100 arrests</v>
      </c>
      <c r="C57" s="49">
        <f>IF(($E51&gt;0),C51,C50)</f>
        <v>0.95</v>
      </c>
      <c r="D57" s="49">
        <f>IF(($E51&gt;0),D51,D50)</f>
        <v>0.49</v>
      </c>
      <c r="E57" s="49">
        <f>MAX(C57:D57)</f>
        <v>0.95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12.441000000000001</v>
      </c>
      <c r="D60" s="56">
        <f>D54</f>
        <v>2.9780000000000002</v>
      </c>
      <c r="E60" s="56">
        <f>MAX(C60:D60)</f>
        <v>12.441000000000001</v>
      </c>
      <c r="G60" s="1" t="str">
        <f>G54</f>
        <v>per 1000 youth</v>
      </c>
      <c r="L60" s="58">
        <f>L54</f>
        <v>1000</v>
      </c>
      <c r="M60" s="58"/>
    </row>
    <row r="61" spans="2:18" ht="15" hidden="1" customHeight="1">
      <c r="B61" s="49" t="str">
        <f t="shared" ref="B61:D62" si="11">IF(($E55&gt;0),B55,B54)</f>
        <v>per 100 arrests</v>
      </c>
      <c r="C61" s="49">
        <f t="shared" si="11"/>
        <v>0.95</v>
      </c>
      <c r="D61" s="49">
        <f t="shared" si="11"/>
        <v>0.49</v>
      </c>
      <c r="E61" s="49">
        <f>MAX(C61:D61)</f>
        <v>0.95</v>
      </c>
      <c r="G61" s="1" t="str">
        <f>G55</f>
        <v>per 100 arrests</v>
      </c>
      <c r="L61" s="58">
        <f>IF(($E55&gt;0),L55,L54)</f>
        <v>100</v>
      </c>
      <c r="M61" s="58"/>
    </row>
    <row r="62" spans="2:18" ht="15" hidden="1" customHeight="1">
      <c r="B62" s="49" t="str">
        <f t="shared" si="11"/>
        <v>per 100 arrests</v>
      </c>
      <c r="C62" s="49">
        <f t="shared" si="11"/>
        <v>0.95</v>
      </c>
      <c r="D62" s="49">
        <f t="shared" si="11"/>
        <v>0.49</v>
      </c>
      <c r="E62" s="49">
        <f>MAX(C62:D62)</f>
        <v>0.95</v>
      </c>
      <c r="G62" s="1" t="str">
        <f>G56</f>
        <v>per 100 referrals</v>
      </c>
      <c r="L62" s="58">
        <f>IF(($E56&gt;0),L56,L55)</f>
        <v>100</v>
      </c>
      <c r="M62" s="58"/>
    </row>
    <row r="63" spans="2:18" ht="15" hidden="1" customHeight="1">
      <c r="B63" s="49" t="str">
        <f>IF(($E57&gt;0),B57,B55)</f>
        <v>per 100 arrests</v>
      </c>
      <c r="C63" s="49">
        <f>IF(($E57&gt;0),C57,C56)</f>
        <v>0.95</v>
      </c>
      <c r="D63" s="49">
        <f>IF(($E57&gt;0),D57,D56)</f>
        <v>0.49</v>
      </c>
      <c r="E63" s="49">
        <f>MAX(C63:D63)</f>
        <v>0.95</v>
      </c>
      <c r="G63" s="1" t="str">
        <f>G57</f>
        <v>per 100 youth petitioned</v>
      </c>
      <c r="L63" s="58">
        <f>IF(($E57&gt;0),L57,L56)</f>
        <v>100</v>
      </c>
      <c r="M63" s="58"/>
    </row>
    <row r="64" spans="2:18" ht="15" hidden="1" customHeight="1">
      <c r="B64" s="49" t="str">
        <f>IF(($E58&gt;0),B58,B57)</f>
        <v>per 100 arrests</v>
      </c>
      <c r="C64" s="49">
        <f>IF(($E58&gt;0),C58,C57)</f>
        <v>0.95</v>
      </c>
      <c r="D64" s="49">
        <f>IF(($E58&gt;0),D58,D57)</f>
        <v>0.49</v>
      </c>
      <c r="E64" s="56">
        <f>MAX(C64:D64)</f>
        <v>0.95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12.441000000000001</v>
      </c>
      <c r="D66" s="56">
        <f>D60</f>
        <v>2.9780000000000002</v>
      </c>
      <c r="E66" s="56">
        <f>MAX(C66:D66)</f>
        <v>12.441000000000001</v>
      </c>
      <c r="G66" s="1" t="str">
        <f>G60</f>
        <v>per 1000 youth</v>
      </c>
      <c r="L66" s="58">
        <f>L60</f>
        <v>1000</v>
      </c>
      <c r="M66" s="58">
        <f>IF((B66=G66),1,2)</f>
        <v>1</v>
      </c>
    </row>
    <row r="67" spans="2:13" ht="15" hidden="1" customHeight="1">
      <c r="B67" s="49" t="str">
        <f t="shared" ref="B67:D68" si="12">IF(($E61&gt;0),B61,B60)</f>
        <v>per 100 arrests</v>
      </c>
      <c r="C67" s="49">
        <f t="shared" si="12"/>
        <v>0.95</v>
      </c>
      <c r="D67" s="49">
        <f t="shared" si="12"/>
        <v>0.49</v>
      </c>
      <c r="E67" s="49">
        <f>MAX(C67:D67)</f>
        <v>0.95</v>
      </c>
      <c r="G67" s="1" t="str">
        <f>G61</f>
        <v>per 100 arrests</v>
      </c>
      <c r="L67" s="58">
        <f>IF(($E61&gt;0),L61,L60)</f>
        <v>100</v>
      </c>
      <c r="M67" s="58">
        <f>IF((B67=G67),1,2)</f>
        <v>1</v>
      </c>
    </row>
    <row r="68" spans="2:13" ht="15" hidden="1" customHeight="1">
      <c r="B68" s="49" t="str">
        <f t="shared" si="12"/>
        <v>per 100 arrests</v>
      </c>
      <c r="C68" s="49">
        <f t="shared" si="12"/>
        <v>0.95</v>
      </c>
      <c r="D68" s="49">
        <f t="shared" si="12"/>
        <v>0.49</v>
      </c>
      <c r="E68" s="49">
        <f>MAX(C68:D68)</f>
        <v>0.95</v>
      </c>
      <c r="G68" s="1" t="str">
        <f>G62</f>
        <v>per 100 referrals</v>
      </c>
      <c r="L68" s="58">
        <f>IF(($E62&gt;0),L62,L61)</f>
        <v>100</v>
      </c>
      <c r="M68" s="58">
        <f>IF((B68=G68),1,2)</f>
        <v>2</v>
      </c>
    </row>
    <row r="69" spans="2:13" ht="15" hidden="1" customHeight="1">
      <c r="B69" s="49" t="str">
        <f>IF(($E63&gt;0),B63,B61)</f>
        <v>per 100 arrests</v>
      </c>
      <c r="C69" s="49">
        <f>IF(($E63&gt;0),C63,C62)</f>
        <v>0.95</v>
      </c>
      <c r="D69" s="49">
        <f>IF(($E63&gt;0),D63,D62)</f>
        <v>0.49</v>
      </c>
      <c r="E69" s="49">
        <f>MAX(C69:D69)</f>
        <v>0.95</v>
      </c>
      <c r="G69" s="1" t="str">
        <f>G63</f>
        <v>per 100 youth petitioned</v>
      </c>
      <c r="L69" s="58">
        <f>IF(($E63&gt;0),L63,L62)</f>
        <v>100</v>
      </c>
      <c r="M69" s="58">
        <f>IF((B69=G69),1,2)</f>
        <v>2</v>
      </c>
    </row>
    <row r="70" spans="2:13" ht="15" hidden="1" customHeight="1">
      <c r="B70" s="49" t="str">
        <f>IF(($E64&gt;0),B64,B63)</f>
        <v>per 100 arrests</v>
      </c>
      <c r="C70" s="49">
        <f>IF(($E64&gt;0),C64,C63)</f>
        <v>0.95</v>
      </c>
      <c r="D70" s="49">
        <f>IF(($E64&gt;0),D64,D63)</f>
        <v>0.49</v>
      </c>
      <c r="E70" s="56">
        <f>MAX(C70:D70)</f>
        <v>0.95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Jackson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3.5848809173772422</v>
      </c>
      <c r="D7" s="72" t="str">
        <f>Hispanic!G7</f>
        <v>**</v>
      </c>
      <c r="E7" s="72" t="str">
        <f>Asian!G7</f>
        <v>**</v>
      </c>
      <c r="F7" s="72" t="str">
        <f>Hawaiian!G7</f>
        <v>*</v>
      </c>
      <c r="G7" s="72" t="str">
        <f>'Am Indian'!G7</f>
        <v>*</v>
      </c>
      <c r="H7" s="72" t="str">
        <f>'Other - Mixed'!G7</f>
        <v>*</v>
      </c>
      <c r="I7" s="73">
        <f>'All Minorities'!G7</f>
        <v>2.1547806722986111</v>
      </c>
      <c r="L7" s="1">
        <f>'Black or African-American'!L7</f>
        <v>1</v>
      </c>
      <c r="M7" s="1">
        <f>Hispanic!L7</f>
        <v>20</v>
      </c>
      <c r="N7" s="1">
        <f>Asian!L7</f>
        <v>40</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15419</v>
      </c>
      <c r="D3" s="57">
        <f>'Data Entry'!C6</f>
        <v>12441</v>
      </c>
      <c r="E3" s="57">
        <f>'Data Entry'!D6</f>
        <v>1790</v>
      </c>
      <c r="F3" s="57">
        <f>'Data Entry'!E6</f>
        <v>926</v>
      </c>
      <c r="G3" s="57">
        <f>'Data Entry'!F6</f>
        <v>191</v>
      </c>
      <c r="H3" s="57">
        <f>'Data Entry'!G6</f>
        <v>0</v>
      </c>
      <c r="I3" s="57">
        <f>'Data Entry'!H6</f>
        <v>71</v>
      </c>
      <c r="J3" s="57">
        <f>'Data Entry'!I6</f>
        <v>0</v>
      </c>
      <c r="K3" s="57">
        <f>'Data Entry'!J6</f>
        <v>2978</v>
      </c>
    </row>
    <row r="4" spans="2:11" ht="15" customHeight="1">
      <c r="B4" s="16" t="s">
        <v>8</v>
      </c>
      <c r="C4" s="1">
        <f>IF((C$3&gt;0),(1000*('Data Entry'!B7/'Data Entry'!B$6)), 0)</f>
        <v>9.6634022958687336</v>
      </c>
      <c r="D4" s="1">
        <f>IF((D$3&gt;0),(1000*('Data Entry'!C7/'Data Entry'!C$6)), 0)</f>
        <v>7.6360421188007388</v>
      </c>
      <c r="E4" s="1">
        <f>IF((E$3&gt;0),(1000*('Data Entry'!D7/'Data Entry'!D$6)), 0)</f>
        <v>27.374301675977652</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16.453995970449967</v>
      </c>
    </row>
    <row r="5" spans="2:11" ht="15" customHeight="1">
      <c r="B5" s="16" t="s">
        <v>9</v>
      </c>
      <c r="C5" s="1">
        <f>IF((C$3&gt;0),(1000*('Data Entry'!B8/'Data Entry'!B$6)), 0)</f>
        <v>35.735131980024647</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8.3014462675919312</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4.7992736234515858</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27.433685712432712</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20.948180815876515</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5.9666645048317006</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0.45398534275893376</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Jackson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3.5848809173772422</v>
      </c>
      <c r="E19" s="72" t="str">
        <f t="shared" si="1"/>
        <v>--</v>
      </c>
      <c r="F19" s="72" t="str">
        <f t="shared" si="1"/>
        <v>--</v>
      </c>
      <c r="G19" s="72" t="str">
        <f t="shared" si="1"/>
        <v>--</v>
      </c>
      <c r="H19" s="72" t="str">
        <f t="shared" si="1"/>
        <v>--</v>
      </c>
      <c r="I19" s="72" t="str">
        <f t="shared" si="1"/>
        <v>--</v>
      </c>
      <c r="J19" s="73">
        <f t="shared" si="1"/>
        <v>2.1547806722986111</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Jackson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12441</v>
      </c>
      <c r="D7" s="104">
        <f>'Data Entry'!D6</f>
        <v>1790</v>
      </c>
      <c r="E7" s="105"/>
      <c r="F7" s="106">
        <f>'Data Entry'!E6</f>
        <v>926</v>
      </c>
      <c r="G7" s="105"/>
      <c r="H7" s="106">
        <f>'Data Entry'!F6</f>
        <v>191</v>
      </c>
      <c r="I7" s="105"/>
      <c r="J7" s="106">
        <f>'Data Entry'!G6</f>
        <v>0</v>
      </c>
      <c r="K7" s="105"/>
      <c r="L7" s="106">
        <f>'Data Entry'!H6</f>
        <v>71</v>
      </c>
      <c r="M7" s="105"/>
      <c r="N7" s="106">
        <f>'Data Entry'!I6</f>
        <v>0</v>
      </c>
      <c r="O7" s="105"/>
      <c r="P7" s="106">
        <f>'Data Entry'!J6</f>
        <v>2978</v>
      </c>
      <c r="Q7" s="107"/>
    </row>
    <row r="8" spans="2:26" s="1" customFormat="1" ht="15" customHeight="1">
      <c r="B8" s="142" t="s">
        <v>8</v>
      </c>
      <c r="C8" s="103">
        <f>'Data Entry'!C7</f>
        <v>95</v>
      </c>
      <c r="D8" s="104">
        <f>'Data Entry'!D7</f>
        <v>49</v>
      </c>
      <c r="E8" s="105">
        <f>'Black or African-American'!$G7</f>
        <v>3.5848809173772422</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49</v>
      </c>
      <c r="Q8" s="107">
        <f>'All Minorities'!G7</f>
        <v>2.1547806722986111</v>
      </c>
      <c r="R8"/>
      <c r="T8" s="1">
        <f>'Black or African-American'!L7</f>
        <v>1</v>
      </c>
      <c r="U8" s="1">
        <f>Hispanic!L7</f>
        <v>20</v>
      </c>
      <c r="V8" s="1">
        <f>Asian!L7</f>
        <v>40</v>
      </c>
      <c r="W8" s="1" t="e">
        <f>Hawaiian!L7</f>
        <v>#VALUE!</v>
      </c>
      <c r="X8" s="1">
        <f>'Am Indian'!L7</f>
        <v>139</v>
      </c>
      <c r="Y8" s="1" t="e">
        <f>'Other - Mixed'!L7</f>
        <v>#VALUE!</v>
      </c>
      <c r="Z8" s="1">
        <f>'All Minorities'!L7</f>
        <v>1</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Jackson</v>
      </c>
    </row>
    <row r="6" spans="1:12">
      <c r="A6" s="135" t="str">
        <f>CONCATENATE("Percentage of Minorities at Stages of the Juvenile Justice System, ", A5, " 2022")</f>
        <v>Percentage of Minorities at Stages of the Juvenile Justice System, County: Jackson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4.1776359973136339</v>
      </c>
    </row>
    <row r="8" spans="1:12" ht="25.5" customHeight="1">
      <c r="A8" s="151" t="str">
        <f>CONCATENATE("Confinement, total N=", 'Data Entry'!B14)</f>
        <v>Confinement, total N=7</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v>
      </c>
      <c r="K8" s="96" t="str">
        <f>A8</f>
        <v>Confinement, total N=7</v>
      </c>
      <c r="L8">
        <f>I14/(SUM(B14:G14))</f>
        <v>4.1776359973136339</v>
      </c>
    </row>
    <row r="9" spans="1:12">
      <c r="A9" s="128" t="str">
        <f>CONCATENATE("Delinquent Findings, total N=", 'Data Entry'!B12)</f>
        <v>Delinquent Findings, total N=323</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v>
      </c>
      <c r="K9" s="96" t="str">
        <f t="shared" si="0"/>
        <v>Delinquent Findings, total N=323</v>
      </c>
      <c r="L9">
        <f>I14/(SUM(B14:G14))</f>
        <v>4.1776359973136339</v>
      </c>
    </row>
    <row r="10" spans="1:12">
      <c r="A10" s="128" t="str">
        <f>CONCATENATE("Petitions, total N=", 'Data Entry'!B11)</f>
        <v>Petitions, total N=423</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v>
      </c>
      <c r="K10" s="96" t="str">
        <f t="shared" si="0"/>
        <v>Petitions, total N=423</v>
      </c>
      <c r="L10">
        <f>I14/(SUM(B14:G14))</f>
        <v>4.1776359973136339</v>
      </c>
    </row>
    <row r="11" spans="1:12">
      <c r="A11" s="128" t="str">
        <f>CONCATENATE("Detentions, total N=", 'Data Entry'!B10)</f>
        <v>Detentions, total N=74</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v>
      </c>
      <c r="K11" s="96" t="str">
        <f t="shared" si="0"/>
        <v>Detentions, total N=74</v>
      </c>
      <c r="L11">
        <f>I14/(SUM(B14:G14))</f>
        <v>4.1776359973136339</v>
      </c>
    </row>
    <row r="12" spans="1:12">
      <c r="A12" s="128" t="str">
        <f>CONCATENATE("Referrals, total N=", 'Data Entry'!B8)</f>
        <v>Referrals, total N=551</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v>
      </c>
      <c r="K12" s="96" t="str">
        <f t="shared" si="0"/>
        <v>Referrals, total N=551</v>
      </c>
      <c r="L12">
        <f>I14/(SUM(B14:G14))</f>
        <v>4.1776359973136339</v>
      </c>
    </row>
    <row r="13" spans="1:12">
      <c r="A13" s="128" t="str">
        <f>CONCATENATE("Arrests, total N=", 'Data Entry'!B7)</f>
        <v>Arrests, total N=149</v>
      </c>
      <c r="B13" s="150">
        <f>'Data Entry'!D7/'Data Entry'!B7</f>
        <v>0.32885906040268459</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0.63758389261744963</v>
      </c>
      <c r="K13" s="96" t="str">
        <f t="shared" si="0"/>
        <v>Arrests, total N=149</v>
      </c>
      <c r="L13">
        <f>I14/(SUM(B14:G14))</f>
        <v>4.1776359973136339</v>
      </c>
    </row>
    <row r="14" spans="1:12">
      <c r="A14" s="128" t="str">
        <f>CONCATENATE("Population, total N=", 'Data Entry'!B6)</f>
        <v>Population, total N=15419</v>
      </c>
      <c r="B14" s="150">
        <f>'Data Entry'!D6/'Data Entry'!B6</f>
        <v>0.11609053764835592</v>
      </c>
      <c r="C14" s="150">
        <f>'Data Entry'!E6/'Data Entry'!B6</f>
        <v>6.005577534211038E-2</v>
      </c>
      <c r="D14" s="150">
        <f>'Data Entry'!F6/'Data Entry'!B6</f>
        <v>1.2387314352422336E-2</v>
      </c>
      <c r="E14" s="150">
        <f>'Data Entry'!G6/'Data Entry'!B6</f>
        <v>0</v>
      </c>
      <c r="F14" s="150">
        <f>'Data Entry'!H6/'Data Entry'!B6</f>
        <v>4.6047084765548996E-3</v>
      </c>
      <c r="G14" s="150">
        <f>'Data Entry'!I6/'Data Entry'!B6</f>
        <v>0</v>
      </c>
      <c r="H14" s="150">
        <f>SUM(D14:G14)/'Data Entry'!B6</f>
        <v>1.1020184725972655E-6</v>
      </c>
      <c r="I14" s="150">
        <f>'Data Entry'!C6/'Data Entry'!B6</f>
        <v>0.80686166418055649</v>
      </c>
      <c r="K14" s="96" t="str">
        <f t="shared" si="0"/>
        <v>Population, total N=15419</v>
      </c>
      <c r="L14">
        <f>I14/(SUM(B14:G14))</f>
        <v>4.1776359973136339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Jackson</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12441</v>
      </c>
      <c r="D7" s="104">
        <f>'Data Entry'!D6</f>
        <v>1790</v>
      </c>
      <c r="E7" s="105"/>
      <c r="F7" s="106">
        <f>'Data Entry'!E6</f>
        <v>926</v>
      </c>
      <c r="G7" s="105"/>
      <c r="H7" s="106">
        <f>'Data Entry'!F6</f>
        <v>191</v>
      </c>
      <c r="I7" s="105"/>
      <c r="J7" s="106">
        <f>'Data Entry'!J6</f>
        <v>2978</v>
      </c>
      <c r="K7" s="107"/>
    </row>
    <row r="8" spans="2:30" s="1" customFormat="1" ht="15" customHeight="1">
      <c r="B8" s="121" t="s">
        <v>8</v>
      </c>
      <c r="C8" s="103">
        <f>'Data Entry'!C7</f>
        <v>95</v>
      </c>
      <c r="D8" s="104">
        <f>'Data Entry'!D7</f>
        <v>49</v>
      </c>
      <c r="E8" s="105">
        <f>'Black or African-American'!$G7</f>
        <v>3.5848809173772422</v>
      </c>
      <c r="F8" s="106">
        <f>'Data Entry'!E7</f>
        <v>0</v>
      </c>
      <c r="G8" s="105" t="str">
        <f>Hispanic!G7</f>
        <v>**</v>
      </c>
      <c r="H8" s="106">
        <f>'Data Entry'!F7</f>
        <v>0</v>
      </c>
      <c r="I8" s="105" t="str">
        <f>Asian!G7</f>
        <v>**</v>
      </c>
      <c r="J8" s="106">
        <f>'Data Entry'!J7</f>
        <v>49</v>
      </c>
      <c r="K8" s="107">
        <f>'All Minorities'!G7</f>
        <v>2.1547806722986111</v>
      </c>
      <c r="L8"/>
      <c r="N8" s="1">
        <f>'Black or African-American'!L7</f>
        <v>1</v>
      </c>
      <c r="O8" s="1">
        <f>Hispanic!L7</f>
        <v>20</v>
      </c>
      <c r="P8" s="1">
        <f>Asian!L7</f>
        <v>40</v>
      </c>
      <c r="Q8" s="1" t="e">
        <f>Hawaiian!L7</f>
        <v>#VALUE!</v>
      </c>
      <c r="R8" s="1">
        <f>'Am Indian'!L7</f>
        <v>139</v>
      </c>
      <c r="S8" s="1" t="e">
        <f>'Other - Mixed'!L7</f>
        <v>#VALUE!</v>
      </c>
      <c r="T8" s="1">
        <f>'All Minorities'!L7</f>
        <v>1</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12441</v>
      </c>
      <c r="D6" s="34"/>
      <c r="E6" s="33">
        <f>'Data Entry'!D6</f>
        <v>1790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95</v>
      </c>
      <c r="D7" s="34">
        <f>IF((AND(C66&gt;0,C7&gt;0)),(C7/C66),0)</f>
        <v>7.6360421188007388</v>
      </c>
      <c r="E7" s="33">
        <f>'Data Entry'!D7</f>
        <v>49</v>
      </c>
      <c r="F7" s="34">
        <f>IF((AND($E$7&gt;0,$D$66&gt;0)),($E$7/$D$66),0)</f>
        <v>27.374301675977652</v>
      </c>
      <c r="G7" s="39">
        <f>IF(L$6=100,"*",IF(M7=FALSE,"--",IF(K7=20,"**",($F7/$D7))))</f>
        <v>3.5848809173772422</v>
      </c>
      <c r="H7" s="40"/>
      <c r="I7" s="41"/>
      <c r="J7" s="40">
        <f>IF((ABS($U7)&gt;Defaults!D$7),1,2)</f>
        <v>1</v>
      </c>
      <c r="K7" s="39">
        <f>IF((AND(N7&gt;Defaults!B$12,(N7+O7)&gt;Defaults!B$13, P7 &gt; Defaults!B$12, (P7+Q7) &gt; Defaults!B$13)),1,20)</f>
        <v>1</v>
      </c>
      <c r="L7" s="1">
        <f>(J7*K7+L$6)-1</f>
        <v>1</v>
      </c>
      <c r="M7" s="1" t="b">
        <f t="shared" ref="M7:M15" si="0">(ISNUMBER(J7))</f>
        <v>1</v>
      </c>
      <c r="N7" s="42">
        <f t="shared" ref="N7:N15" si="1">E7</f>
        <v>49</v>
      </c>
      <c r="O7" s="42">
        <f>E6-E7</f>
        <v>1741</v>
      </c>
      <c r="P7" s="42">
        <f t="shared" ref="P7:P15" si="2">C7</f>
        <v>95</v>
      </c>
      <c r="Q7" s="42">
        <f>C6-C7</f>
        <v>12346</v>
      </c>
      <c r="R7" s="42">
        <f t="shared" ref="R7:R15" si="3">SUM(N7:Q7)</f>
        <v>14231</v>
      </c>
      <c r="S7" s="30">
        <f t="shared" ref="S7:S15" si="4">R7*((((N7*Q7)-(O7*P7))^2))</f>
        <v>2749601601179111</v>
      </c>
      <c r="T7" s="30">
        <f t="shared" ref="T7:T15" si="5">(N7+O7)*(P7+Q7)*(N7+P7)*(O7+Q7)</f>
        <v>45174081157920</v>
      </c>
      <c r="U7" s="31">
        <f t="shared" ref="U7:U15" si="6">IF((S7&gt;0),S7/T7,"- -")</f>
        <v>60.866796417331138</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49.05</v>
      </c>
      <c r="P8" s="42">
        <f t="shared" si="2"/>
        <v>0</v>
      </c>
      <c r="Q8" s="42">
        <f>(C$67*L67)-C8</f>
        <v>95</v>
      </c>
      <c r="R8" s="42">
        <f t="shared" si="3"/>
        <v>144.05000000000001</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49</v>
      </c>
      <c r="P9" s="42">
        <f t="shared" si="2"/>
        <v>0</v>
      </c>
      <c r="Q9" s="42">
        <f>(C$68*L68)-C9</f>
        <v>95</v>
      </c>
      <c r="R9" s="42">
        <f t="shared" si="3"/>
        <v>144</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49</v>
      </c>
      <c r="P10" s="42">
        <f t="shared" si="2"/>
        <v>0</v>
      </c>
      <c r="Q10" s="42">
        <f>(C$68*L68)-C10</f>
        <v>95</v>
      </c>
      <c r="R10" s="42">
        <f t="shared" si="3"/>
        <v>144</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49</v>
      </c>
      <c r="P11" s="42">
        <f t="shared" si="2"/>
        <v>0</v>
      </c>
      <c r="Q11" s="42">
        <f>(C$68*L68)-C11</f>
        <v>95</v>
      </c>
      <c r="R11" s="42">
        <f t="shared" si="3"/>
        <v>144</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49</v>
      </c>
      <c r="P12" s="42">
        <f t="shared" si="2"/>
        <v>0</v>
      </c>
      <c r="Q12" s="42">
        <f>(C69*L69)-C12</f>
        <v>95</v>
      </c>
      <c r="R12" s="42">
        <f t="shared" si="3"/>
        <v>144</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49</v>
      </c>
      <c r="P13" s="42">
        <f t="shared" si="2"/>
        <v>0</v>
      </c>
      <c r="Q13" s="42">
        <f>(C70*L70)-C13</f>
        <v>95</v>
      </c>
      <c r="R13" s="42">
        <f t="shared" si="3"/>
        <v>144</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49</v>
      </c>
      <c r="P14" s="42">
        <f t="shared" si="2"/>
        <v>0</v>
      </c>
      <c r="Q14" s="42">
        <f>(C70*L70)-C14</f>
        <v>95</v>
      </c>
      <c r="R14" s="42">
        <f t="shared" si="3"/>
        <v>144</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49</v>
      </c>
      <c r="P15" s="42">
        <f t="shared" si="2"/>
        <v>0</v>
      </c>
      <c r="Q15" s="42">
        <f>(C69*L69)-C15</f>
        <v>95</v>
      </c>
      <c r="R15" s="42">
        <f t="shared" si="3"/>
        <v>144</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12.441000000000001</v>
      </c>
      <c r="D42" s="56">
        <f>E6/1000</f>
        <v>1.79</v>
      </c>
      <c r="E42" s="56">
        <f>MAX(C42:D42)</f>
        <v>12.441000000000001</v>
      </c>
      <c r="G42" s="1" t="str">
        <f>B42</f>
        <v>per 1000 youth</v>
      </c>
      <c r="L42" s="57">
        <v>1000</v>
      </c>
      <c r="M42" s="57"/>
      <c r="R42" s="49"/>
    </row>
    <row r="43" spans="2:18" ht="15" hidden="1" customHeight="1">
      <c r="B43" s="49" t="s">
        <v>87</v>
      </c>
      <c r="C43" s="56">
        <f>C7/100</f>
        <v>0.95</v>
      </c>
      <c r="D43" s="56">
        <f>E7/100</f>
        <v>0.49</v>
      </c>
      <c r="E43" s="56">
        <f>MAX(C43:D43,0)</f>
        <v>0.95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12.441000000000001</v>
      </c>
      <c r="D48" s="56">
        <f>D42</f>
        <v>1.79</v>
      </c>
      <c r="E48" s="56">
        <f>MAX(C48:D48)</f>
        <v>12.441000000000001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0.95</v>
      </c>
      <c r="D49" s="49">
        <f t="shared" si="9"/>
        <v>0.49</v>
      </c>
      <c r="E49" s="49">
        <f>MAX(C49:D49)</f>
        <v>0.95</v>
      </c>
      <c r="G49" s="1" t="str">
        <f>G43</f>
        <v>per 100 arrests</v>
      </c>
      <c r="L49" s="58">
        <f>IF(($E43&gt;0),L43,L42)</f>
        <v>100</v>
      </c>
      <c r="M49" s="58"/>
      <c r="N49" s="21"/>
      <c r="O49" s="21"/>
      <c r="P49" s="21"/>
      <c r="Q49" s="21"/>
      <c r="R49" s="21"/>
    </row>
    <row r="50" spans="2:18" ht="15" hidden="1" customHeight="1">
      <c r="B50" s="49" t="str">
        <f t="shared" si="9"/>
        <v>per 100 arrests</v>
      </c>
      <c r="C50" s="49">
        <f t="shared" si="9"/>
        <v>0.95</v>
      </c>
      <c r="D50" s="49">
        <f t="shared" si="9"/>
        <v>0.49</v>
      </c>
      <c r="E50" s="49">
        <f>MAX(C50:D50)</f>
        <v>0.95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12.441000000000001</v>
      </c>
      <c r="D54" s="56">
        <f>D48</f>
        <v>1.79</v>
      </c>
      <c r="E54" s="56">
        <f>MAX(C54:D54)</f>
        <v>12.441000000000001</v>
      </c>
      <c r="G54" s="1" t="str">
        <f>G48</f>
        <v>per 1000 youth</v>
      </c>
      <c r="L54" s="58">
        <f>L48</f>
        <v>1000</v>
      </c>
      <c r="M54" s="58"/>
    </row>
    <row r="55" spans="2:18" ht="15" hidden="1" customHeight="1">
      <c r="B55" s="49" t="str">
        <f t="shared" ref="B55:D56" si="10">IF(($E49&gt;0),B49,B48)</f>
        <v>per 100 arrests</v>
      </c>
      <c r="C55" s="49">
        <f t="shared" si="10"/>
        <v>0.95</v>
      </c>
      <c r="D55" s="49">
        <f t="shared" si="10"/>
        <v>0.49</v>
      </c>
      <c r="E55" s="49">
        <f>MAX(C55:D55)</f>
        <v>0.95</v>
      </c>
      <c r="G55" s="1" t="str">
        <f>G49</f>
        <v>per 100 arrests</v>
      </c>
      <c r="L55" s="58">
        <f>IF(($E49&gt;0),L49,L48)</f>
        <v>100</v>
      </c>
      <c r="M55" s="58"/>
    </row>
    <row r="56" spans="2:18" ht="15" hidden="1" customHeight="1">
      <c r="B56" s="49" t="str">
        <f t="shared" si="10"/>
        <v>per 100 arrests</v>
      </c>
      <c r="C56" s="49">
        <f t="shared" si="10"/>
        <v>0.95</v>
      </c>
      <c r="D56" s="49">
        <f t="shared" si="10"/>
        <v>0.49</v>
      </c>
      <c r="E56" s="49">
        <f>MAX(C56:D56)</f>
        <v>0.95</v>
      </c>
      <c r="G56" s="1" t="str">
        <f>G50</f>
        <v>per 100 referrals</v>
      </c>
      <c r="L56" s="58">
        <f>IF(($E50&gt;0),L50,L49)</f>
        <v>100</v>
      </c>
      <c r="M56" s="58"/>
    </row>
    <row r="57" spans="2:18" ht="15" hidden="1" customHeight="1">
      <c r="B57" s="49" t="str">
        <f>IF(($E51&gt;0),B51,B49)</f>
        <v>per 100 arrests</v>
      </c>
      <c r="C57" s="49">
        <f>IF(($E51&gt;0),C51,C50)</f>
        <v>0.95</v>
      </c>
      <c r="D57" s="49">
        <f>IF(($E51&gt;0),D51,D50)</f>
        <v>0.49</v>
      </c>
      <c r="E57" s="49">
        <f>MAX(C57:D57)</f>
        <v>0.95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12.441000000000001</v>
      </c>
      <c r="D60" s="56">
        <f>D54</f>
        <v>1.79</v>
      </c>
      <c r="E60" s="56">
        <f>MAX(C60:D60)</f>
        <v>12.441000000000001</v>
      </c>
      <c r="G60" s="1" t="str">
        <f>G54</f>
        <v>per 1000 youth</v>
      </c>
      <c r="L60" s="58">
        <f>L54</f>
        <v>1000</v>
      </c>
      <c r="M60" s="58"/>
    </row>
    <row r="61" spans="2:18" ht="15" hidden="1" customHeight="1">
      <c r="B61" s="49" t="str">
        <f t="shared" ref="B61:D62" si="11">IF(($E55&gt;0),B55,B54)</f>
        <v>per 100 arrests</v>
      </c>
      <c r="C61" s="49">
        <f t="shared" si="11"/>
        <v>0.95</v>
      </c>
      <c r="D61" s="49">
        <f t="shared" si="11"/>
        <v>0.49</v>
      </c>
      <c r="E61" s="49">
        <f>MAX(C61:D61)</f>
        <v>0.95</v>
      </c>
      <c r="G61" s="1" t="str">
        <f>G55</f>
        <v>per 100 arrests</v>
      </c>
      <c r="L61" s="58">
        <f>IF(($E55&gt;0),L55,L54)</f>
        <v>100</v>
      </c>
      <c r="M61" s="58"/>
    </row>
    <row r="62" spans="2:18" ht="15" hidden="1" customHeight="1">
      <c r="B62" s="49" t="str">
        <f t="shared" si="11"/>
        <v>per 100 arrests</v>
      </c>
      <c r="C62" s="49">
        <f t="shared" si="11"/>
        <v>0.95</v>
      </c>
      <c r="D62" s="49">
        <f t="shared" si="11"/>
        <v>0.49</v>
      </c>
      <c r="E62" s="49">
        <f>MAX(C62:D62)</f>
        <v>0.95</v>
      </c>
      <c r="G62" s="1" t="str">
        <f>G56</f>
        <v>per 100 referrals</v>
      </c>
      <c r="L62" s="58">
        <f>IF(($E56&gt;0),L56,L55)</f>
        <v>100</v>
      </c>
      <c r="M62" s="58"/>
    </row>
    <row r="63" spans="2:18" ht="15" hidden="1" customHeight="1">
      <c r="B63" s="49" t="str">
        <f>IF(($E57&gt;0),B57,B55)</f>
        <v>per 100 arrests</v>
      </c>
      <c r="C63" s="49">
        <f>IF(($E57&gt;0),C57,C56)</f>
        <v>0.95</v>
      </c>
      <c r="D63" s="49">
        <f>IF(($E57&gt;0),D57,D56)</f>
        <v>0.49</v>
      </c>
      <c r="E63" s="49">
        <f>MAX(C63:D63)</f>
        <v>0.95</v>
      </c>
      <c r="G63" s="1" t="str">
        <f>G57</f>
        <v>per 100 youth petitioned</v>
      </c>
      <c r="L63" s="58">
        <f>IF(($E57&gt;0),L57,L56)</f>
        <v>100</v>
      </c>
      <c r="M63" s="58"/>
    </row>
    <row r="64" spans="2:18" ht="15" hidden="1" customHeight="1">
      <c r="B64" s="49" t="str">
        <f>IF(($E58&gt;0),B58,B57)</f>
        <v>per 100 arrests</v>
      </c>
      <c r="C64" s="49">
        <f>IF(($E58&gt;0),C58,C57)</f>
        <v>0.95</v>
      </c>
      <c r="D64" s="49">
        <f>IF(($E58&gt;0),D58,D57)</f>
        <v>0.49</v>
      </c>
      <c r="E64" s="56">
        <f>MAX(C64:D64)</f>
        <v>0.95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12.441000000000001</v>
      </c>
      <c r="D66" s="56">
        <f>D60</f>
        <v>1.79</v>
      </c>
      <c r="E66" s="56">
        <f>MAX(C66:D66)</f>
        <v>12.441000000000001</v>
      </c>
      <c r="G66" s="1" t="str">
        <f>G60</f>
        <v>per 1000 youth</v>
      </c>
      <c r="L66" s="58">
        <f>L60</f>
        <v>1000</v>
      </c>
      <c r="M66" s="58">
        <f>IF((B66=G66),1,2)</f>
        <v>1</v>
      </c>
    </row>
    <row r="67" spans="2:13" ht="15" hidden="1" customHeight="1">
      <c r="B67" s="49" t="str">
        <f t="shared" ref="B67:D68" si="12">IF(($E61&gt;0),B61,B60)</f>
        <v>per 100 arrests</v>
      </c>
      <c r="C67" s="49">
        <f t="shared" si="12"/>
        <v>0.95</v>
      </c>
      <c r="D67" s="49">
        <f t="shared" si="12"/>
        <v>0.49</v>
      </c>
      <c r="E67" s="49">
        <f>MAX(C67:D67)</f>
        <v>0.95</v>
      </c>
      <c r="G67" s="1" t="str">
        <f>G61</f>
        <v>per 100 arrests</v>
      </c>
      <c r="L67" s="58">
        <f>IF(($E61&gt;0),L61,L60)</f>
        <v>100</v>
      </c>
      <c r="M67" s="58">
        <f>IF((B67=G67),1,2)</f>
        <v>1</v>
      </c>
    </row>
    <row r="68" spans="2:13" ht="15" hidden="1" customHeight="1">
      <c r="B68" s="49" t="str">
        <f t="shared" si="12"/>
        <v>per 100 arrests</v>
      </c>
      <c r="C68" s="49">
        <f t="shared" si="12"/>
        <v>0.95</v>
      </c>
      <c r="D68" s="49">
        <f t="shared" si="12"/>
        <v>0.49</v>
      </c>
      <c r="E68" s="49">
        <f>MAX(C68:D68)</f>
        <v>0.95</v>
      </c>
      <c r="G68" s="1" t="str">
        <f>G62</f>
        <v>per 100 referrals</v>
      </c>
      <c r="L68" s="58">
        <f>IF(($E62&gt;0),L62,L61)</f>
        <v>100</v>
      </c>
      <c r="M68" s="58">
        <f>IF((B68=G68),1,2)</f>
        <v>2</v>
      </c>
    </row>
    <row r="69" spans="2:13" ht="15" hidden="1" customHeight="1">
      <c r="B69" s="49" t="str">
        <f>IF(($E63&gt;0),B63,B61)</f>
        <v>per 100 arrests</v>
      </c>
      <c r="C69" s="49">
        <f>IF(($E63&gt;0),C63,C62)</f>
        <v>0.95</v>
      </c>
      <c r="D69" s="49">
        <f>IF(($E63&gt;0),D63,D62)</f>
        <v>0.49</v>
      </c>
      <c r="E69" s="49">
        <f>MAX(C69:D69)</f>
        <v>0.95</v>
      </c>
      <c r="G69" s="1" t="str">
        <f>G63</f>
        <v>per 100 youth petitioned</v>
      </c>
      <c r="L69" s="58">
        <f>IF(($E63&gt;0),L63,L62)</f>
        <v>100</v>
      </c>
      <c r="M69" s="58">
        <f>IF((B69=G69),1,2)</f>
        <v>2</v>
      </c>
    </row>
    <row r="70" spans="2:13" ht="15" hidden="1" customHeight="1">
      <c r="B70" s="49" t="str">
        <f>IF(($E64&gt;0),B64,B63)</f>
        <v>per 100 arrests</v>
      </c>
      <c r="C70" s="49">
        <f>IF(($E64&gt;0),C64,C63)</f>
        <v>0.95</v>
      </c>
      <c r="D70" s="49">
        <f>IF(($E64&gt;0),D64,D63)</f>
        <v>0.49</v>
      </c>
      <c r="E70" s="56">
        <f>MAX(C70:D70)</f>
        <v>0.95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12441</v>
      </c>
      <c r="D6" s="34"/>
      <c r="E6" s="33">
        <f>'Data Entry'!F6</f>
        <v>191</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95</v>
      </c>
      <c r="D7" s="34">
        <f>IF((AND(C66&gt;0,C7&gt;0)),(C7/C66),0)</f>
        <v>7.6360421188007388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191</v>
      </c>
      <c r="P7" s="42">
        <f t="shared" ref="P7:P15" si="4">C7</f>
        <v>95</v>
      </c>
      <c r="Q7" s="42">
        <f>C6-C7</f>
        <v>12346</v>
      </c>
      <c r="R7" s="42">
        <f t="shared" ref="R7:R15" si="5">SUM(N7:Q7)</f>
        <v>12632</v>
      </c>
      <c r="S7" s="30">
        <f t="shared" ref="S7:S15" si="6">R7*((((N7*Q7)-(O7*P7))^2))</f>
        <v>4158972627800</v>
      </c>
      <c r="T7" s="30">
        <f t="shared" ref="T7:T15" si="7">(N7+O7)*(P7+Q7)*(N7+P7)*(O7+Q7)</f>
        <v>2830126764465</v>
      </c>
      <c r="U7" s="31">
        <f t="shared" ref="U7:U15" si="8">IF((S7&gt;0),S7/T7,"- -")</f>
        <v>1.4695358102046718</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95</v>
      </c>
      <c r="R8" s="42">
        <f t="shared" si="5"/>
        <v>95.05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95</v>
      </c>
      <c r="R9" s="42">
        <f t="shared" si="5"/>
        <v>95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95</v>
      </c>
      <c r="R10" s="42">
        <f t="shared" si="5"/>
        <v>95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95</v>
      </c>
      <c r="R11" s="42">
        <f t="shared" si="5"/>
        <v>95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95</v>
      </c>
      <c r="R12" s="42">
        <f t="shared" si="5"/>
        <v>95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95</v>
      </c>
      <c r="R13" s="42">
        <f t="shared" si="5"/>
        <v>95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95</v>
      </c>
      <c r="R14" s="42">
        <f t="shared" si="5"/>
        <v>95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95</v>
      </c>
      <c r="R15" s="42">
        <f t="shared" si="5"/>
        <v>95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12.441000000000001</v>
      </c>
      <c r="D42" s="56">
        <f>E6/1000</f>
        <v>0.191</v>
      </c>
      <c r="E42" s="56">
        <f>MAX(C42:D42)</f>
        <v>12.441000000000001</v>
      </c>
      <c r="G42" s="1" t="str">
        <f>B42</f>
        <v>per 1000 youth</v>
      </c>
      <c r="L42" s="57">
        <v>1000</v>
      </c>
      <c r="M42" s="57"/>
      <c r="R42" s="49"/>
    </row>
    <row r="43" spans="2:18" ht="15" hidden="1" customHeight="1">
      <c r="B43" s="49" t="s">
        <v>87</v>
      </c>
      <c r="C43" s="56">
        <f>C7/100</f>
        <v>0.95</v>
      </c>
      <c r="D43" s="56">
        <f>E7/100</f>
        <v>0</v>
      </c>
      <c r="E43" s="56">
        <f>MAX(C43:D43,0)</f>
        <v>0.95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12.441000000000001</v>
      </c>
      <c r="D48" s="56">
        <f>D42</f>
        <v>0.191</v>
      </c>
      <c r="E48" s="56">
        <f>MAX(C48:D48)</f>
        <v>12.441000000000001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0.95</v>
      </c>
      <c r="D49" s="49">
        <f t="shared" si="9"/>
        <v>0</v>
      </c>
      <c r="E49" s="49">
        <f>MAX(C49:D49)</f>
        <v>0.95</v>
      </c>
      <c r="G49" s="1" t="str">
        <f>G43</f>
        <v>per 100 arrests</v>
      </c>
      <c r="L49" s="58">
        <f>IF(($E43&gt;0),L43,L42)</f>
        <v>100</v>
      </c>
      <c r="M49" s="58"/>
      <c r="N49" s="21"/>
      <c r="O49" s="21"/>
      <c r="P49" s="21"/>
      <c r="Q49" s="21"/>
      <c r="R49" s="21"/>
    </row>
    <row r="50" spans="2:18" ht="15" hidden="1" customHeight="1">
      <c r="B50" s="49" t="str">
        <f t="shared" si="9"/>
        <v>per 100 arrests</v>
      </c>
      <c r="C50" s="49">
        <f t="shared" si="9"/>
        <v>0.95</v>
      </c>
      <c r="D50" s="49">
        <f t="shared" si="9"/>
        <v>0</v>
      </c>
      <c r="E50" s="49">
        <f>MAX(C50:D50)</f>
        <v>0.95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12.441000000000001</v>
      </c>
      <c r="D54" s="56">
        <f>D48</f>
        <v>0.191</v>
      </c>
      <c r="E54" s="56">
        <f>MAX(C54:D54)</f>
        <v>12.441000000000001</v>
      </c>
      <c r="G54" s="1" t="str">
        <f>G48</f>
        <v>per 1000 youth</v>
      </c>
      <c r="L54" s="58">
        <f>L48</f>
        <v>1000</v>
      </c>
      <c r="M54" s="58"/>
    </row>
    <row r="55" spans="2:18" ht="15" hidden="1" customHeight="1">
      <c r="B55" s="49" t="str">
        <f t="shared" ref="B55:D56" si="10">IF(($E49&gt;0),B49,B48)</f>
        <v>per 100 arrests</v>
      </c>
      <c r="C55" s="49">
        <f t="shared" si="10"/>
        <v>0.95</v>
      </c>
      <c r="D55" s="49">
        <f t="shared" si="10"/>
        <v>0</v>
      </c>
      <c r="E55" s="49">
        <f>MAX(C55:D55)</f>
        <v>0.95</v>
      </c>
      <c r="G55" s="1" t="str">
        <f>G49</f>
        <v>per 100 arrests</v>
      </c>
      <c r="L55" s="58">
        <f>IF(($E49&gt;0),L49,L48)</f>
        <v>100</v>
      </c>
      <c r="M55" s="58"/>
    </row>
    <row r="56" spans="2:18" ht="15" hidden="1" customHeight="1">
      <c r="B56" s="49" t="str">
        <f t="shared" si="10"/>
        <v>per 100 arrests</v>
      </c>
      <c r="C56" s="49">
        <f t="shared" si="10"/>
        <v>0.95</v>
      </c>
      <c r="D56" s="49">
        <f t="shared" si="10"/>
        <v>0</v>
      </c>
      <c r="E56" s="49">
        <f>MAX(C56:D56)</f>
        <v>0.95</v>
      </c>
      <c r="G56" s="1" t="str">
        <f>G50</f>
        <v>per 100 referrals</v>
      </c>
      <c r="L56" s="58">
        <f>IF(($E50&gt;0),L50,L49)</f>
        <v>100</v>
      </c>
      <c r="M56" s="58"/>
    </row>
    <row r="57" spans="2:18" ht="15" hidden="1" customHeight="1">
      <c r="B57" s="49" t="str">
        <f>IF(($E51&gt;0),B51,B49)</f>
        <v>per 100 arrests</v>
      </c>
      <c r="C57" s="49">
        <f>IF(($E51&gt;0),C51,C50)</f>
        <v>0.95</v>
      </c>
      <c r="D57" s="49">
        <f>IF(($E51&gt;0),D51,D50)</f>
        <v>0</v>
      </c>
      <c r="E57" s="49">
        <f>MAX(C57:D57)</f>
        <v>0.95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12.441000000000001</v>
      </c>
      <c r="D60" s="56">
        <f>D54</f>
        <v>0.191</v>
      </c>
      <c r="E60" s="56">
        <f>MAX(C60:D60)</f>
        <v>12.441000000000001</v>
      </c>
      <c r="G60" s="1" t="str">
        <f>G54</f>
        <v>per 1000 youth</v>
      </c>
      <c r="L60" s="58">
        <f>L54</f>
        <v>1000</v>
      </c>
      <c r="M60" s="58"/>
    </row>
    <row r="61" spans="2:18" ht="15" hidden="1" customHeight="1">
      <c r="B61" s="49" t="str">
        <f t="shared" ref="B61:D62" si="11">IF(($E55&gt;0),B55,B54)</f>
        <v>per 100 arrests</v>
      </c>
      <c r="C61" s="49">
        <f t="shared" si="11"/>
        <v>0.95</v>
      </c>
      <c r="D61" s="49">
        <f t="shared" si="11"/>
        <v>0</v>
      </c>
      <c r="E61" s="49">
        <f>MAX(C61:D61)</f>
        <v>0.95</v>
      </c>
      <c r="G61" s="1" t="str">
        <f>G55</f>
        <v>per 100 arrests</v>
      </c>
      <c r="L61" s="58">
        <f>IF(($E55&gt;0),L55,L54)</f>
        <v>100</v>
      </c>
      <c r="M61" s="58"/>
    </row>
    <row r="62" spans="2:18" ht="15" hidden="1" customHeight="1">
      <c r="B62" s="49" t="str">
        <f t="shared" si="11"/>
        <v>per 100 arrests</v>
      </c>
      <c r="C62" s="49">
        <f t="shared" si="11"/>
        <v>0.95</v>
      </c>
      <c r="D62" s="49">
        <f t="shared" si="11"/>
        <v>0</v>
      </c>
      <c r="E62" s="49">
        <f>MAX(C62:D62)</f>
        <v>0.95</v>
      </c>
      <c r="G62" s="1" t="str">
        <f>G56</f>
        <v>per 100 referrals</v>
      </c>
      <c r="L62" s="58">
        <f>IF(($E56&gt;0),L56,L55)</f>
        <v>100</v>
      </c>
      <c r="M62" s="58"/>
    </row>
    <row r="63" spans="2:18" ht="15" hidden="1" customHeight="1">
      <c r="B63" s="49" t="str">
        <f>IF(($E57&gt;0),B57,B55)</f>
        <v>per 100 arrests</v>
      </c>
      <c r="C63" s="49">
        <f>IF(($E57&gt;0),C57,C56)</f>
        <v>0.95</v>
      </c>
      <c r="D63" s="49">
        <f>IF(($E57&gt;0),D57,D56)</f>
        <v>0</v>
      </c>
      <c r="E63" s="49">
        <f>MAX(C63:D63)</f>
        <v>0.95</v>
      </c>
      <c r="G63" s="1" t="str">
        <f>G57</f>
        <v>per 100 youth petitioned</v>
      </c>
      <c r="L63" s="58">
        <f>IF(($E57&gt;0),L57,L56)</f>
        <v>100</v>
      </c>
      <c r="M63" s="58"/>
    </row>
    <row r="64" spans="2:18" ht="15" hidden="1" customHeight="1">
      <c r="B64" s="49" t="str">
        <f>IF(($E58&gt;0),B58,B57)</f>
        <v>per 100 arrests</v>
      </c>
      <c r="C64" s="49">
        <f>IF(($E58&gt;0),C58,C57)</f>
        <v>0.95</v>
      </c>
      <c r="D64" s="49">
        <f>IF(($E58&gt;0),D58,D57)</f>
        <v>0</v>
      </c>
      <c r="E64" s="56">
        <f>MAX(C64:D64)</f>
        <v>0.95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12.441000000000001</v>
      </c>
      <c r="D66" s="56">
        <f>D60</f>
        <v>0.191</v>
      </c>
      <c r="E66" s="56">
        <f>MAX(C66:D66)</f>
        <v>12.441000000000001</v>
      </c>
      <c r="G66" s="1" t="str">
        <f>G60</f>
        <v>per 1000 youth</v>
      </c>
      <c r="L66" s="58">
        <f>L60</f>
        <v>1000</v>
      </c>
      <c r="M66" s="58">
        <f>IF((B66=G66),1,2)</f>
        <v>1</v>
      </c>
    </row>
    <row r="67" spans="2:13" ht="15" hidden="1" customHeight="1">
      <c r="B67" s="49" t="str">
        <f t="shared" ref="B67:D68" si="12">IF(($E61&gt;0),B61,B60)</f>
        <v>per 100 arrests</v>
      </c>
      <c r="C67" s="49">
        <f t="shared" si="12"/>
        <v>0.95</v>
      </c>
      <c r="D67" s="49">
        <f t="shared" si="12"/>
        <v>0</v>
      </c>
      <c r="E67" s="49">
        <f>MAX(C67:D67)</f>
        <v>0.95</v>
      </c>
      <c r="G67" s="1" t="str">
        <f>G61</f>
        <v>per 100 arrests</v>
      </c>
      <c r="L67" s="58">
        <f>IF(($E61&gt;0),L61,L60)</f>
        <v>100</v>
      </c>
      <c r="M67" s="58">
        <f>IF((B67=G67),1,2)</f>
        <v>1</v>
      </c>
    </row>
    <row r="68" spans="2:13" ht="15" hidden="1" customHeight="1">
      <c r="B68" s="49" t="str">
        <f t="shared" si="12"/>
        <v>per 100 arrests</v>
      </c>
      <c r="C68" s="49">
        <f t="shared" si="12"/>
        <v>0.95</v>
      </c>
      <c r="D68" s="49">
        <f t="shared" si="12"/>
        <v>0</v>
      </c>
      <c r="E68" s="49">
        <f>MAX(C68:D68)</f>
        <v>0.95</v>
      </c>
      <c r="G68" s="1" t="str">
        <f>G62</f>
        <v>per 100 referrals</v>
      </c>
      <c r="L68" s="58">
        <f>IF(($E62&gt;0),L62,L61)</f>
        <v>100</v>
      </c>
      <c r="M68" s="58">
        <f>IF((B68=G68),1,2)</f>
        <v>2</v>
      </c>
    </row>
    <row r="69" spans="2:13" ht="15" hidden="1" customHeight="1">
      <c r="B69" s="49" t="str">
        <f>IF(($E63&gt;0),B63,B61)</f>
        <v>per 100 arrests</v>
      </c>
      <c r="C69" s="49">
        <f>IF(($E63&gt;0),C63,C62)</f>
        <v>0.95</v>
      </c>
      <c r="D69" s="49">
        <f>IF(($E63&gt;0),D63,D62)</f>
        <v>0</v>
      </c>
      <c r="E69" s="49">
        <f>MAX(C69:D69)</f>
        <v>0.95</v>
      </c>
      <c r="G69" s="1" t="str">
        <f>G63</f>
        <v>per 100 youth petitioned</v>
      </c>
      <c r="L69" s="58">
        <f>IF(($E63&gt;0),L63,L62)</f>
        <v>100</v>
      </c>
      <c r="M69" s="58">
        <f>IF((B69=G69),1,2)</f>
        <v>2</v>
      </c>
    </row>
    <row r="70" spans="2:13" ht="15" hidden="1" customHeight="1">
      <c r="B70" s="49" t="str">
        <f>IF(($E64&gt;0),B64,B63)</f>
        <v>per 100 arrests</v>
      </c>
      <c r="C70" s="49">
        <f>IF(($E64&gt;0),C64,C63)</f>
        <v>0.95</v>
      </c>
      <c r="D70" s="49">
        <f>IF(($E64&gt;0),D64,D63)</f>
        <v>0</v>
      </c>
      <c r="E70" s="56">
        <f>MAX(C70:D70)</f>
        <v>0.95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12441</v>
      </c>
      <c r="D6" s="34"/>
      <c r="E6" s="33">
        <f>'Data Entry'!E6</f>
        <v>926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95</v>
      </c>
      <c r="D7" s="34">
        <f>IF((AND(C66&gt;0,C7&gt;0)),(C7/C66),0)</f>
        <v>7.6360421188007388</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926</v>
      </c>
      <c r="P7" s="42">
        <f t="shared" ref="P7:P15" si="4">C7</f>
        <v>95</v>
      </c>
      <c r="Q7" s="42">
        <f>C6-C7</f>
        <v>12346</v>
      </c>
      <c r="R7" s="42">
        <f t="shared" ref="R7:R15" si="5">SUM(N7:Q7)</f>
        <v>13367</v>
      </c>
      <c r="S7" s="30">
        <f t="shared" ref="S7:S15" si="6">R7*((((N7*Q7)-(O7*P7))^2))</f>
        <v>103443482270300</v>
      </c>
      <c r="T7" s="30">
        <f t="shared" ref="T7:T15" si="7">(N7+O7)*(P7+Q7)*(N7+P7)*(O7+Q7)</f>
        <v>14525338267440</v>
      </c>
      <c r="U7" s="31">
        <f t="shared" ref="U7:U15" si="8">IF((S7&gt;0),S7/T7,"- -")</f>
        <v>7.121588521086557</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95</v>
      </c>
      <c r="R8" s="42">
        <f t="shared" si="5"/>
        <v>95.05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95</v>
      </c>
      <c r="R9" s="42">
        <f t="shared" si="5"/>
        <v>95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95</v>
      </c>
      <c r="R10" s="42">
        <f t="shared" si="5"/>
        <v>95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95</v>
      </c>
      <c r="R11" s="42">
        <f t="shared" si="5"/>
        <v>95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95</v>
      </c>
      <c r="R12" s="42">
        <f t="shared" si="5"/>
        <v>95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95</v>
      </c>
      <c r="R13" s="42">
        <f t="shared" si="5"/>
        <v>95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95</v>
      </c>
      <c r="R14" s="42">
        <f t="shared" si="5"/>
        <v>95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95</v>
      </c>
      <c r="R15" s="42">
        <f t="shared" si="5"/>
        <v>95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12.441000000000001</v>
      </c>
      <c r="D42" s="56">
        <f>E6/1000</f>
        <v>0.92600000000000005</v>
      </c>
      <c r="E42" s="56">
        <f>MAX(C42:D42)</f>
        <v>12.441000000000001</v>
      </c>
      <c r="G42" s="1" t="str">
        <f>B42</f>
        <v>per 1000 youth</v>
      </c>
      <c r="L42" s="57">
        <v>1000</v>
      </c>
      <c r="M42" s="57"/>
      <c r="R42" s="49"/>
    </row>
    <row r="43" spans="2:18" ht="15" hidden="1" customHeight="1">
      <c r="B43" s="49" t="s">
        <v>87</v>
      </c>
      <c r="C43" s="56">
        <f>C7/100</f>
        <v>0.95</v>
      </c>
      <c r="D43" s="56">
        <f>E7/100</f>
        <v>0</v>
      </c>
      <c r="E43" s="56">
        <f>MAX(C43:D43,0)</f>
        <v>0.95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12.441000000000001</v>
      </c>
      <c r="D48" s="56">
        <f>D42</f>
        <v>0.92600000000000005</v>
      </c>
      <c r="E48" s="56">
        <f>MAX(C48:D48)</f>
        <v>12.441000000000001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0.95</v>
      </c>
      <c r="D49" s="49">
        <f t="shared" si="9"/>
        <v>0</v>
      </c>
      <c r="E49" s="49">
        <f>MAX(C49:D49)</f>
        <v>0.95</v>
      </c>
      <c r="G49" s="1" t="str">
        <f>G43</f>
        <v>per 100 arrests</v>
      </c>
      <c r="L49" s="58">
        <f>IF(($E43&gt;0),L43,L42)</f>
        <v>100</v>
      </c>
      <c r="M49" s="58"/>
      <c r="N49" s="21"/>
      <c r="O49" s="21"/>
      <c r="P49" s="21"/>
      <c r="Q49" s="21"/>
      <c r="R49" s="21"/>
    </row>
    <row r="50" spans="2:18" ht="15" hidden="1" customHeight="1">
      <c r="B50" s="49" t="str">
        <f t="shared" si="9"/>
        <v>per 100 arrests</v>
      </c>
      <c r="C50" s="49">
        <f t="shared" si="9"/>
        <v>0.95</v>
      </c>
      <c r="D50" s="49">
        <f t="shared" si="9"/>
        <v>0</v>
      </c>
      <c r="E50" s="49">
        <f>MAX(C50:D50)</f>
        <v>0.95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12.441000000000001</v>
      </c>
      <c r="D54" s="56">
        <f>D48</f>
        <v>0.92600000000000005</v>
      </c>
      <c r="E54" s="56">
        <f>MAX(C54:D54)</f>
        <v>12.441000000000001</v>
      </c>
      <c r="G54" s="1" t="str">
        <f>G48</f>
        <v>per 1000 youth</v>
      </c>
      <c r="L54" s="58">
        <f>L48</f>
        <v>1000</v>
      </c>
      <c r="M54" s="58"/>
    </row>
    <row r="55" spans="2:18" ht="15" hidden="1" customHeight="1">
      <c r="B55" s="49" t="str">
        <f t="shared" ref="B55:D56" si="10">IF(($E49&gt;0),B49,B48)</f>
        <v>per 100 arrests</v>
      </c>
      <c r="C55" s="49">
        <f t="shared" si="10"/>
        <v>0.95</v>
      </c>
      <c r="D55" s="49">
        <f t="shared" si="10"/>
        <v>0</v>
      </c>
      <c r="E55" s="49">
        <f>MAX(C55:D55)</f>
        <v>0.95</v>
      </c>
      <c r="G55" s="1" t="str">
        <f>G49</f>
        <v>per 100 arrests</v>
      </c>
      <c r="L55" s="58">
        <f>IF(($E49&gt;0),L49,L48)</f>
        <v>100</v>
      </c>
      <c r="M55" s="58"/>
    </row>
    <row r="56" spans="2:18" ht="15" hidden="1" customHeight="1">
      <c r="B56" s="49" t="str">
        <f t="shared" si="10"/>
        <v>per 100 arrests</v>
      </c>
      <c r="C56" s="49">
        <f t="shared" si="10"/>
        <v>0.95</v>
      </c>
      <c r="D56" s="49">
        <f t="shared" si="10"/>
        <v>0</v>
      </c>
      <c r="E56" s="49">
        <f>MAX(C56:D56)</f>
        <v>0.95</v>
      </c>
      <c r="G56" s="1" t="str">
        <f>G50</f>
        <v>per 100 referrals</v>
      </c>
      <c r="L56" s="58">
        <f>IF(($E50&gt;0),L50,L49)</f>
        <v>100</v>
      </c>
      <c r="M56" s="58"/>
    </row>
    <row r="57" spans="2:18" ht="15" hidden="1" customHeight="1">
      <c r="B57" s="49" t="str">
        <f>IF(($E51&gt;0),B51,B49)</f>
        <v>per 100 arrests</v>
      </c>
      <c r="C57" s="49">
        <f>IF(($E51&gt;0),C51,C50)</f>
        <v>0.95</v>
      </c>
      <c r="D57" s="49">
        <f>IF(($E51&gt;0),D51,D50)</f>
        <v>0</v>
      </c>
      <c r="E57" s="49">
        <f>MAX(C57:D57)</f>
        <v>0.95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12.441000000000001</v>
      </c>
      <c r="D60" s="56">
        <f>D54</f>
        <v>0.92600000000000005</v>
      </c>
      <c r="E60" s="56">
        <f>MAX(C60:D60)</f>
        <v>12.441000000000001</v>
      </c>
      <c r="G60" s="1" t="str">
        <f>G54</f>
        <v>per 1000 youth</v>
      </c>
      <c r="L60" s="58">
        <f>L54</f>
        <v>1000</v>
      </c>
      <c r="M60" s="58"/>
    </row>
    <row r="61" spans="2:18" ht="15" hidden="1" customHeight="1">
      <c r="B61" s="49" t="str">
        <f t="shared" ref="B61:D62" si="11">IF(($E55&gt;0),B55,B54)</f>
        <v>per 100 arrests</v>
      </c>
      <c r="C61" s="49">
        <f t="shared" si="11"/>
        <v>0.95</v>
      </c>
      <c r="D61" s="49">
        <f t="shared" si="11"/>
        <v>0</v>
      </c>
      <c r="E61" s="49">
        <f>MAX(C61:D61)</f>
        <v>0.95</v>
      </c>
      <c r="G61" s="1" t="str">
        <f>G55</f>
        <v>per 100 arrests</v>
      </c>
      <c r="L61" s="58">
        <f>IF(($E55&gt;0),L55,L54)</f>
        <v>100</v>
      </c>
      <c r="M61" s="58"/>
    </row>
    <row r="62" spans="2:18" ht="15" hidden="1" customHeight="1">
      <c r="B62" s="49" t="str">
        <f t="shared" si="11"/>
        <v>per 100 arrests</v>
      </c>
      <c r="C62" s="49">
        <f t="shared" si="11"/>
        <v>0.95</v>
      </c>
      <c r="D62" s="49">
        <f t="shared" si="11"/>
        <v>0</v>
      </c>
      <c r="E62" s="49">
        <f>MAX(C62:D62)</f>
        <v>0.95</v>
      </c>
      <c r="G62" s="1" t="str">
        <f>G56</f>
        <v>per 100 referrals</v>
      </c>
      <c r="L62" s="58">
        <f>IF(($E56&gt;0),L56,L55)</f>
        <v>100</v>
      </c>
      <c r="M62" s="58"/>
    </row>
    <row r="63" spans="2:18" ht="15" hidden="1" customHeight="1">
      <c r="B63" s="49" t="str">
        <f>IF(($E57&gt;0),B57,B55)</f>
        <v>per 100 arrests</v>
      </c>
      <c r="C63" s="49">
        <f>IF(($E57&gt;0),C57,C56)</f>
        <v>0.95</v>
      </c>
      <c r="D63" s="49">
        <f>IF(($E57&gt;0),D57,D56)</f>
        <v>0</v>
      </c>
      <c r="E63" s="49">
        <f>MAX(C63:D63)</f>
        <v>0.95</v>
      </c>
      <c r="G63" s="1" t="str">
        <f>G57</f>
        <v>per 100 youth petitioned</v>
      </c>
      <c r="L63" s="58">
        <f>IF(($E57&gt;0),L57,L56)</f>
        <v>100</v>
      </c>
      <c r="M63" s="58"/>
    </row>
    <row r="64" spans="2:18" ht="15" hidden="1" customHeight="1">
      <c r="B64" s="49" t="str">
        <f>IF(($E58&gt;0),B58,B57)</f>
        <v>per 100 arrests</v>
      </c>
      <c r="C64" s="49">
        <f>IF(($E58&gt;0),C58,C57)</f>
        <v>0.95</v>
      </c>
      <c r="D64" s="49">
        <f>IF(($E58&gt;0),D58,D57)</f>
        <v>0</v>
      </c>
      <c r="E64" s="56">
        <f>MAX(C64:D64)</f>
        <v>0.95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12.441000000000001</v>
      </c>
      <c r="D66" s="56">
        <f>D60</f>
        <v>0.92600000000000005</v>
      </c>
      <c r="E66" s="56">
        <f>MAX(C66:D66)</f>
        <v>12.441000000000001</v>
      </c>
      <c r="G66" s="1" t="str">
        <f>G60</f>
        <v>per 1000 youth</v>
      </c>
      <c r="L66" s="58">
        <f>L60</f>
        <v>1000</v>
      </c>
      <c r="M66" s="58">
        <f>IF((B66=G66),1,2)</f>
        <v>1</v>
      </c>
    </row>
    <row r="67" spans="2:13" ht="15" hidden="1" customHeight="1">
      <c r="B67" s="49" t="str">
        <f t="shared" ref="B67:D68" si="12">IF(($E61&gt;0),B61,B60)</f>
        <v>per 100 arrests</v>
      </c>
      <c r="C67" s="49">
        <f t="shared" si="12"/>
        <v>0.95</v>
      </c>
      <c r="D67" s="49">
        <f t="shared" si="12"/>
        <v>0</v>
      </c>
      <c r="E67" s="49">
        <f>MAX(C67:D67)</f>
        <v>0.95</v>
      </c>
      <c r="G67" s="1" t="str">
        <f>G61</f>
        <v>per 100 arrests</v>
      </c>
      <c r="L67" s="58">
        <f>IF(($E61&gt;0),L61,L60)</f>
        <v>100</v>
      </c>
      <c r="M67" s="58">
        <f>IF((B67=G67),1,2)</f>
        <v>1</v>
      </c>
    </row>
    <row r="68" spans="2:13" ht="15" hidden="1" customHeight="1">
      <c r="B68" s="49" t="str">
        <f t="shared" si="12"/>
        <v>per 100 arrests</v>
      </c>
      <c r="C68" s="49">
        <f t="shared" si="12"/>
        <v>0.95</v>
      </c>
      <c r="D68" s="49">
        <f t="shared" si="12"/>
        <v>0</v>
      </c>
      <c r="E68" s="49">
        <f>MAX(C68:D68)</f>
        <v>0.95</v>
      </c>
      <c r="G68" s="1" t="str">
        <f>G62</f>
        <v>per 100 referrals</v>
      </c>
      <c r="L68" s="58">
        <f>IF(($E62&gt;0),L62,L61)</f>
        <v>100</v>
      </c>
      <c r="M68" s="58">
        <f>IF((B68=G68),1,2)</f>
        <v>2</v>
      </c>
    </row>
    <row r="69" spans="2:13" ht="15" hidden="1" customHeight="1">
      <c r="B69" s="49" t="str">
        <f>IF(($E63&gt;0),B63,B61)</f>
        <v>per 100 arrests</v>
      </c>
      <c r="C69" s="49">
        <f>IF(($E63&gt;0),C63,C62)</f>
        <v>0.95</v>
      </c>
      <c r="D69" s="49">
        <f>IF(($E63&gt;0),D63,D62)</f>
        <v>0</v>
      </c>
      <c r="E69" s="49">
        <f>MAX(C69:D69)</f>
        <v>0.95</v>
      </c>
      <c r="G69" s="1" t="str">
        <f>G63</f>
        <v>per 100 youth petitioned</v>
      </c>
      <c r="L69" s="58">
        <f>IF(($E63&gt;0),L63,L62)</f>
        <v>100</v>
      </c>
      <c r="M69" s="58">
        <f>IF((B69=G69),1,2)</f>
        <v>2</v>
      </c>
    </row>
    <row r="70" spans="2:13" ht="15" hidden="1" customHeight="1">
      <c r="B70" s="49" t="str">
        <f>IF(($E64&gt;0),B64,B63)</f>
        <v>per 100 arrests</v>
      </c>
      <c r="C70" s="49">
        <f>IF(($E64&gt;0),C64,C63)</f>
        <v>0.95</v>
      </c>
      <c r="D70" s="49">
        <f>IF(($E64&gt;0),D64,D63)</f>
        <v>0</v>
      </c>
      <c r="E70" s="56">
        <f>MAX(C70:D70)</f>
        <v>0.95</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12441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95</v>
      </c>
      <c r="D7" s="34">
        <f>IF((AND(C66&gt;0,C7&gt;0)),(C7/C66),0)</f>
        <v>7.6360421188007388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95</v>
      </c>
      <c r="Q7" s="42">
        <f>C6-C7</f>
        <v>12346</v>
      </c>
      <c r="R7" s="42">
        <f t="shared" ref="R7:R15" si="5">SUM(N7:Q7)</f>
        <v>12441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95</v>
      </c>
      <c r="R8" s="42">
        <f t="shared" si="5"/>
        <v>95.05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95</v>
      </c>
      <c r="R9" s="42">
        <f t="shared" si="5"/>
        <v>95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95</v>
      </c>
      <c r="R10" s="42">
        <f t="shared" si="5"/>
        <v>95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95</v>
      </c>
      <c r="R11" s="42">
        <f t="shared" si="5"/>
        <v>95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95</v>
      </c>
      <c r="R12" s="42">
        <f t="shared" si="5"/>
        <v>95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95</v>
      </c>
      <c r="R13" s="42">
        <f t="shared" si="5"/>
        <v>95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95</v>
      </c>
      <c r="R14" s="42">
        <f t="shared" si="5"/>
        <v>95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95</v>
      </c>
      <c r="R15" s="42">
        <f t="shared" si="5"/>
        <v>95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12.441000000000001</v>
      </c>
      <c r="D42" s="56">
        <f>E6/1000</f>
        <v>0</v>
      </c>
      <c r="E42" s="56">
        <f>MAX(C42:D42)</f>
        <v>12.441000000000001</v>
      </c>
      <c r="G42" s="1" t="str">
        <f>B42</f>
        <v>per 1000 youth</v>
      </c>
      <c r="L42" s="57">
        <v>1000</v>
      </c>
      <c r="M42" s="57"/>
      <c r="R42" s="49"/>
    </row>
    <row r="43" spans="2:18" ht="15" hidden="1" customHeight="1">
      <c r="B43" s="49" t="s">
        <v>87</v>
      </c>
      <c r="C43" s="56">
        <f>C7/100</f>
        <v>0.95</v>
      </c>
      <c r="D43" s="56">
        <f>E7/100</f>
        <v>0</v>
      </c>
      <c r="E43" s="56">
        <f>MAX(C43:D43,0)</f>
        <v>0.95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12.441000000000001</v>
      </c>
      <c r="D48" s="56">
        <f>D42</f>
        <v>0</v>
      </c>
      <c r="E48" s="56">
        <f>MAX(C48:D48)</f>
        <v>12.441000000000001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0.95</v>
      </c>
      <c r="D49" s="49">
        <f t="shared" si="9"/>
        <v>0</v>
      </c>
      <c r="E49" s="49">
        <f>MAX(C49:D49)</f>
        <v>0.95</v>
      </c>
      <c r="G49" s="1" t="str">
        <f>G43</f>
        <v>per 100 arrests</v>
      </c>
      <c r="L49" s="58">
        <f>IF(($E43&gt;0),L43,L42)</f>
        <v>100</v>
      </c>
      <c r="M49" s="58"/>
      <c r="N49" s="21"/>
      <c r="O49" s="21"/>
      <c r="P49" s="21"/>
      <c r="Q49" s="21"/>
      <c r="R49" s="21"/>
    </row>
    <row r="50" spans="2:18" ht="15" hidden="1" customHeight="1">
      <c r="B50" s="49" t="str">
        <f t="shared" si="9"/>
        <v>per 100 arrests</v>
      </c>
      <c r="C50" s="49">
        <f t="shared" si="9"/>
        <v>0.95</v>
      </c>
      <c r="D50" s="49">
        <f t="shared" si="9"/>
        <v>0</v>
      </c>
      <c r="E50" s="49">
        <f>MAX(C50:D50)</f>
        <v>0.95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12.441000000000001</v>
      </c>
      <c r="D54" s="56">
        <f>D48</f>
        <v>0</v>
      </c>
      <c r="E54" s="56">
        <f>MAX(C54:D54)</f>
        <v>12.441000000000001</v>
      </c>
      <c r="G54" s="1" t="str">
        <f>G48</f>
        <v>per 1000 youth</v>
      </c>
      <c r="L54" s="58">
        <f>L48</f>
        <v>1000</v>
      </c>
      <c r="M54" s="58"/>
    </row>
    <row r="55" spans="2:18" ht="15" hidden="1" customHeight="1">
      <c r="B55" s="49" t="str">
        <f t="shared" ref="B55:D56" si="10">IF(($E49&gt;0),B49,B48)</f>
        <v>per 100 arrests</v>
      </c>
      <c r="C55" s="49">
        <f t="shared" si="10"/>
        <v>0.95</v>
      </c>
      <c r="D55" s="49">
        <f t="shared" si="10"/>
        <v>0</v>
      </c>
      <c r="E55" s="49">
        <f>MAX(C55:D55)</f>
        <v>0.95</v>
      </c>
      <c r="G55" s="1" t="str">
        <f>G49</f>
        <v>per 100 arrests</v>
      </c>
      <c r="L55" s="58">
        <f>IF(($E49&gt;0),L49,L48)</f>
        <v>100</v>
      </c>
      <c r="M55" s="58"/>
    </row>
    <row r="56" spans="2:18" ht="15" hidden="1" customHeight="1">
      <c r="B56" s="49" t="str">
        <f t="shared" si="10"/>
        <v>per 100 arrests</v>
      </c>
      <c r="C56" s="49">
        <f t="shared" si="10"/>
        <v>0.95</v>
      </c>
      <c r="D56" s="49">
        <f t="shared" si="10"/>
        <v>0</v>
      </c>
      <c r="E56" s="49">
        <f>MAX(C56:D56)</f>
        <v>0.95</v>
      </c>
      <c r="G56" s="1" t="str">
        <f>G50</f>
        <v>per 100 referrals</v>
      </c>
      <c r="L56" s="58">
        <f>IF(($E50&gt;0),L50,L49)</f>
        <v>100</v>
      </c>
      <c r="M56" s="58"/>
    </row>
    <row r="57" spans="2:18" ht="15" hidden="1" customHeight="1">
      <c r="B57" s="49" t="str">
        <f>IF(($E51&gt;0),B51,B49)</f>
        <v>per 100 arrests</v>
      </c>
      <c r="C57" s="49">
        <f>IF(($E51&gt;0),C51,C50)</f>
        <v>0.95</v>
      </c>
      <c r="D57" s="49">
        <f>IF(($E51&gt;0),D51,D50)</f>
        <v>0</v>
      </c>
      <c r="E57" s="49">
        <f>MAX(C57:D57)</f>
        <v>0.95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12.441000000000001</v>
      </c>
      <c r="D60" s="56">
        <f>D54</f>
        <v>0</v>
      </c>
      <c r="E60" s="56">
        <f>MAX(C60:D60)</f>
        <v>12.441000000000001</v>
      </c>
      <c r="G60" s="1" t="str">
        <f>G54</f>
        <v>per 1000 youth</v>
      </c>
      <c r="L60" s="58">
        <f>L54</f>
        <v>1000</v>
      </c>
      <c r="M60" s="58"/>
    </row>
    <row r="61" spans="2:18" ht="15" hidden="1" customHeight="1">
      <c r="B61" s="49" t="str">
        <f t="shared" ref="B61:D62" si="11">IF(($E55&gt;0),B55,B54)</f>
        <v>per 100 arrests</v>
      </c>
      <c r="C61" s="49">
        <f t="shared" si="11"/>
        <v>0.95</v>
      </c>
      <c r="D61" s="49">
        <f t="shared" si="11"/>
        <v>0</v>
      </c>
      <c r="E61" s="49">
        <f>MAX(C61:D61)</f>
        <v>0.95</v>
      </c>
      <c r="G61" s="1" t="str">
        <f>G55</f>
        <v>per 100 arrests</v>
      </c>
      <c r="L61" s="58">
        <f>IF(($E55&gt;0),L55,L54)</f>
        <v>100</v>
      </c>
      <c r="M61" s="58"/>
    </row>
    <row r="62" spans="2:18" ht="15" hidden="1" customHeight="1">
      <c r="B62" s="49" t="str">
        <f t="shared" si="11"/>
        <v>per 100 arrests</v>
      </c>
      <c r="C62" s="49">
        <f t="shared" si="11"/>
        <v>0.95</v>
      </c>
      <c r="D62" s="49">
        <f t="shared" si="11"/>
        <v>0</v>
      </c>
      <c r="E62" s="49">
        <f>MAX(C62:D62)</f>
        <v>0.95</v>
      </c>
      <c r="G62" s="1" t="str">
        <f>G56</f>
        <v>per 100 referrals</v>
      </c>
      <c r="L62" s="58">
        <f>IF(($E56&gt;0),L56,L55)</f>
        <v>100</v>
      </c>
      <c r="M62" s="58"/>
    </row>
    <row r="63" spans="2:18" ht="15" hidden="1" customHeight="1">
      <c r="B63" s="49" t="str">
        <f>IF(($E57&gt;0),B57,B55)</f>
        <v>per 100 arrests</v>
      </c>
      <c r="C63" s="49">
        <f>IF(($E57&gt;0),C57,C56)</f>
        <v>0.95</v>
      </c>
      <c r="D63" s="49">
        <f>IF(($E57&gt;0),D57,D56)</f>
        <v>0</v>
      </c>
      <c r="E63" s="49">
        <f>MAX(C63:D63)</f>
        <v>0.95</v>
      </c>
      <c r="G63" s="1" t="str">
        <f>G57</f>
        <v>per 100 youth petitioned</v>
      </c>
      <c r="L63" s="58">
        <f>IF(($E57&gt;0),L57,L56)</f>
        <v>100</v>
      </c>
      <c r="M63" s="58"/>
    </row>
    <row r="64" spans="2:18" ht="15" hidden="1" customHeight="1">
      <c r="B64" s="49" t="str">
        <f>IF(($E58&gt;0),B58,B57)</f>
        <v>per 100 arrests</v>
      </c>
      <c r="C64" s="49">
        <f>IF(($E58&gt;0),C58,C57)</f>
        <v>0.95</v>
      </c>
      <c r="D64" s="49">
        <f>IF(($E58&gt;0),D58,D57)</f>
        <v>0</v>
      </c>
      <c r="E64" s="56">
        <f>MAX(C64:D64)</f>
        <v>0.95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12.441000000000001</v>
      </c>
      <c r="D66" s="56">
        <f>D60</f>
        <v>0</v>
      </c>
      <c r="E66" s="56">
        <f>MAX(C66:D66)</f>
        <v>12.441000000000001</v>
      </c>
      <c r="G66" s="1" t="str">
        <f>G60</f>
        <v>per 1000 youth</v>
      </c>
      <c r="L66" s="58">
        <f>L60</f>
        <v>1000</v>
      </c>
      <c r="M66" s="58">
        <f>IF((B66=G66),1,2)</f>
        <v>1</v>
      </c>
    </row>
    <row r="67" spans="2:13" ht="15" hidden="1" customHeight="1">
      <c r="B67" s="49" t="str">
        <f t="shared" ref="B67:D68" si="12">IF(($E61&gt;0),B61,B60)</f>
        <v>per 100 arrests</v>
      </c>
      <c r="C67" s="49">
        <f t="shared" si="12"/>
        <v>0.95</v>
      </c>
      <c r="D67" s="49">
        <f t="shared" si="12"/>
        <v>0</v>
      </c>
      <c r="E67" s="49">
        <f>MAX(C67:D67)</f>
        <v>0.95</v>
      </c>
      <c r="G67" s="1" t="str">
        <f>G61</f>
        <v>per 100 arrests</v>
      </c>
      <c r="L67" s="58">
        <f>IF(($E61&gt;0),L61,L60)</f>
        <v>100</v>
      </c>
      <c r="M67" s="58">
        <f>IF((B67=G67),1,2)</f>
        <v>1</v>
      </c>
    </row>
    <row r="68" spans="2:13" ht="15" hidden="1" customHeight="1">
      <c r="B68" s="49" t="str">
        <f t="shared" si="12"/>
        <v>per 100 arrests</v>
      </c>
      <c r="C68" s="49">
        <f t="shared" si="12"/>
        <v>0.95</v>
      </c>
      <c r="D68" s="49">
        <f t="shared" si="12"/>
        <v>0</v>
      </c>
      <c r="E68" s="49">
        <f>MAX(C68:D68)</f>
        <v>0.95</v>
      </c>
      <c r="G68" s="1" t="str">
        <f>G62</f>
        <v>per 100 referrals</v>
      </c>
      <c r="L68" s="58">
        <f>IF(($E62&gt;0),L62,L61)</f>
        <v>100</v>
      </c>
      <c r="M68" s="58">
        <f>IF((B68=G68),1,2)</f>
        <v>2</v>
      </c>
    </row>
    <row r="69" spans="2:13" ht="15" hidden="1" customHeight="1">
      <c r="B69" s="49" t="str">
        <f>IF(($E63&gt;0),B63,B61)</f>
        <v>per 100 arrests</v>
      </c>
      <c r="C69" s="49">
        <f>IF(($E63&gt;0),C63,C62)</f>
        <v>0.95</v>
      </c>
      <c r="D69" s="49">
        <f>IF(($E63&gt;0),D63,D62)</f>
        <v>0</v>
      </c>
      <c r="E69" s="49">
        <f>MAX(C69:D69)</f>
        <v>0.95</v>
      </c>
      <c r="G69" s="1" t="str">
        <f>G63</f>
        <v>per 100 youth petitioned</v>
      </c>
      <c r="L69" s="58">
        <f>IF(($E63&gt;0),L63,L62)</f>
        <v>100</v>
      </c>
      <c r="M69" s="58">
        <f>IF((B69=G69),1,2)</f>
        <v>2</v>
      </c>
    </row>
    <row r="70" spans="2:13" ht="15" hidden="1" customHeight="1">
      <c r="B70" s="49" t="str">
        <f>IF(($E64&gt;0),B64,B63)</f>
        <v>per 100 arrests</v>
      </c>
      <c r="C70" s="49">
        <f>IF(($E64&gt;0),C64,C63)</f>
        <v>0.95</v>
      </c>
      <c r="D70" s="49">
        <f>IF(($E64&gt;0),D64,D63)</f>
        <v>0</v>
      </c>
      <c r="E70" s="56">
        <f>MAX(C70:D70)</f>
        <v>0.95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12441</v>
      </c>
      <c r="D6" s="34"/>
      <c r="E6" s="33">
        <f>'Data Entry'!H6</f>
        <v>71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95</v>
      </c>
      <c r="D7" s="34">
        <f>IF((AND(C66&gt;0,C7&gt;0)),(C7/C66),0)</f>
        <v>7.6360421188007388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71</v>
      </c>
      <c r="P7" s="42">
        <f t="shared" ref="P7:P15" si="4">C7</f>
        <v>95</v>
      </c>
      <c r="Q7" s="42">
        <f>C6-C7</f>
        <v>12346</v>
      </c>
      <c r="R7" s="42">
        <f t="shared" ref="R7:R15" si="5">SUM(N7:Q7)</f>
        <v>12512</v>
      </c>
      <c r="S7" s="30">
        <f t="shared" ref="S7:S15" si="6">R7*((((N7*Q7)-(O7*P7))^2))</f>
        <v>569233752800</v>
      </c>
      <c r="T7" s="30">
        <f t="shared" ref="T7:T15" si="7">(N7+O7)*(P7+Q7)*(N7+P7)*(O7+Q7)</f>
        <v>1041966905265</v>
      </c>
      <c r="U7" s="31">
        <f t="shared" ref="U7:U15" si="8">IF((S7&gt;0),S7/T7,"- -")</f>
        <v>0.54630694115493872</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95</v>
      </c>
      <c r="R8" s="42">
        <f t="shared" si="5"/>
        <v>95.05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95</v>
      </c>
      <c r="R9" s="42">
        <f t="shared" si="5"/>
        <v>95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95</v>
      </c>
      <c r="R10" s="42">
        <f t="shared" si="5"/>
        <v>95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95</v>
      </c>
      <c r="R11" s="42">
        <f t="shared" si="5"/>
        <v>95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95</v>
      </c>
      <c r="R12" s="42">
        <f t="shared" si="5"/>
        <v>95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95</v>
      </c>
      <c r="R13" s="42">
        <f t="shared" si="5"/>
        <v>95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95</v>
      </c>
      <c r="R14" s="42">
        <f t="shared" si="5"/>
        <v>95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95</v>
      </c>
      <c r="R15" s="42">
        <f t="shared" si="5"/>
        <v>95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12.441000000000001</v>
      </c>
      <c r="D42" s="56">
        <f>E6/1000</f>
        <v>7.0999999999999994E-2</v>
      </c>
      <c r="E42" s="56">
        <f>MAX(C42:D42)</f>
        <v>12.441000000000001</v>
      </c>
      <c r="G42" s="1" t="str">
        <f>B42</f>
        <v>per 1000 youth</v>
      </c>
      <c r="L42" s="57">
        <v>1000</v>
      </c>
      <c r="M42" s="57"/>
      <c r="R42" s="49"/>
    </row>
    <row r="43" spans="2:18" ht="15" hidden="1" customHeight="1">
      <c r="B43" s="49" t="s">
        <v>87</v>
      </c>
      <c r="C43" s="56">
        <f>C7/100</f>
        <v>0.95</v>
      </c>
      <c r="D43" s="56">
        <f>E7/100</f>
        <v>0</v>
      </c>
      <c r="E43" s="56">
        <f>MAX(C43:D43,0)</f>
        <v>0.95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12.441000000000001</v>
      </c>
      <c r="D48" s="56">
        <f>D42</f>
        <v>7.0999999999999994E-2</v>
      </c>
      <c r="E48" s="56">
        <f>MAX(C48:D48)</f>
        <v>12.441000000000001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0.95</v>
      </c>
      <c r="D49" s="49">
        <f t="shared" si="9"/>
        <v>0</v>
      </c>
      <c r="E49" s="49">
        <f>MAX(C49:D49)</f>
        <v>0.95</v>
      </c>
      <c r="G49" s="1" t="str">
        <f>G43</f>
        <v>per 100 arrests</v>
      </c>
      <c r="L49" s="58">
        <f>IF(($E43&gt;0),L43,L42)</f>
        <v>100</v>
      </c>
      <c r="M49" s="58"/>
      <c r="N49" s="21"/>
      <c r="O49" s="21"/>
      <c r="P49" s="21"/>
      <c r="Q49" s="21"/>
      <c r="R49" s="21"/>
    </row>
    <row r="50" spans="2:18" ht="15" hidden="1" customHeight="1">
      <c r="B50" s="49" t="str">
        <f t="shared" si="9"/>
        <v>per 100 arrests</v>
      </c>
      <c r="C50" s="49">
        <f t="shared" si="9"/>
        <v>0.95</v>
      </c>
      <c r="D50" s="49">
        <f t="shared" si="9"/>
        <v>0</v>
      </c>
      <c r="E50" s="49">
        <f>MAX(C50:D50)</f>
        <v>0.95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12.441000000000001</v>
      </c>
      <c r="D54" s="56">
        <f>D48</f>
        <v>7.0999999999999994E-2</v>
      </c>
      <c r="E54" s="56">
        <f>MAX(C54:D54)</f>
        <v>12.441000000000001</v>
      </c>
      <c r="G54" s="1" t="str">
        <f>G48</f>
        <v>per 1000 youth</v>
      </c>
      <c r="L54" s="58">
        <f>L48</f>
        <v>1000</v>
      </c>
      <c r="M54" s="58"/>
    </row>
    <row r="55" spans="2:18" ht="15" hidden="1" customHeight="1">
      <c r="B55" s="49" t="str">
        <f t="shared" ref="B55:D56" si="10">IF(($E49&gt;0),B49,B48)</f>
        <v>per 100 arrests</v>
      </c>
      <c r="C55" s="49">
        <f t="shared" si="10"/>
        <v>0.95</v>
      </c>
      <c r="D55" s="49">
        <f t="shared" si="10"/>
        <v>0</v>
      </c>
      <c r="E55" s="49">
        <f>MAX(C55:D55)</f>
        <v>0.95</v>
      </c>
      <c r="G55" s="1" t="str">
        <f>G49</f>
        <v>per 100 arrests</v>
      </c>
      <c r="L55" s="58">
        <f>IF(($E49&gt;0),L49,L48)</f>
        <v>100</v>
      </c>
      <c r="M55" s="58"/>
    </row>
    <row r="56" spans="2:18" ht="15" hidden="1" customHeight="1">
      <c r="B56" s="49" t="str">
        <f t="shared" si="10"/>
        <v>per 100 arrests</v>
      </c>
      <c r="C56" s="49">
        <f t="shared" si="10"/>
        <v>0.95</v>
      </c>
      <c r="D56" s="49">
        <f t="shared" si="10"/>
        <v>0</v>
      </c>
      <c r="E56" s="49">
        <f>MAX(C56:D56)</f>
        <v>0.95</v>
      </c>
      <c r="G56" s="1" t="str">
        <f>G50</f>
        <v>per 100 referrals</v>
      </c>
      <c r="L56" s="58">
        <f>IF(($E50&gt;0),L50,L49)</f>
        <v>100</v>
      </c>
      <c r="M56" s="58"/>
    </row>
    <row r="57" spans="2:18" ht="15" hidden="1" customHeight="1">
      <c r="B57" s="49" t="str">
        <f>IF(($E51&gt;0),B51,B49)</f>
        <v>per 100 arrests</v>
      </c>
      <c r="C57" s="49">
        <f>IF(($E51&gt;0),C51,C50)</f>
        <v>0.95</v>
      </c>
      <c r="D57" s="49">
        <f>IF(($E51&gt;0),D51,D50)</f>
        <v>0</v>
      </c>
      <c r="E57" s="49">
        <f>MAX(C57:D57)</f>
        <v>0.95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12.441000000000001</v>
      </c>
      <c r="D60" s="56">
        <f>D54</f>
        <v>7.0999999999999994E-2</v>
      </c>
      <c r="E60" s="56">
        <f>MAX(C60:D60)</f>
        <v>12.441000000000001</v>
      </c>
      <c r="G60" s="1" t="str">
        <f>G54</f>
        <v>per 1000 youth</v>
      </c>
      <c r="L60" s="58">
        <f>L54</f>
        <v>1000</v>
      </c>
      <c r="M60" s="58"/>
    </row>
    <row r="61" spans="2:18" ht="15" hidden="1" customHeight="1">
      <c r="B61" s="49" t="str">
        <f t="shared" ref="B61:D62" si="11">IF(($E55&gt;0),B55,B54)</f>
        <v>per 100 arrests</v>
      </c>
      <c r="C61" s="49">
        <f t="shared" si="11"/>
        <v>0.95</v>
      </c>
      <c r="D61" s="49">
        <f t="shared" si="11"/>
        <v>0</v>
      </c>
      <c r="E61" s="49">
        <f>MAX(C61:D61)</f>
        <v>0.95</v>
      </c>
      <c r="G61" s="1" t="str">
        <f>G55</f>
        <v>per 100 arrests</v>
      </c>
      <c r="L61" s="58">
        <f>IF(($E55&gt;0),L55,L54)</f>
        <v>100</v>
      </c>
      <c r="M61" s="58"/>
    </row>
    <row r="62" spans="2:18" ht="15" hidden="1" customHeight="1">
      <c r="B62" s="49" t="str">
        <f t="shared" si="11"/>
        <v>per 100 arrests</v>
      </c>
      <c r="C62" s="49">
        <f t="shared" si="11"/>
        <v>0.95</v>
      </c>
      <c r="D62" s="49">
        <f t="shared" si="11"/>
        <v>0</v>
      </c>
      <c r="E62" s="49">
        <f>MAX(C62:D62)</f>
        <v>0.95</v>
      </c>
      <c r="G62" s="1" t="str">
        <f>G56</f>
        <v>per 100 referrals</v>
      </c>
      <c r="L62" s="58">
        <f>IF(($E56&gt;0),L56,L55)</f>
        <v>100</v>
      </c>
      <c r="M62" s="58"/>
    </row>
    <row r="63" spans="2:18" ht="15" hidden="1" customHeight="1">
      <c r="B63" s="49" t="str">
        <f>IF(($E57&gt;0),B57,B55)</f>
        <v>per 100 arrests</v>
      </c>
      <c r="C63" s="49">
        <f>IF(($E57&gt;0),C57,C56)</f>
        <v>0.95</v>
      </c>
      <c r="D63" s="49">
        <f>IF(($E57&gt;0),D57,D56)</f>
        <v>0</v>
      </c>
      <c r="E63" s="49">
        <f>MAX(C63:D63)</f>
        <v>0.95</v>
      </c>
      <c r="G63" s="1" t="str">
        <f>G57</f>
        <v>per 100 youth petitioned</v>
      </c>
      <c r="L63" s="58">
        <f>IF(($E57&gt;0),L57,L56)</f>
        <v>100</v>
      </c>
      <c r="M63" s="58"/>
    </row>
    <row r="64" spans="2:18" ht="15" hidden="1" customHeight="1">
      <c r="B64" s="49" t="str">
        <f>IF(($E58&gt;0),B58,B57)</f>
        <v>per 100 arrests</v>
      </c>
      <c r="C64" s="49">
        <f>IF(($E58&gt;0),C58,C57)</f>
        <v>0.95</v>
      </c>
      <c r="D64" s="49">
        <f>IF(($E58&gt;0),D58,D57)</f>
        <v>0</v>
      </c>
      <c r="E64" s="56">
        <f>MAX(C64:D64)</f>
        <v>0.95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12.441000000000001</v>
      </c>
      <c r="D66" s="56">
        <f>D60</f>
        <v>7.0999999999999994E-2</v>
      </c>
      <c r="E66" s="56">
        <f>MAX(C66:D66)</f>
        <v>12.441000000000001</v>
      </c>
      <c r="G66" s="1" t="str">
        <f>G60</f>
        <v>per 1000 youth</v>
      </c>
      <c r="L66" s="58">
        <f>L60</f>
        <v>1000</v>
      </c>
      <c r="M66" s="58">
        <f>IF((B66=G66),1,2)</f>
        <v>1</v>
      </c>
    </row>
    <row r="67" spans="2:13" ht="15" hidden="1" customHeight="1">
      <c r="B67" s="49" t="str">
        <f t="shared" ref="B67:D68" si="12">IF(($E61&gt;0),B61,B60)</f>
        <v>per 100 arrests</v>
      </c>
      <c r="C67" s="49">
        <f t="shared" si="12"/>
        <v>0.95</v>
      </c>
      <c r="D67" s="49">
        <f t="shared" si="12"/>
        <v>0</v>
      </c>
      <c r="E67" s="49">
        <f>MAX(C67:D67)</f>
        <v>0.95</v>
      </c>
      <c r="G67" s="1" t="str">
        <f>G61</f>
        <v>per 100 arrests</v>
      </c>
      <c r="L67" s="58">
        <f>IF(($E61&gt;0),L61,L60)</f>
        <v>100</v>
      </c>
      <c r="M67" s="58">
        <f>IF((B67=G67),1,2)</f>
        <v>1</v>
      </c>
    </row>
    <row r="68" spans="2:13" ht="15" hidden="1" customHeight="1">
      <c r="B68" s="49" t="str">
        <f t="shared" si="12"/>
        <v>per 100 arrests</v>
      </c>
      <c r="C68" s="49">
        <f t="shared" si="12"/>
        <v>0.95</v>
      </c>
      <c r="D68" s="49">
        <f t="shared" si="12"/>
        <v>0</v>
      </c>
      <c r="E68" s="49">
        <f>MAX(C68:D68)</f>
        <v>0.95</v>
      </c>
      <c r="G68" s="1" t="str">
        <f>G62</f>
        <v>per 100 referrals</v>
      </c>
      <c r="L68" s="58">
        <f>IF(($E62&gt;0),L62,L61)</f>
        <v>100</v>
      </c>
      <c r="M68" s="58">
        <f>IF((B68=G68),1,2)</f>
        <v>2</v>
      </c>
    </row>
    <row r="69" spans="2:13" ht="15" hidden="1" customHeight="1">
      <c r="B69" s="49" t="str">
        <f>IF(($E63&gt;0),B63,B61)</f>
        <v>per 100 arrests</v>
      </c>
      <c r="C69" s="49">
        <f>IF(($E63&gt;0),C63,C62)</f>
        <v>0.95</v>
      </c>
      <c r="D69" s="49">
        <f>IF(($E63&gt;0),D63,D62)</f>
        <v>0</v>
      </c>
      <c r="E69" s="49">
        <f>MAX(C69:D69)</f>
        <v>0.95</v>
      </c>
      <c r="G69" s="1" t="str">
        <f>G63</f>
        <v>per 100 youth petitioned</v>
      </c>
      <c r="L69" s="58">
        <f>IF(($E63&gt;0),L63,L62)</f>
        <v>100</v>
      </c>
      <c r="M69" s="58">
        <f>IF((B69=G69),1,2)</f>
        <v>2</v>
      </c>
    </row>
    <row r="70" spans="2:13" ht="15" hidden="1" customHeight="1">
      <c r="B70" s="49" t="str">
        <f>IF(($E64&gt;0),B64,B63)</f>
        <v>per 100 arrests</v>
      </c>
      <c r="C70" s="49">
        <f>IF(($E64&gt;0),C64,C63)</f>
        <v>0.95</v>
      </c>
      <c r="D70" s="49">
        <f>IF(($E64&gt;0),D64,D63)</f>
        <v>0</v>
      </c>
      <c r="E70" s="56">
        <f>MAX(C70:D70)</f>
        <v>0.95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U47JMPN4QEAR-1806752177-30466</_dlc_DocId>
    <_dlc_DocIdUrl xmlns="ac3811b5-0f3e-49e2-ba69-f2ffa0c782af">
      <Url>https://michiganphi.sharepoint.com/sites/CMDMC/_layouts/15/DocIdRedir.aspx?ID=U47JMPN4QEAR-1806752177-30466</Url>
      <Description>U47JMPN4QEAR-1806752177-30466</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DA2C6DA-A118-4A12-8467-66A0BE17FA76}">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13F724E2-F4C1-42B0-B02A-30A7B20854E9}"/>
</file>

<file path=customXml/itemProps3.xml><?xml version="1.0" encoding="utf-8"?>
<ds:datastoreItem xmlns:ds="http://schemas.openxmlformats.org/officeDocument/2006/customXml" ds:itemID="{0EE59382-D1B9-4E2B-9DB7-3AB74936D840}">
  <ds:schemaRefs>
    <ds:schemaRef ds:uri="http://schemas.microsoft.com/sharepoint/v3/contenttype/forms"/>
  </ds:schemaRefs>
</ds:datastoreItem>
</file>

<file path=customXml/itemProps4.xml><?xml version="1.0" encoding="utf-8"?>
<ds:datastoreItem xmlns:ds="http://schemas.openxmlformats.org/officeDocument/2006/customXml" ds:itemID="{CFBAA4FD-9842-444A-A978-F600A4458C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2023-09-01T18:27:50Z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ff6c7780-da9c-4ab5-b3ac-945db794b7d5</vt:lpwstr>
  </property>
</Properties>
</file>