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27277BB0-25E5-4C92-84F2-D42635470F47}"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2"/>
  <c r="M66" i="2"/>
  <c r="M66" i="7"/>
  <c r="F27" i="7"/>
  <c r="F27" i="6"/>
  <c r="M66" i="6"/>
  <c r="F27" i="5"/>
  <c r="M66" i="5"/>
  <c r="M66" i="8"/>
  <c r="F27" i="8"/>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6" i="5"/>
  <c r="E49" i="5"/>
  <c r="C55" i="5" s="1"/>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5" i="5" l="1"/>
  <c r="L55" i="5"/>
  <c r="D55" i="5"/>
  <c r="D58" i="8"/>
  <c r="L58" i="8"/>
  <c r="B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C64" i="8" s="1"/>
  <c r="D64" i="5"/>
  <c r="L56" i="8"/>
  <c r="C64" i="5"/>
  <c r="B56" i="8"/>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B64" i="8" l="1"/>
  <c r="E64" i="5"/>
  <c r="D64" i="8"/>
  <c r="E64" i="8" s="1"/>
  <c r="L70" i="8" s="1"/>
  <c r="Q8" i="13"/>
  <c r="I7" i="9"/>
  <c r="G7" i="9"/>
  <c r="M8" i="13"/>
  <c r="E57" i="8"/>
  <c r="L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F8" i="5"/>
  <c r="L70" i="5" l="1"/>
  <c r="O13" i="5" s="1"/>
  <c r="C69" i="7"/>
  <c r="D12" i="7" s="1"/>
  <c r="B70" i="3"/>
  <c r="M70" i="3" s="1"/>
  <c r="C70" i="3"/>
  <c r="D14" i="3" s="1"/>
  <c r="D70" i="6"/>
  <c r="F13" i="6" s="1"/>
  <c r="L70" i="6"/>
  <c r="C70" i="6"/>
  <c r="D14" i="6" s="1"/>
  <c r="E63" i="3"/>
  <c r="C69" i="3" s="1"/>
  <c r="D15" i="3" s="1"/>
  <c r="L69" i="7"/>
  <c r="C63" i="8"/>
  <c r="D63" i="8"/>
  <c r="D70" i="8" s="1"/>
  <c r="F13" i="8" s="1"/>
  <c r="B63" i="8"/>
  <c r="B70" i="8" s="1"/>
  <c r="M70"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Q13" i="8" s="1"/>
  <c r="E64" i="2"/>
  <c r="L70" i="2" s="1"/>
  <c r="L67" i="6"/>
  <c r="F10" i="3"/>
  <c r="F11" i="3"/>
  <c r="D67" i="6"/>
  <c r="F8" i="6" s="1"/>
  <c r="M70" i="5"/>
  <c r="E70" i="5"/>
  <c r="Q13" i="5"/>
  <c r="D13"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4" i="5" l="1"/>
  <c r="Q13" i="3"/>
  <c r="B69" i="6"/>
  <c r="M69" i="6" s="1"/>
  <c r="F33" i="3"/>
  <c r="Q15" i="7"/>
  <c r="D15" i="7"/>
  <c r="F34" i="3"/>
  <c r="E70" i="6"/>
  <c r="F14" i="6"/>
  <c r="D13" i="3"/>
  <c r="O14" i="6"/>
  <c r="L69" i="3"/>
  <c r="Q12" i="3" s="1"/>
  <c r="D69" i="3"/>
  <c r="E69" i="3" s="1"/>
  <c r="Q14" i="3"/>
  <c r="Q14" i="6"/>
  <c r="O13" i="6"/>
  <c r="Q13" i="6"/>
  <c r="Q12" i="7"/>
  <c r="D13" i="6"/>
  <c r="D12" i="3"/>
  <c r="E70" i="3"/>
  <c r="B69" i="3"/>
  <c r="M69" i="3" s="1"/>
  <c r="O13" i="3"/>
  <c r="R13" i="3" s="1"/>
  <c r="S13" i="3" s="1"/>
  <c r="F14" i="3"/>
  <c r="E69" i="7"/>
  <c r="E63" i="8"/>
  <c r="D69" i="8" s="1"/>
  <c r="F12" i="8" s="1"/>
  <c r="C69" i="6"/>
  <c r="D12" i="6" s="1"/>
  <c r="F12" i="7"/>
  <c r="O12" i="7"/>
  <c r="O15"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3" i="8" s="1"/>
  <c r="S13" i="8" s="1"/>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Q15" i="3"/>
  <c r="F32" i="6"/>
  <c r="T15" i="7"/>
  <c r="U10" i="3"/>
  <c r="J10" i="3" s="1"/>
  <c r="M10" i="3" s="1"/>
  <c r="G10" i="3" s="1"/>
  <c r="I11" i="16" s="1"/>
  <c r="U13" i="4"/>
  <c r="J13" i="4" s="1"/>
  <c r="M13" i="4" s="1"/>
  <c r="G13" i="4" s="1"/>
  <c r="G14" i="16" s="1"/>
  <c r="T12" i="7"/>
  <c r="K14" i="6"/>
  <c r="G11" i="3"/>
  <c r="I12" i="13" s="1"/>
  <c r="F32" i="3"/>
  <c r="R14" i="3"/>
  <c r="S14" i="3" s="1"/>
  <c r="F35" i="3"/>
  <c r="B69" i="8"/>
  <c r="M69" i="8" s="1"/>
  <c r="R14" i="6"/>
  <c r="S14" i="6" s="1"/>
  <c r="T13" i="6"/>
  <c r="F15" i="3"/>
  <c r="F12" i="3"/>
  <c r="T14" i="6"/>
  <c r="O12" i="3"/>
  <c r="R12" i="3" s="1"/>
  <c r="S12" i="3" s="1"/>
  <c r="O15" i="3"/>
  <c r="K15" i="3" s="1"/>
  <c r="K13" i="6"/>
  <c r="R13" i="6"/>
  <c r="S13" i="6" s="1"/>
  <c r="U14" i="4"/>
  <c r="J14" i="4" s="1"/>
  <c r="L14" i="4" s="1"/>
  <c r="O15" i="16" s="1"/>
  <c r="T13" i="3"/>
  <c r="U13" i="3" s="1"/>
  <c r="J13" i="3" s="1"/>
  <c r="M13" i="3" s="1"/>
  <c r="K15" i="7"/>
  <c r="F15" i="8"/>
  <c r="K12" i="7"/>
  <c r="R12" i="7"/>
  <c r="S12" i="7" s="1"/>
  <c r="K13" i="3"/>
  <c r="D15" i="6"/>
  <c r="U10" i="4"/>
  <c r="J10" i="4" s="1"/>
  <c r="M10" i="4" s="1"/>
  <c r="G10" i="4" s="1"/>
  <c r="G11" i="16" s="1"/>
  <c r="T13" i="8"/>
  <c r="U13" i="8" s="1"/>
  <c r="J13" i="8" s="1"/>
  <c r="M13" i="8" s="1"/>
  <c r="R15" i="7"/>
  <c r="S15" i="7" s="1"/>
  <c r="U15" i="7" s="1"/>
  <c r="J15" i="7" s="1"/>
  <c r="L69" i="8"/>
  <c r="O15" i="8" s="1"/>
  <c r="O12" i="6"/>
  <c r="C69" i="8"/>
  <c r="R14" i="8"/>
  <c r="S14" i="8" s="1"/>
  <c r="E69" i="6"/>
  <c r="K14" i="3"/>
  <c r="T14" i="3"/>
  <c r="O15" i="6"/>
  <c r="Q12" i="6"/>
  <c r="Q15" i="6"/>
  <c r="F15" i="6"/>
  <c r="L11" i="4"/>
  <c r="O12" i="16" s="1"/>
  <c r="K8" i="7"/>
  <c r="O13" i="2"/>
  <c r="T8" i="7"/>
  <c r="U8" i="7" s="1"/>
  <c r="J8" i="7" s="1"/>
  <c r="M8" i="7" s="1"/>
  <c r="T13" i="7"/>
  <c r="Q10" i="7"/>
  <c r="F13" i="2"/>
  <c r="Q11" i="7"/>
  <c r="R8" i="6"/>
  <c r="S8" i="6" s="1"/>
  <c r="F14" i="2"/>
  <c r="F10" i="7"/>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6" l="1"/>
  <c r="J14" i="6" s="1"/>
  <c r="M14" i="6" s="1"/>
  <c r="U12" i="3"/>
  <c r="J12" i="3" s="1"/>
  <c r="U12" i="7"/>
  <c r="J12" i="7" s="1"/>
  <c r="M12" i="7" s="1"/>
  <c r="L13" i="4"/>
  <c r="O14" i="16" s="1"/>
  <c r="E11" i="9"/>
  <c r="L10" i="3"/>
  <c r="P11" i="16" s="1"/>
  <c r="I12" i="16"/>
  <c r="R15" i="3"/>
  <c r="S15" i="3" s="1"/>
  <c r="U15" i="3" s="1"/>
  <c r="J15" i="3" s="1"/>
  <c r="M15" i="3" s="1"/>
  <c r="G15" i="3" s="1"/>
  <c r="I16" i="16" s="1"/>
  <c r="G14" i="6"/>
  <c r="M15" i="13" s="1"/>
  <c r="K12" i="3"/>
  <c r="F32" i="8"/>
  <c r="U13" i="6"/>
  <c r="J13" i="6" s="1"/>
  <c r="M13" i="6" s="1"/>
  <c r="G13" i="6" s="1"/>
  <c r="G13" i="9" s="1"/>
  <c r="T15" i="3"/>
  <c r="U14" i="3"/>
  <c r="J14" i="3" s="1"/>
  <c r="M14" i="3" s="1"/>
  <c r="G14" i="3" s="1"/>
  <c r="I15" i="16" s="1"/>
  <c r="F35" i="8"/>
  <c r="N30" i="4"/>
  <c r="M14" i="4"/>
  <c r="G14" i="4" s="1"/>
  <c r="G15" i="16" s="1"/>
  <c r="G11" i="13"/>
  <c r="L15" i="7"/>
  <c r="S16" i="16" s="1"/>
  <c r="G13" i="8"/>
  <c r="K14" i="16" s="1"/>
  <c r="G13" i="3"/>
  <c r="I14" i="13" s="1"/>
  <c r="U13" i="7"/>
  <c r="J13" i="7" s="1"/>
  <c r="M13" i="7" s="1"/>
  <c r="L13" i="8"/>
  <c r="T14" i="16" s="1"/>
  <c r="L13" i="3"/>
  <c r="P14" i="16" s="1"/>
  <c r="K15" i="6"/>
  <c r="K12" i="6"/>
  <c r="D10" i="9"/>
  <c r="L10" i="4"/>
  <c r="O11" i="16" s="1"/>
  <c r="I11" i="13"/>
  <c r="E10" i="9"/>
  <c r="O12" i="8"/>
  <c r="M15" i="7"/>
  <c r="U14" i="8"/>
  <c r="J14" i="8" s="1"/>
  <c r="N30" i="8" s="1"/>
  <c r="Q15" i="8"/>
  <c r="R15" i="8" s="1"/>
  <c r="S15" i="8" s="1"/>
  <c r="T12" i="6"/>
  <c r="D15" i="8"/>
  <c r="D12" i="8"/>
  <c r="E69" i="8"/>
  <c r="Q12" i="8"/>
  <c r="T15" i="6"/>
  <c r="R12" i="6"/>
  <c r="S12" i="6" s="1"/>
  <c r="R15" i="6"/>
  <c r="S15" i="6" s="1"/>
  <c r="U15" i="6" s="1"/>
  <c r="J15" i="6" s="1"/>
  <c r="M15" i="6" s="1"/>
  <c r="G15" i="6" s="1"/>
  <c r="M13" i="9"/>
  <c r="U12" i="13"/>
  <c r="M11" i="9"/>
  <c r="T13" i="2"/>
  <c r="U8" i="6"/>
  <c r="J8" i="6" s="1"/>
  <c r="M8" i="6" s="1"/>
  <c r="G8" i="6" s="1"/>
  <c r="M9" i="13" s="1"/>
  <c r="R13" i="2"/>
  <c r="S13" i="2" s="1"/>
  <c r="R10" i="7"/>
  <c r="S10" i="7" s="1"/>
  <c r="T11" i="7"/>
  <c r="T10" i="7"/>
  <c r="L8" i="2"/>
  <c r="N9" i="16" s="1"/>
  <c r="K13" i="2"/>
  <c r="R15" i="5"/>
  <c r="S15" i="5" s="1"/>
  <c r="U15" i="5" s="1"/>
  <c r="J15" i="5" s="1"/>
  <c r="M15" i="5" s="1"/>
  <c r="K11" i="7"/>
  <c r="T9" i="7"/>
  <c r="N30" i="6"/>
  <c r="R11" i="7"/>
  <c r="S11" i="7" s="1"/>
  <c r="L14" i="6"/>
  <c r="R15" i="16" s="1"/>
  <c r="K12" i="5"/>
  <c r="L12" i="5" s="1"/>
  <c r="Q13" i="16" s="1"/>
  <c r="T12" i="5"/>
  <c r="K10" i="7"/>
  <c r="R14" i="2"/>
  <c r="S14" i="2" s="1"/>
  <c r="D13" i="9"/>
  <c r="G14" i="13"/>
  <c r="K9" i="7"/>
  <c r="T14" i="2"/>
  <c r="V12" i="13"/>
  <c r="U10" i="13"/>
  <c r="N11" i="9"/>
  <c r="T15" i="5"/>
  <c r="W14" i="13"/>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K9" i="8"/>
  <c r="T9" i="8"/>
  <c r="R12" i="8" l="1"/>
  <c r="S12" i="8" s="1"/>
  <c r="L12" i="7"/>
  <c r="S13" i="16" s="1"/>
  <c r="Q15" i="9"/>
  <c r="L12" i="3"/>
  <c r="P13" i="16" s="1"/>
  <c r="E15" i="9"/>
  <c r="U14" i="13"/>
  <c r="L13" i="6"/>
  <c r="R14" i="16" s="1"/>
  <c r="I16" i="13"/>
  <c r="N10" i="9"/>
  <c r="U11" i="13"/>
  <c r="V11" i="13"/>
  <c r="L15" i="3"/>
  <c r="P16" i="16" s="1"/>
  <c r="G12" i="3"/>
  <c r="I13" i="16" s="1"/>
  <c r="L14" i="3"/>
  <c r="P15" i="16" s="1"/>
  <c r="D14" i="9"/>
  <c r="G14" i="9"/>
  <c r="U11" i="7"/>
  <c r="J11" i="7" s="1"/>
  <c r="L11" i="7" s="1"/>
  <c r="S12" i="16" s="1"/>
  <c r="M14" i="13"/>
  <c r="Y16" i="13"/>
  <c r="N30" i="3"/>
  <c r="I15" i="13"/>
  <c r="E14" i="9"/>
  <c r="G15" i="13"/>
  <c r="T15" i="8"/>
  <c r="U15" i="8" s="1"/>
  <c r="J15" i="8" s="1"/>
  <c r="M15" i="8" s="1"/>
  <c r="G15" i="8" s="1"/>
  <c r="K16" i="16" s="1"/>
  <c r="P13" i="9"/>
  <c r="U14" i="2"/>
  <c r="J14" i="2" s="1"/>
  <c r="M14" i="2" s="1"/>
  <c r="G14" i="2" s="1"/>
  <c r="E15" i="16" s="1"/>
  <c r="L13" i="7"/>
  <c r="S14" i="16" s="1"/>
  <c r="R13" i="9"/>
  <c r="Z14" i="13"/>
  <c r="I13" i="9"/>
  <c r="I14" i="16"/>
  <c r="Q14" i="13"/>
  <c r="E13" i="9"/>
  <c r="U13" i="2"/>
  <c r="J13" i="2" s="1"/>
  <c r="M13" i="2" s="1"/>
  <c r="G13" i="2" s="1"/>
  <c r="E14" i="16" s="1"/>
  <c r="V14" i="13"/>
  <c r="N13" i="9"/>
  <c r="U12" i="6"/>
  <c r="J12" i="6" s="1"/>
  <c r="M12" i="6" s="1"/>
  <c r="G12" i="6" s="1"/>
  <c r="G12" i="9" s="1"/>
  <c r="T12" i="8"/>
  <c r="U12" i="8" s="1"/>
  <c r="J12" i="8" s="1"/>
  <c r="M12" i="8" s="1"/>
  <c r="Y13" i="13"/>
  <c r="Q12" i="9"/>
  <c r="K15" i="8"/>
  <c r="L15" i="6"/>
  <c r="R16" i="16" s="1"/>
  <c r="K12" i="8"/>
  <c r="M10" i="9"/>
  <c r="U10" i="7"/>
  <c r="J10" i="7" s="1"/>
  <c r="L10" i="7" s="1"/>
  <c r="S11" i="16" s="1"/>
  <c r="M14" i="8"/>
  <c r="G14" i="8" s="1"/>
  <c r="K15" i="16" s="1"/>
  <c r="L14" i="8"/>
  <c r="T15" i="16" s="1"/>
  <c r="L8" i="6"/>
  <c r="R9" i="16" s="1"/>
  <c r="L15" i="5"/>
  <c r="Q16" i="16" s="1"/>
  <c r="T9" i="13"/>
  <c r="L8" i="9"/>
  <c r="X15" i="13"/>
  <c r="P14" i="9"/>
  <c r="G8" i="9"/>
  <c r="Q14" i="9"/>
  <c r="Y15" i="13"/>
  <c r="E9" i="13"/>
  <c r="L10" i="2"/>
  <c r="N11" i="16" s="1"/>
  <c r="L11" i="6"/>
  <c r="R12" i="16" s="1"/>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D8" i="9"/>
  <c r="G9" i="13"/>
  <c r="U9" i="8"/>
  <c r="J9" i="8" s="1"/>
  <c r="M9" i="8" s="1"/>
  <c r="G9" i="8" s="1"/>
  <c r="K10" i="16" s="1"/>
  <c r="C10" i="9"/>
  <c r="E11"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V13" i="13" l="1"/>
  <c r="N12" i="9"/>
  <c r="X14" i="13"/>
  <c r="M11" i="7"/>
  <c r="V15" i="13"/>
  <c r="N14" i="9"/>
  <c r="I13" i="13"/>
  <c r="E12" i="9"/>
  <c r="N15" i="9"/>
  <c r="V16" i="13"/>
  <c r="L15" i="8"/>
  <c r="T16" i="16" s="1"/>
  <c r="Q13" i="9"/>
  <c r="L13" i="2"/>
  <c r="N14" i="16" s="1"/>
  <c r="C13" i="9"/>
  <c r="L14" i="2"/>
  <c r="N15" i="16" s="1"/>
  <c r="E14" i="13"/>
  <c r="N30" i="2"/>
  <c r="M13" i="13"/>
  <c r="L12" i="6"/>
  <c r="R13" i="16" s="1"/>
  <c r="E15" i="13"/>
  <c r="C14" i="9"/>
  <c r="Y14" i="13"/>
  <c r="G12" i="8"/>
  <c r="K13" i="16" s="1"/>
  <c r="L12" i="8"/>
  <c r="T13" i="16" s="1"/>
  <c r="R14" i="9"/>
  <c r="Q15" i="13"/>
  <c r="P15" i="9"/>
  <c r="X16" i="13"/>
  <c r="I14" i="9"/>
  <c r="M10" i="7"/>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I9" i="9"/>
  <c r="Q10" i="13"/>
  <c r="Q11" i="9"/>
  <c r="Y12" i="13"/>
  <c r="D15" i="9"/>
  <c r="G16" i="13"/>
  <c r="M10" i="8"/>
  <c r="G10" i="8" s="1"/>
  <c r="K11" i="16" s="1"/>
  <c r="L10" i="8"/>
  <c r="T11" i="16" s="1"/>
  <c r="L11" i="8"/>
  <c r="T12" i="16" s="1"/>
  <c r="M11" i="8"/>
  <c r="G11" i="8" s="1"/>
  <c r="K12" i="16" s="1"/>
  <c r="R15" i="9" l="1"/>
  <c r="Z16" i="13"/>
  <c r="T14" i="13"/>
  <c r="L13" i="9"/>
  <c r="T15" i="13"/>
  <c r="P12" i="9"/>
  <c r="L14" i="9"/>
  <c r="X13" i="13"/>
  <c r="Z13" i="13"/>
  <c r="Q13" i="13"/>
  <c r="R12" i="9"/>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<sst xmlns="http://schemas.openxmlformats.org/spreadsheetml/2006/main" count="654" uniqueCount="141">
  <si>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</si>
  <si>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</si>
  <si>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</si>
  <si>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</si>
  <si>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</si>
  <si>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</si>
  <si>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</si>
  <si>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</si>
  <si>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</si>
  <si>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</si>
  <si>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</si>
  <si>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</si>
  <si>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</si>
  <si>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</si>
  <si>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</si>
  <si>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</si>
  <si>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</si>
  <si>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</si>
  <si>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</si>
  <si>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</si>
  <si>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</si>
  <si>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</si>
  <si>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</si>
  <si>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</si>
  <si>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</si>
  <si>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</si>
  <si>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</si>
  <si>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</si>
  <si>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</si>
  <si>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</si>
  <si>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</si>
  <si>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</si>
  <si>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</si>
  <si>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</si>
  <si>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</si>
  <si>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</si>
  <si>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</si>
  <si>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</si>
  <si>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</si>
  <si>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</si>
  <si>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</si>
  <si>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</si>
  <si>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</si>
  <si>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</si>
  <si>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</si>
  <si>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</si>
  <si>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</si>
  <si>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</si>
  <si>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</si>
  <si>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</si>
  <si>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</si>
  <si>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</si>
  <si>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</si>
  <si>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</si>
  <si>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</si>
  <si>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</si>
  <si>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</si>
  <si>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</si>
  <si>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</si>
  <si>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</si>
  <si>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</si>
  <si>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</si>
  <si>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</si>
  <si>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</si>
  <si>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</si>
  <si>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</si>
  <si>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</si>
  <si>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</si>
  <si>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</si>
  <si>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</si>
  <si>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</si>
  <si>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</si>
  <si>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</si>
  <si>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</si>
  <si>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</si>
  <si>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</si>
  <si>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</si>
  <si>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</si>
  <si>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</si>
  <si>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</si>
  <si>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</si>
  <si>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</si>
  <si>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</si>
  <si>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</si>
  <si>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</si>
  <si>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</si>
  <si>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</si>
  <si>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</si>
  <si>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</si>
  <si>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</si>
  <si>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</si>
  <si>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</si>
  <si>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</si>
  <si>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</si>
  <si>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</si>
  <si>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</si>
  <si>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</si>
  <si>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</si>
  <si>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</si>
  <si>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</si>
  <si>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</si>
  <si>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</si>
  <si>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</si>
  <si>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</si>
  <si>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</si>
  <si>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</si>
  <si>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</si>
  <si>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</si>
  <si>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</si>
  <si>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</si>
  <si>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</si>
  <si>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</si>
  <si>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</si>
  <si>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</si>
  <si>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</si>
  <si>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</si>
  <si>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</si>
  <si>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</si>
  <si>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</si>
  <si>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</si>
  <si>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</si>
  <si>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</si>
  <si>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</si>
  <si>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</si>
  <si>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</si>
  <si>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</si>
  <si>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</si>
  <si>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</si>
  <si>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</si>
  <si>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</si>
  <si>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</si>
  <si>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</si>
  <si>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</si>
  <si>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</si>
  <si>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</si>
  <si>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</si>
  <si>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</si>
  <si>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Isabella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</si>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</sst>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Isabella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N=35</c:v>
                </c:pt>
                <c:pt idx="3">
                  <c:v>Petitions, total N=24</c:v>
                </c:pt>
                <c:pt idx="4">
                  <c:v>Detentions, total N=14</c:v>
                </c:pt>
                <c:pt idx="5">
                  <c:v>Referrals, total N=72</c:v>
                </c:pt>
                <c:pt idx="6">
                  <c:v>Arrests, total N=29</c:v>
                </c:pt>
                <c:pt idx="7">
                  <c:v>Population, total N=5078</c:v>
                </c:pt>
              </c:strCache>
            </c:strRef>
          </c:cat>
          <c:val>
            <c:numRef>
              <c:f>'Stacked 100%'!$B$7:$B$14</c:f>
              <c:numCache>
                <c:formatCode>0%</c:formatCode>
                <c:ptCount val="8"/>
                <c:pt idx="0">
                  <c:v>0</c:v>
                </c:pt>
                <c:pt idx="1">
                  <c:v>0</c:v>
                </c:pt>
                <c:pt idx="2">
                  <c:v>5.7142857142857141E-2</c:v>
                </c:pt>
                <c:pt idx="3">
                  <c:v>4.1666666666666664E-2</c:v>
                </c:pt>
                <c:pt idx="4">
                  <c:v>7.1428571428571425E-2</c:v>
                </c:pt>
                <c:pt idx="5">
                  <c:v>9.7222222222222224E-2</c:v>
                </c:pt>
                <c:pt idx="6">
                  <c:v>6.8965517241379309E-2</c:v>
                </c:pt>
                <c:pt idx="7">
                  <c:v>3.9385584875935409E-2</c:v>
                </c:pt>
              </c:numCache>
            </c:numRef>
          </c:val>
          <c:extLst>
            <c:ext xmlns:c16="http://schemas.microsoft.com/office/drawing/2014/chart" uri="{C3380CC4-5D6E-409C-BE32-E72D297353CC}">
              <c16:uniqueId val="{00000000-14A0-4EB5-845C-68CE6647A55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N=35</c:v>
                </c:pt>
                <c:pt idx="3">
                  <c:v>Petitions, total N=24</c:v>
                </c:pt>
                <c:pt idx="4">
                  <c:v>Detentions, total N=14</c:v>
                </c:pt>
                <c:pt idx="5">
                  <c:v>Referrals, total N=72</c:v>
                </c:pt>
                <c:pt idx="6">
                  <c:v>Arrests, total N=29</c:v>
                </c:pt>
                <c:pt idx="7">
                  <c:v>Population, total N=5078</c:v>
                </c:pt>
              </c:strCache>
            </c:strRef>
          </c:cat>
          <c:val>
            <c:numRef>
              <c:f>'Stacked 100%'!$C$7:$C$14</c:f>
              <c:numCache>
                <c:formatCode>0%</c:formatCode>
                <c:ptCount val="8"/>
                <c:pt idx="0">
                  <c:v>0</c:v>
                </c:pt>
                <c:pt idx="1">
                  <c:v>0</c:v>
                </c:pt>
                <c:pt idx="2">
                  <c:v>0</c:v>
                </c:pt>
                <c:pt idx="3">
                  <c:v>0</c:v>
                </c:pt>
                <c:pt idx="4">
                  <c:v>0</c:v>
                </c:pt>
                <c:pt idx="5">
                  <c:v>1.3888888888888888E-2</c:v>
                </c:pt>
                <c:pt idx="6">
                  <c:v>0</c:v>
                </c:pt>
                <c:pt idx="7">
                  <c:v>6.6758566364710517E-2</c:v>
                </c:pt>
              </c:numCache>
            </c:numRef>
          </c:val>
          <c:extLst>
            <c:ext xmlns:c16="http://schemas.microsoft.com/office/drawing/2014/chart" uri="{C3380CC4-5D6E-409C-BE32-E72D297353CC}">
              <c16:uniqueId val="{00000001-14A0-4EB5-845C-68CE6647A55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N=11</c:v>
                </c:pt>
                <c:pt idx="2">
                  <c:v>Delinquent Findings, total N=35</c:v>
                </c:pt>
                <c:pt idx="3">
                  <c:v>Petitions, total N=24</c:v>
                </c:pt>
                <c:pt idx="4">
                  <c:v>Detentions, total N=14</c:v>
                </c:pt>
                <c:pt idx="5">
                  <c:v>Referrals, total N=72</c:v>
                </c:pt>
                <c:pt idx="6">
                  <c:v>Arrests, total N=29</c:v>
                </c:pt>
                <c:pt idx="7">
                  <c:v>Population, total N=5078</c:v>
                </c:pt>
              </c:strCache>
            </c:strRef>
          </c:cat>
          <c:val>
            <c:numRef>
              <c:f>'Stacked 100%'!$H$7:$H$14</c:f>
              <c:numCache>
                <c:formatCode>0%</c:formatCode>
                <c:ptCount val="8"/>
                <c:pt idx="0">
                  <c:v>0</c:v>
                </c:pt>
                <c:pt idx="1">
                  <c:v>8.2644628099173556E-3</c:v>
                </c:pt>
                <c:pt idx="2">
                  <c:v>1.6326530612244896E-3</c:v>
                </c:pt>
                <c:pt idx="3">
                  <c:v>5.208333333333333E-3</c:v>
                </c:pt>
                <c:pt idx="4">
                  <c:v>5.1020408163265302E-3</c:v>
                </c:pt>
                <c:pt idx="5">
                  <c:v>9.6450617283950623E-4</c:v>
                </c:pt>
                <c:pt idx="6">
                  <c:v>7.1343638525564806E-3</c:v>
                </c:pt>
                <c:pt idx="7">
                  <c:v>1.5589804174996094E-5</c:v>
                </c:pt>
              </c:numCache>
            </c:numRef>
          </c:val>
          <c:extLst>
            <c:ext xmlns:c16="http://schemas.microsoft.com/office/drawing/2014/chart" uri="{C3380CC4-5D6E-409C-BE32-E72D297353CC}">
              <c16:uniqueId val="{00000002-14A0-4EB5-845C-68CE6647A55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N=35</c:v>
                </c:pt>
                <c:pt idx="3">
                  <c:v>Petitions, total N=24</c:v>
                </c:pt>
                <c:pt idx="4">
                  <c:v>Detentions, total N=14</c:v>
                </c:pt>
                <c:pt idx="5">
                  <c:v>Referrals, total N=72</c:v>
                </c:pt>
                <c:pt idx="6">
                  <c:v>Arrests, total N=29</c:v>
                </c:pt>
                <c:pt idx="7">
                  <c:v>Population, total N=5078</c:v>
                </c:pt>
              </c:strCache>
            </c:strRef>
          </c:cat>
          <c:val>
            <c:numRef>
              <c:f>'Stacked 100%'!$I$7:$I$14</c:f>
              <c:numCache>
                <c:formatCode>0%</c:formatCode>
                <c:ptCount val="8"/>
                <c:pt idx="0">
                  <c:v>0</c:v>
                </c:pt>
                <c:pt idx="1">
                  <c:v>0.45454545454545453</c:v>
                </c:pt>
                <c:pt idx="2">
                  <c:v>0.42857142857142855</c:v>
                </c:pt>
                <c:pt idx="3">
                  <c:v>0.375</c:v>
                </c:pt>
                <c:pt idx="4">
                  <c:v>0.42857142857142855</c:v>
                </c:pt>
                <c:pt idx="5">
                  <c:v>0.3611111111111111</c:v>
                </c:pt>
                <c:pt idx="6">
                  <c:v>0.48275862068965519</c:v>
                </c:pt>
                <c:pt idx="7">
                  <c:v>0.81469082315872388</c:v>
                </c:pt>
              </c:numCache>
            </c:numRef>
          </c:val>
          <c:extLst>
            <c:ext xmlns:c16="http://schemas.microsoft.com/office/drawing/2014/chart" uri="{C3380CC4-5D6E-409C-BE32-E72D297353CC}">
              <c16:uniqueId val="{00000003-14A0-4EB5-845C-68CE6647A55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N=11</c:v>
                </c:pt>
                <c:pt idx="2">
                  <c:v>Delinquent Findings, total N=35</c:v>
                </c:pt>
                <c:pt idx="3">
                  <c:v>Petitions, total N=24</c:v>
                </c:pt>
                <c:pt idx="4">
                  <c:v>Detentions, total N=14</c:v>
                </c:pt>
                <c:pt idx="5">
                  <c:v>Referrals, total N=72</c:v>
                </c:pt>
                <c:pt idx="6">
                  <c:v>Arrests, total N=29</c:v>
                </c:pt>
                <c:pt idx="7">
                  <c:v>Population, total N=5078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4A0-4EB5-845C-68CE6647A55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4"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5078</v>
      </c>
      <c r="C6" s="11">
        <v>4137</v>
      </c>
      <c r="D6" s="11">
        <v>200</v>
      </c>
      <c r="E6" s="11">
        <v>339</v>
      </c>
      <c r="F6" s="11">
        <v>94</v>
      </c>
      <c r="G6" s="11"/>
      <c r="H6" s="11">
        <v>308</v>
      </c>
      <c r="I6" s="11"/>
      <c r="J6" s="91">
        <f>SUM(D6:I6)</f>
        <v>941</v>
      </c>
      <c r="K6" s="92"/>
    </row>
    <row r="7" spans="1:11" ht="15.75" customHeight="1" thickBot="1" x14ac:dyDescent="0.25">
      <c r="A7" s="10" t="s">
        <v>8</v>
      </c>
      <c r="B7" s="11">
        <f t="shared" ref="B7:B15" si="0">SUM(C7:I7)+K7</f>
        <v>29</v>
      </c>
      <c r="C7" s="11">
        <v>14</v>
      </c>
      <c r="D7" s="11">
        <v>2</v>
      </c>
      <c r="E7" s="11"/>
      <c r="F7" s="11"/>
      <c r="G7" s="11"/>
      <c r="H7" s="11">
        <v>6</v>
      </c>
      <c r="I7" s="11"/>
      <c r="J7" s="91">
        <f t="shared" ref="J7:J15" si="1">SUM(D7:I7)</f>
        <v>8</v>
      </c>
      <c r="K7" s="92">
        <v>7</v>
      </c>
    </row>
    <row r="8" spans="1:11" ht="15.75" customHeight="1" thickBot="1" x14ac:dyDescent="0.25">
      <c r="A8" s="10" t="s">
        <v>9</v>
      </c>
      <c r="B8" s="11">
        <f t="shared" si="0"/>
        <v>72</v>
      </c>
      <c r="C8" s="11">
        <v>26</v>
      </c>
      <c r="D8" s="11">
        <v>7</v>
      </c>
      <c r="E8" s="11">
        <v>1</v>
      </c>
      <c r="F8" s="11"/>
      <c r="G8" s="11"/>
      <c r="H8" s="11">
        <v>5</v>
      </c>
      <c r="I8" s="11"/>
      <c r="J8" s="91">
        <f t="shared" si="1"/>
        <v>13</v>
      </c>
      <c r="K8" s="92">
        <v>33</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14</v>
      </c>
      <c r="C10" s="11">
        <v>6</v>
      </c>
      <c r="D10" s="11">
        <v>1</v>
      </c>
      <c r="E10" s="11"/>
      <c r="F10" s="11"/>
      <c r="G10" s="11"/>
      <c r="H10" s="11">
        <v>1</v>
      </c>
      <c r="I10" s="11"/>
      <c r="J10" s="91">
        <f t="shared" si="1"/>
        <v>2</v>
      </c>
      <c r="K10" s="92">
        <v>6</v>
      </c>
    </row>
    <row r="11" spans="1:11" ht="15.75" customHeight="1" thickBot="1" x14ac:dyDescent="0.25">
      <c r="A11" s="10" t="s">
        <v>12</v>
      </c>
      <c r="B11" s="11">
        <f t="shared" si="0"/>
        <v>24</v>
      </c>
      <c r="C11" s="11">
        <v>9</v>
      </c>
      <c r="D11" s="11">
        <v>1</v>
      </c>
      <c r="E11" s="11"/>
      <c r="F11" s="11"/>
      <c r="G11" s="11"/>
      <c r="H11" s="11">
        <v>3</v>
      </c>
      <c r="I11" s="11"/>
      <c r="J11" s="91">
        <f t="shared" si="1"/>
        <v>4</v>
      </c>
      <c r="K11" s="92">
        <v>11</v>
      </c>
    </row>
    <row r="12" spans="1:11" ht="15.75" customHeight="1" thickBot="1" x14ac:dyDescent="0.25">
      <c r="A12" s="10" t="s">
        <v>13</v>
      </c>
      <c r="B12" s="11">
        <f t="shared" si="0"/>
        <v>35</v>
      </c>
      <c r="C12" s="11">
        <v>15</v>
      </c>
      <c r="D12" s="11">
        <v>2</v>
      </c>
      <c r="E12" s="11"/>
      <c r="F12" s="11"/>
      <c r="G12" s="11"/>
      <c r="H12" s="11">
        <v>2</v>
      </c>
      <c r="I12" s="11"/>
      <c r="J12" s="91">
        <f t="shared" si="1"/>
        <v>4</v>
      </c>
      <c r="K12" s="92">
        <v>16</v>
      </c>
    </row>
    <row r="13" spans="1:11" ht="15.75" customHeight="1" thickBot="1" x14ac:dyDescent="0.25">
      <c r="A13" s="10" t="s">
        <v>133</v>
      </c>
      <c r="B13" s="11">
        <f t="shared" si="0"/>
        <v>24</v>
      </c>
      <c r="C13" s="11">
        <v>9</v>
      </c>
      <c r="D13" s="11">
        <v>1</v>
      </c>
      <c r="E13" s="11"/>
      <c r="F13" s="11"/>
      <c r="G13" s="11"/>
      <c r="H13" s="11">
        <v>2</v>
      </c>
      <c r="I13" s="11"/>
      <c r="J13" s="91">
        <f t="shared" si="1"/>
        <v>3</v>
      </c>
      <c r="K13" s="92">
        <v>12</v>
      </c>
    </row>
    <row r="14" spans="1:11" ht="26.25" customHeight="1" thickBot="1" x14ac:dyDescent="0.25">
      <c r="A14" s="10" t="s">
        <v>123</v>
      </c>
      <c r="B14" s="11">
        <f t="shared" si="0"/>
        <v>11</v>
      </c>
      <c r="C14" s="11">
        <v>5</v>
      </c>
      <c r="D14" s="11"/>
      <c r="E14" s="11"/>
      <c r="F14" s="11"/>
      <c r="G14" s="11"/>
      <c r="H14" s="11">
        <v>1</v>
      </c>
      <c r="I14" s="11"/>
      <c r="J14" s="91">
        <f t="shared" si="1"/>
        <v>1</v>
      </c>
      <c r="K14" s="92">
        <v>5</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Isabella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4137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3.3840947546531308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14</v>
      </c>
      <c r="Q7" s="42">
        <f>C6-C7</f>
        <v>4123</v>
      </c>
      <c r="R7" s="42">
        <f t="shared" ref="R7:R15" si="5">SUM(N7:Q7)</f>
        <v>4137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26</v>
      </c>
      <c r="D8" s="34">
        <f>IF((AND(C67&gt;0,C8&gt;0)),(C8/C67),0)</f>
        <v>185.71428571428569</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26</v>
      </c>
      <c r="Q8" s="42">
        <f>(C$67*L67)-C8</f>
        <v>-11.999999999999998</v>
      </c>
      <c r="R8" s="42">
        <f t="shared" si="5"/>
        <v>14.050000000000002</v>
      </c>
      <c r="S8" s="30">
        <f t="shared" si="6"/>
        <v>23.744500000000006</v>
      </c>
      <c r="T8" s="30">
        <f t="shared" si="7"/>
        <v>-217.48999999999998</v>
      </c>
      <c r="U8" s="31">
        <f t="shared" si="8"/>
        <v>-0.10917513448894206</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x14ac:dyDescent="0.25">
      <c r="B10" s="32" t="str">
        <f>'Data Entry'!A10</f>
        <v>5. Cases Involving Secure Detention</v>
      </c>
      <c r="C10" s="33">
        <f>'Data Entry'!C10</f>
        <v>6</v>
      </c>
      <c r="D10" s="34">
        <f>IF(((AND(C68&gt;0,C10&gt;0))),(C10/(C68)),0)</f>
        <v>23.076923076923077</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20</v>
      </c>
      <c r="R10" s="42">
        <f t="shared" si="5"/>
        <v>26</v>
      </c>
      <c r="S10" s="30">
        <f t="shared" si="6"/>
        <v>0</v>
      </c>
      <c r="T10" s="30">
        <f t="shared" si="7"/>
        <v>0</v>
      </c>
      <c r="U10" s="31" t="str">
        <f t="shared" si="8"/>
        <v>- -</v>
      </c>
    </row>
    <row r="11" spans="2:21" ht="18" customHeight="1" x14ac:dyDescent="0.25">
      <c r="B11" s="32" t="str">
        <f>'Data Entry'!A11</f>
        <v>6. Cases Petitioned (Charge Filed)</v>
      </c>
      <c r="C11" s="33">
        <f>'Data Entry'!C11</f>
        <v>9</v>
      </c>
      <c r="D11" s="34">
        <f>IF(((AND(C68&gt;0,C11&gt;0))),(C11/(C68)),0)</f>
        <v>34.615384615384613</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17</v>
      </c>
      <c r="R11" s="42">
        <f t="shared" si="5"/>
        <v>26</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166.66666666666669</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-6</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60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6</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33.333333333333336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10</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4.1369999999999996</v>
      </c>
      <c r="D42" s="56">
        <f>E6/1000</f>
        <v>0</v>
      </c>
      <c r="E42" s="56">
        <f>MAX(C42:D42)</f>
        <v>4.1369999999999996</v>
      </c>
      <c r="G42" s="1" t="str">
        <f>B42</f>
        <v>per 1000 youth</v>
      </c>
      <c r="L42" s="57">
        <v>1000</v>
      </c>
      <c r="M42" s="57"/>
      <c r="R42" s="49"/>
    </row>
    <row r="43" spans="2:18" ht="15" hidden="1" customHeight="1" x14ac:dyDescent="0.25">
      <c r="B43" s="49" t="s">
        <v>87</v>
      </c>
      <c r="C43" s="56">
        <f>C7/100</f>
        <v>0.14000000000000001</v>
      </c>
      <c r="D43" s="56">
        <f>E7/100</f>
        <v>0</v>
      </c>
      <c r="E43" s="56">
        <f>MAX(C43:D43,0)</f>
        <v>0.14000000000000001</v>
      </c>
      <c r="G43" s="1" t="str">
        <f>B43</f>
        <v>per 100 arrests</v>
      </c>
      <c r="L43" s="57">
        <v>100</v>
      </c>
      <c r="M43" s="57"/>
      <c r="R43" s="49"/>
    </row>
    <row r="44" spans="2:18" ht="15" hidden="1" customHeight="1" x14ac:dyDescent="0.25">
      <c r="B44" s="49" t="s">
        <v>88</v>
      </c>
      <c r="C44" s="56">
        <f>C8/100</f>
        <v>0.26</v>
      </c>
      <c r="D44" s="56">
        <f>E8/100</f>
        <v>0</v>
      </c>
      <c r="E44" s="56">
        <f>MAX(C44:D44,0)</f>
        <v>0.26</v>
      </c>
      <c r="G44" s="1" t="str">
        <f>B44</f>
        <v>per 100 referrals</v>
      </c>
      <c r="L44" s="57">
        <v>100</v>
      </c>
      <c r="M44" s="57"/>
      <c r="R44" s="49"/>
    </row>
    <row r="45" spans="2:18" ht="15" hidden="1" customHeight="1" x14ac:dyDescent="0.25">
      <c r="B45" s="49" t="s">
        <v>89</v>
      </c>
      <c r="C45" s="49">
        <f>C11/100</f>
        <v>0.09</v>
      </c>
      <c r="D45" s="49">
        <f>E11/100</f>
        <v>0</v>
      </c>
      <c r="E45" s="56">
        <f>MAX(C45:D45,0)</f>
        <v>0.09</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4.1369999999999996</v>
      </c>
      <c r="D48" s="56">
        <f>D42</f>
        <v>0</v>
      </c>
      <c r="E48" s="56">
        <f>MAX(C48:D48)</f>
        <v>4.1369999999999996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4.1369999999999996</v>
      </c>
      <c r="D54" s="56">
        <f>D48</f>
        <v>0</v>
      </c>
      <c r="E54" s="56">
        <f>MAX(C54:D54)</f>
        <v>4.1369999999999996</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v>
      </c>
      <c r="E55" s="49">
        <f>MAX(C55:D55)</f>
        <v>0.14000000000000001</v>
      </c>
      <c r="G55" s="1" t="str">
        <f>G49</f>
        <v>per 100 arrests</v>
      </c>
      <c r="L55" s="58">
        <f>IF(($E49&gt;0),L49,L48)</f>
        <v>100</v>
      </c>
      <c r="M55" s="58"/>
    </row>
    <row r="56" spans="2:18" ht="15" hidden="1" customHeight="1" x14ac:dyDescent="0.25">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4.1369999999999996</v>
      </c>
      <c r="D60" s="56">
        <f>D54</f>
        <v>0</v>
      </c>
      <c r="E60" s="56">
        <f>MAX(C60:D60)</f>
        <v>4.1369999999999996</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v>
      </c>
      <c r="E61" s="49">
        <f>MAX(C61:D61)</f>
        <v>0.14000000000000001</v>
      </c>
      <c r="G61" s="1" t="str">
        <f>G55</f>
        <v>per 100 arrests</v>
      </c>
      <c r="L61" s="58">
        <f>IF(($E55&gt;0),L55,L54)</f>
        <v>100</v>
      </c>
      <c r="M61" s="58"/>
    </row>
    <row r="62" spans="2:18" ht="15" hidden="1" customHeight="1" x14ac:dyDescent="0.25">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4.1369999999999996</v>
      </c>
      <c r="D66" s="56">
        <f>D60</f>
        <v>0</v>
      </c>
      <c r="E66" s="56">
        <f>MAX(C66:D66)</f>
        <v>4.1369999999999996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v>
      </c>
      <c r="E67" s="49">
        <f>MAX(C67:D67)</f>
        <v>0.14000000000000001</v>
      </c>
      <c r="G67" s="1" t="str">
        <f>G61</f>
        <v>per 100 arrests</v>
      </c>
      <c r="L67" s="58">
        <f>IF(($E61&gt;0),L61,L60)</f>
        <v>100</v>
      </c>
      <c r="M67" s="58">
        <f>IF((B67=G67),1,2)</f>
        <v>1</v>
      </c>
    </row>
    <row r="68" spans="2:13" ht="15" hidden="1" customHeight="1" x14ac:dyDescent="0.25">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Isabella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4137</v>
      </c>
      <c r="D6" s="34"/>
      <c r="E6" s="33">
        <f>'Data Entry'!J6</f>
        <v>941</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3.3840947546531308</v>
      </c>
      <c r="E7" s="33">
        <f>'Data Entry'!J7</f>
        <v>8</v>
      </c>
      <c r="F7" s="34">
        <f>IF((AND($E$7&gt;0,$D$66&gt;0)),($E$7/$D$66),0)</f>
        <v>8.5015940488841668</v>
      </c>
      <c r="G7" s="39">
        <f t="shared" ref="G7:G15" si="0">IF(L$6=100,"*",IF(M7=FALSE,"--",IF(K7=20,"**",($F7/$D7))))</f>
        <v>2.512221041445271</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8</v>
      </c>
      <c r="O7" s="42">
        <f>E6-E7</f>
        <v>933</v>
      </c>
      <c r="P7" s="42">
        <f t="shared" ref="P7:P15" si="4">C7</f>
        <v>14</v>
      </c>
      <c r="Q7" s="42">
        <f>C6-C7</f>
        <v>4123</v>
      </c>
      <c r="R7" s="42">
        <f t="shared" ref="R7:R15" si="5">SUM(N7:Q7)</f>
        <v>5078</v>
      </c>
      <c r="S7" s="30">
        <f t="shared" ref="S7:S15" si="6">R7*((((N7*Q7)-(O7*P7))^2))</f>
        <v>2015387534552</v>
      </c>
      <c r="T7" s="30">
        <f t="shared" ref="T7:T15" si="7">(N7+O7)*(P7+Q7)*(N7+P7)*(O7+Q7)</f>
        <v>433016943744</v>
      </c>
      <c r="U7" s="31">
        <f t="shared" ref="U7:U15" si="8">IF((S7&gt;0),S7/T7,"- -")</f>
        <v>4.6542925482922879</v>
      </c>
    </row>
    <row r="8" spans="2:21" ht="18" customHeight="1" x14ac:dyDescent="0.25">
      <c r="B8" s="32" t="str">
        <f>'Data Entry'!A8</f>
        <v>3. Refer to Juvenile Court</v>
      </c>
      <c r="C8" s="33">
        <f>'Data Entry'!C8</f>
        <v>26</v>
      </c>
      <c r="D8" s="34">
        <f>IF((AND(C67&gt;0,C8&gt;0)),(C8/C67),0)</f>
        <v>185.71428571428569</v>
      </c>
      <c r="E8" s="33">
        <f>'Data Entry'!J8</f>
        <v>13</v>
      </c>
      <c r="F8" s="34">
        <f>IF((AND($E$8&gt;0,$D$67&gt;0)),($E8/$D67),0)</f>
        <v>162.5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13</v>
      </c>
      <c r="O8" s="42">
        <f>((D67*L67)-E8)+0.05</f>
        <v>-4.95</v>
      </c>
      <c r="P8" s="42">
        <f t="shared" si="4"/>
        <v>26</v>
      </c>
      <c r="Q8" s="42">
        <f>(C$67*L67)-C8</f>
        <v>-11.999999999999998</v>
      </c>
      <c r="R8" s="42">
        <f t="shared" si="5"/>
        <v>22.049999999999997</v>
      </c>
      <c r="S8" s="30">
        <f t="shared" si="6"/>
        <v>16433.64449999994</v>
      </c>
      <c r="T8" s="30">
        <f t="shared" si="7"/>
        <v>-74500.335000000021</v>
      </c>
      <c r="U8" s="31">
        <f t="shared" si="8"/>
        <v>-0.22058484032320036</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13</v>
      </c>
      <c r="P9" s="42">
        <f t="shared" si="4"/>
        <v>0</v>
      </c>
      <c r="Q9" s="42">
        <f>(C$68*L68)-C9</f>
        <v>26</v>
      </c>
      <c r="R9" s="42">
        <f t="shared" si="5"/>
        <v>39</v>
      </c>
      <c r="S9" s="30">
        <f t="shared" si="6"/>
        <v>0</v>
      </c>
      <c r="T9" s="30">
        <f t="shared" si="7"/>
        <v>0</v>
      </c>
      <c r="U9" s="31" t="str">
        <f t="shared" si="8"/>
        <v>- -</v>
      </c>
    </row>
    <row r="10" spans="2:21" ht="18" customHeight="1" x14ac:dyDescent="0.25">
      <c r="B10" s="32" t="str">
        <f>'Data Entry'!A10</f>
        <v>5. Cases Involving Secure Detention</v>
      </c>
      <c r="C10" s="33">
        <f>'Data Entry'!C10</f>
        <v>6</v>
      </c>
      <c r="D10" s="34">
        <f>IF(((AND(C68&gt;0,C10&gt;0))),(C10/(C68)),0)</f>
        <v>23.076923076923077</v>
      </c>
      <c r="E10" s="33">
        <f>'Data Entry'!J10</f>
        <v>2</v>
      </c>
      <c r="F10" s="34">
        <f>IF(((AND($E$10&gt;0,$D$68&gt;0))),($E$10/($D$68)),0)</f>
        <v>15.384615384615383</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11</v>
      </c>
      <c r="P10" s="42">
        <f t="shared" si="4"/>
        <v>6</v>
      </c>
      <c r="Q10" s="42">
        <f>(C$68*L68)-C10</f>
        <v>20</v>
      </c>
      <c r="R10" s="42">
        <f t="shared" si="5"/>
        <v>39</v>
      </c>
      <c r="S10" s="30">
        <f t="shared" si="6"/>
        <v>26364</v>
      </c>
      <c r="T10" s="30">
        <f t="shared" si="7"/>
        <v>83824</v>
      </c>
      <c r="U10" s="31">
        <f t="shared" si="8"/>
        <v>0.31451612903225806</v>
      </c>
    </row>
    <row r="11" spans="2:21" ht="18" customHeight="1" x14ac:dyDescent="0.25">
      <c r="B11" s="32" t="str">
        <f>'Data Entry'!A11</f>
        <v>6. Cases Petitioned (Charge Filed)</v>
      </c>
      <c r="C11" s="33">
        <f>'Data Entry'!C11</f>
        <v>9</v>
      </c>
      <c r="D11" s="34">
        <f>IF(((AND(C68&gt;0,C11&gt;0))),(C11/(C68)),0)</f>
        <v>34.615384615384613</v>
      </c>
      <c r="E11" s="33">
        <f>'Data Entry'!J11</f>
        <v>4</v>
      </c>
      <c r="F11" s="34">
        <f>IF(((AND($E$11&gt;0,$D$68&gt;0))),($E$11/($D$68)),0)</f>
        <v>30.769230769230766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9</v>
      </c>
      <c r="P11" s="42">
        <f t="shared" si="4"/>
        <v>9</v>
      </c>
      <c r="Q11" s="42">
        <f>(C$68*L68)-C11</f>
        <v>17</v>
      </c>
      <c r="R11" s="42">
        <f t="shared" si="5"/>
        <v>39</v>
      </c>
      <c r="S11" s="30">
        <f t="shared" si="6"/>
        <v>6591</v>
      </c>
      <c r="T11" s="30">
        <f t="shared" si="7"/>
        <v>114244</v>
      </c>
      <c r="U11" s="31">
        <f t="shared" si="8"/>
        <v>5.7692307692307696E-2</v>
      </c>
    </row>
    <row r="12" spans="2:21" ht="18" customHeight="1" x14ac:dyDescent="0.25">
      <c r="B12" s="32" t="str">
        <f>'Data Entry'!A12</f>
        <v>7. Cases Resulting in Delinquent Findings</v>
      </c>
      <c r="C12" s="33">
        <f>'Data Entry'!C12</f>
        <v>15</v>
      </c>
      <c r="D12" s="34">
        <f>IF(((AND(C69&gt;0,C12&gt;0))),(C12/(C69)),0)</f>
        <v>166.66666666666669</v>
      </c>
      <c r="E12" s="33">
        <f>'Data Entry'!J12</f>
        <v>4</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0</v>
      </c>
      <c r="P12" s="42">
        <f t="shared" si="4"/>
        <v>15</v>
      </c>
      <c r="Q12" s="42">
        <f>(C69*L69)-C12</f>
        <v>-6</v>
      </c>
      <c r="R12" s="42">
        <f t="shared" si="5"/>
        <v>13</v>
      </c>
      <c r="S12" s="30">
        <f t="shared" si="6"/>
        <v>7488</v>
      </c>
      <c r="T12" s="30">
        <f t="shared" si="7"/>
        <v>-4104</v>
      </c>
      <c r="U12" s="31">
        <f t="shared" si="8"/>
        <v>-1.8245614035087718</v>
      </c>
    </row>
    <row r="13" spans="2:21" ht="18" customHeight="1" x14ac:dyDescent="0.25">
      <c r="B13" s="32" t="str">
        <f>'Data Entry'!A13</f>
        <v>8. Cases Resulting in Probation Placement</v>
      </c>
      <c r="C13" s="33">
        <f>'Data Entry'!C13</f>
        <v>9</v>
      </c>
      <c r="D13" s="34">
        <f>IF(((AND(C70&gt;0,C13&gt;0))),(C13/(C70)),0)</f>
        <v>60</v>
      </c>
      <c r="E13" s="33">
        <f>'Data Entry'!J13</f>
        <v>3</v>
      </c>
      <c r="F13" s="34">
        <f>IF(((AND($D$70&gt;0,$E$13&gt;0))),($E$13/($D$70)),0)</f>
        <v>75</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v>
      </c>
      <c r="O13" s="42">
        <f>(D70*L70)-E13</f>
        <v>1</v>
      </c>
      <c r="P13" s="42">
        <f t="shared" si="4"/>
        <v>9</v>
      </c>
      <c r="Q13" s="42">
        <f>(C70*L70)-C13</f>
        <v>6</v>
      </c>
      <c r="R13" s="42">
        <f t="shared" si="5"/>
        <v>19</v>
      </c>
      <c r="S13" s="30">
        <f t="shared" si="6"/>
        <v>1539</v>
      </c>
      <c r="T13" s="30">
        <f t="shared" si="7"/>
        <v>5040</v>
      </c>
      <c r="U13" s="31">
        <f t="shared" si="8"/>
        <v>0.30535714285714288</v>
      </c>
    </row>
    <row r="14" spans="2:21" ht="30.75" customHeight="1" x14ac:dyDescent="0.25">
      <c r="B14" s="32" t="str">
        <f>'Data Entry'!A14</f>
        <v xml:space="preserve">9. Cases Resulting in Confinement in Secure Juvenile Correctional Facilities </v>
      </c>
      <c r="C14" s="33">
        <f>'Data Entry'!C14</f>
        <v>5</v>
      </c>
      <c r="D14" s="34">
        <f>IF(((AND(C70&gt;0,C14&gt;0))), ((C14/(C70))),0)</f>
        <v>33.333333333333336</v>
      </c>
      <c r="E14" s="33">
        <f>'Data Entry'!J14</f>
        <v>1</v>
      </c>
      <c r="F14" s="34">
        <f>IF(((AND($D$70&gt;0,$E$14&gt;0))), (($E$14/($D$70))),0)</f>
        <v>25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3</v>
      </c>
      <c r="P14" s="42">
        <f t="shared" si="4"/>
        <v>5</v>
      </c>
      <c r="Q14" s="42">
        <f>(C70*L70)-C14</f>
        <v>10</v>
      </c>
      <c r="R14" s="42">
        <f t="shared" si="5"/>
        <v>19</v>
      </c>
      <c r="S14" s="30">
        <f t="shared" si="6"/>
        <v>475</v>
      </c>
      <c r="T14" s="30">
        <f t="shared" si="7"/>
        <v>4680</v>
      </c>
      <c r="U14" s="31">
        <f t="shared" si="8"/>
        <v>0.1014957264957265</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9</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4.1369999999999996</v>
      </c>
      <c r="D42" s="56">
        <f>E6/1000</f>
        <v>0.94099999999999995</v>
      </c>
      <c r="E42" s="56">
        <f>MAX(C42:D42)</f>
        <v>4.1369999999999996</v>
      </c>
      <c r="G42" s="1" t="str">
        <f>B42</f>
        <v>per 1000 youth</v>
      </c>
      <c r="L42" s="57">
        <v>1000</v>
      </c>
      <c r="M42" s="57"/>
      <c r="R42" s="49"/>
    </row>
    <row r="43" spans="2:18" ht="15" hidden="1" customHeight="1" x14ac:dyDescent="0.25">
      <c r="B43" s="49" t="s">
        <v>87</v>
      </c>
      <c r="C43" s="56">
        <f>C7/100</f>
        <v>0.14000000000000001</v>
      </c>
      <c r="D43" s="56">
        <f>E7/100</f>
        <v>0.08</v>
      </c>
      <c r="E43" s="56">
        <f>MAX(C43:D43,0)</f>
        <v>0.14000000000000001</v>
      </c>
      <c r="G43" s="1" t="str">
        <f>B43</f>
        <v>per 100 arrests</v>
      </c>
      <c r="L43" s="57">
        <v>100</v>
      </c>
      <c r="M43" s="57"/>
      <c r="R43" s="49"/>
    </row>
    <row r="44" spans="2:18" ht="15" hidden="1" customHeight="1" x14ac:dyDescent="0.25">
      <c r="B44" s="49" t="s">
        <v>88</v>
      </c>
      <c r="C44" s="56">
        <f>C8/100</f>
        <v>0.26</v>
      </c>
      <c r="D44" s="56">
        <f>E8/100</f>
        <v>0.13</v>
      </c>
      <c r="E44" s="56">
        <f>MAX(C44:D44,0)</f>
        <v>0.26</v>
      </c>
      <c r="G44" s="1" t="str">
        <f>B44</f>
        <v>per 100 referrals</v>
      </c>
      <c r="L44" s="57">
        <v>100</v>
      </c>
      <c r="M44" s="57"/>
      <c r="R44" s="49"/>
    </row>
    <row r="45" spans="2:18" ht="15" hidden="1" customHeight="1" x14ac:dyDescent="0.25">
      <c r="B45" s="49" t="s">
        <v>89</v>
      </c>
      <c r="C45" s="49">
        <f>C11/100</f>
        <v>0.09</v>
      </c>
      <c r="D45" s="49">
        <f>E11/100</f>
        <v>0.04</v>
      </c>
      <c r="E45" s="56">
        <f>MAX(C45:D45,0)</f>
        <v>0.09</v>
      </c>
      <c r="G45" s="1" t="str">
        <f>B45</f>
        <v>per 100 youth petitioned</v>
      </c>
      <c r="L45" s="57">
        <v>100</v>
      </c>
      <c r="M45" s="57"/>
      <c r="R45" s="49"/>
    </row>
    <row r="46" spans="2:18" ht="15" hidden="1" customHeight="1" x14ac:dyDescent="0.25">
      <c r="B46" s="49" t="s">
        <v>90</v>
      </c>
      <c r="C46" s="49">
        <f>C12/100</f>
        <v>0.15</v>
      </c>
      <c r="D46" s="49">
        <f>E12/100</f>
        <v>0.04</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4.1369999999999996</v>
      </c>
      <c r="D48" s="56">
        <f>D42</f>
        <v>0.94099999999999995</v>
      </c>
      <c r="E48" s="56">
        <f>MAX(C48:D48)</f>
        <v>4.1369999999999996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0.08</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0.26</v>
      </c>
      <c r="D50" s="49">
        <f t="shared" si="9"/>
        <v>0.13</v>
      </c>
      <c r="E50" s="49">
        <f>MAX(C50:D50)</f>
        <v>0.26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0.04</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0.04</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4.1369999999999996</v>
      </c>
      <c r="D54" s="56">
        <f>D48</f>
        <v>0.94099999999999995</v>
      </c>
      <c r="E54" s="56">
        <f>MAX(C54:D54)</f>
        <v>4.1369999999999996</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0.08</v>
      </c>
      <c r="E55" s="49">
        <f>MAX(C55:D55)</f>
        <v>0.14000000000000001</v>
      </c>
      <c r="G55" s="1" t="str">
        <f>G49</f>
        <v>per 100 arrests</v>
      </c>
      <c r="L55" s="58">
        <f>IF(($E49&gt;0),L49,L48)</f>
        <v>100</v>
      </c>
      <c r="M55" s="58"/>
    </row>
    <row r="56" spans="2:18" ht="15" hidden="1" customHeight="1" x14ac:dyDescent="0.25">
      <c r="B56" s="49" t="str">
        <f t="shared" si="10"/>
        <v>per 100 referrals</v>
      </c>
      <c r="C56" s="49">
        <f t="shared" si="10"/>
        <v>0.26</v>
      </c>
      <c r="D56" s="49">
        <f t="shared" si="10"/>
        <v>0.13</v>
      </c>
      <c r="E56" s="49">
        <f>MAX(C56:D56)</f>
        <v>0.26</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0.04</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0.04</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4.1369999999999996</v>
      </c>
      <c r="D60" s="56">
        <f>D54</f>
        <v>0.94099999999999995</v>
      </c>
      <c r="E60" s="56">
        <f>MAX(C60:D60)</f>
        <v>4.1369999999999996</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0.08</v>
      </c>
      <c r="E61" s="49">
        <f>MAX(C61:D61)</f>
        <v>0.14000000000000001</v>
      </c>
      <c r="G61" s="1" t="str">
        <f>G55</f>
        <v>per 100 arrests</v>
      </c>
      <c r="L61" s="58">
        <f>IF(($E55&gt;0),L55,L54)</f>
        <v>100</v>
      </c>
      <c r="M61" s="58"/>
    </row>
    <row r="62" spans="2:18" ht="15" hidden="1" customHeight="1" x14ac:dyDescent="0.25">
      <c r="B62" s="49" t="str">
        <f t="shared" si="11"/>
        <v>per 100 referrals</v>
      </c>
      <c r="C62" s="49">
        <f t="shared" si="11"/>
        <v>0.26</v>
      </c>
      <c r="D62" s="49">
        <f t="shared" si="11"/>
        <v>0.13</v>
      </c>
      <c r="E62" s="49">
        <f>MAX(C62:D62)</f>
        <v>0.26</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0.04</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0.04</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4.1369999999999996</v>
      </c>
      <c r="D66" s="56">
        <f>D60</f>
        <v>0.94099999999999995</v>
      </c>
      <c r="E66" s="56">
        <f>MAX(C66:D66)</f>
        <v>4.1369999999999996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0.08</v>
      </c>
      <c r="E67" s="49">
        <f>MAX(C67:D67)</f>
        <v>0.14000000000000001</v>
      </c>
      <c r="G67" s="1" t="str">
        <f>G61</f>
        <v>per 100 arrests</v>
      </c>
      <c r="L67" s="58">
        <f>IF(($E61&gt;0),L61,L60)</f>
        <v>100</v>
      </c>
      <c r="M67" s="58">
        <f>IF((B67=G67),1,2)</f>
        <v>1</v>
      </c>
    </row>
    <row r="68" spans="2:13" ht="15" hidden="1" customHeight="1" x14ac:dyDescent="0.25">
      <c r="B68" s="49" t="str">
        <f t="shared" si="12"/>
        <v>per 100 referrals</v>
      </c>
      <c r="C68" s="49">
        <f t="shared" si="12"/>
        <v>0.26</v>
      </c>
      <c r="D68" s="49">
        <f t="shared" si="12"/>
        <v>0.13</v>
      </c>
      <c r="E68" s="49">
        <f>MAX(C68:D68)</f>
        <v>0.26</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0.04</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0.04</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Isabella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f>'Am Indian'!G7</f>
        <v>5.7564935064935057</v>
      </c>
      <c r="H7" s="72" t="str">
        <f>'Other - Mixed'!G7</f>
        <v>*</v>
      </c>
      <c r="I7" s="73">
        <f>'All Minorities'!G7</f>
        <v>2.512221041445271</v>
      </c>
      <c r="L7" s="1">
        <f>'Black or African-American'!L7</f>
        <v>40</v>
      </c>
      <c r="M7" s="1">
        <f>Hispanic!L7</f>
        <v>40</v>
      </c>
      <c r="N7" s="1">
        <f>Asian!L7</f>
        <v>40</v>
      </c>
      <c r="O7" s="1" t="e">
        <f>Hawaiian!L7</f>
        <v>#VALUE!</v>
      </c>
      <c r="P7" s="1">
        <f>'Am Indian'!L7</f>
        <v>1</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40</v>
      </c>
      <c r="O8" s="1">
        <f>Hawaiian!L8</f>
        <v>139</v>
      </c>
      <c r="P8" s="1">
        <f>'Am Indian'!L8</f>
        <v>20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f>'Am Indian'!L10</f>
        <v>40</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f>'Am Indian'!L11</f>
        <v>40</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f>'Am Indian'!L12</f>
        <v>40</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f>'Am Indian'!L13</f>
        <v>40</v>
      </c>
      <c r="Q13" s="1" t="e">
        <f>'Other - Mixed'!L13</f>
        <v>#VALUE!</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f>'Am Indian'!L14</f>
        <v>40</v>
      </c>
      <c r="Q14" s="1" t="e">
        <f>'Other - Mixed'!L14</f>
        <v>#VALUE!</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5078</v>
      </c>
      <c r="D3" s="57">
        <f>'Data Entry'!C6</f>
        <v>4137</v>
      </c>
      <c r="E3" s="57">
        <f>'Data Entry'!D6</f>
        <v>200</v>
      </c>
      <c r="F3" s="57">
        <f>'Data Entry'!E6</f>
        <v>339</v>
      </c>
      <c r="G3" s="57">
        <f>'Data Entry'!F6</f>
        <v>94</v>
      </c>
      <c r="H3" s="57">
        <f>'Data Entry'!G6</f>
        <v>0</v>
      </c>
      <c r="I3" s="57">
        <f>'Data Entry'!H6</f>
        <v>308</v>
      </c>
      <c r="J3" s="57">
        <f>'Data Entry'!I6</f>
        <v>0</v>
      </c>
      <c r="K3" s="57">
        <f>'Data Entry'!J6</f>
        <v>941</v>
      </c>
    </row>
    <row r="4" spans="2:11" ht="15" customHeight="1" x14ac:dyDescent="0.25">
      <c r="B4" s="16" t="s">
        <v>8</v>
      </c>
      <c r="C4" s="1">
        <f>IF((C$3&gt;0),(1000*('Data Entry'!B7/'Data Entry'!B$6)), 0)</f>
        <v>5.7109098070106334</v>
      </c>
      <c r="D4" s="1">
        <f>IF((D$3&gt;0),(1000*('Data Entry'!C7/'Data Entry'!C$6)), 0)</f>
        <v>3.3840947546531304</v>
      </c>
      <c r="E4" s="1">
        <f>IF((E$3&gt;0),(1000*('Data Entry'!D7/'Data Entry'!D$6)), 0)</f>
        <v>10</v>
      </c>
      <c r="F4" s="1">
        <f>IF((F$3&gt;0),(1000*('Data Entry'!E7/'Data Entry'!E$6)), 0)</f>
        <v>0</v>
      </c>
      <c r="G4" s="1">
        <f>IF((G$3&gt;0),(1000*('Data Entry'!F7/'Data Entry'!F$6)), 0)</f>
        <v>0</v>
      </c>
      <c r="H4" s="1">
        <f>IF((H$3&gt;0),(1000*('Data Entry'!G7/'Data Entry'!G$6)), 0)</f>
        <v>0</v>
      </c>
      <c r="I4" s="1">
        <f>IF((I$3&gt;0),(1000*('Data Entry'!H7/'Data Entry'!H$6)), 0)</f>
        <v>19.480519480519479</v>
      </c>
      <c r="J4" s="1">
        <f>IF((J$3&gt;0),(1000*('Data Entry'!I7/'Data Entry'!I$6)), 0)</f>
        <v>0</v>
      </c>
      <c r="K4" s="1">
        <f>IF((K$3&gt;0),(1000*('Data Entry'!J7/'Data Entry'!J$6)), 0)</f>
        <v>8.501594048884165</v>
      </c>
    </row>
    <row r="5" spans="2:11" ht="15" customHeight="1" x14ac:dyDescent="0.25">
      <c r="B5" s="16" t="s">
        <v>9</v>
      </c>
      <c r="C5" s="1">
        <f>IF((C$3&gt;0),(1000*('Data Entry'!B8/'Data Entry'!B$6)), 0)</f>
        <v>14.178810555336748</v>
      </c>
      <c r="D5" s="1">
        <f>IF((D$3&gt;0),(1000*('Data Entry'!C8/'Data Entry'!C$6)), 0)</f>
        <v>6.2847474014986702</v>
      </c>
      <c r="E5" s="1">
        <f>IF((E$3&gt;0),(1000*('Data Entry'!D8/'Data Entry'!D$6)), 0)</f>
        <v>35</v>
      </c>
      <c r="F5" s="1">
        <f>IF((F$3&gt;0),(1000*('Data Entry'!E8/'Data Entry'!E$6)), 0)</f>
        <v>2.9498525073746311</v>
      </c>
      <c r="G5" s="1">
        <f>IF((G$3&gt;0),(1000*('Data Entry'!F8/'Data Entry'!F$6)), 0)</f>
        <v>0</v>
      </c>
      <c r="H5" s="1">
        <f>IF((H$3&gt;0),(1000*('Data Entry'!G8/'Data Entry'!G$6)), 0)</f>
        <v>0</v>
      </c>
      <c r="I5" s="1">
        <f>IF((I$3&gt;0),(1000*('Data Entry'!H8/'Data Entry'!H$6)), 0)</f>
        <v>16.233766233766232</v>
      </c>
      <c r="J5" s="1">
        <f>IF((J$3&gt;0),(1000*('Data Entry'!I8/'Data Entry'!I$6)), 0)</f>
        <v>0</v>
      </c>
      <c r="K5" s="1">
        <f>IF((K$3&gt;0),(1000*('Data Entry'!J8/'Data Entry'!J$6)), 0)</f>
        <v>13.815090329436769</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2.7569909413154785</v>
      </c>
      <c r="D7" s="1">
        <f>IF((D$3&gt;0),(1000*('Data Entry'!C10/'Data Entry'!C$6)), 0)</f>
        <v>1.4503263234227701</v>
      </c>
      <c r="E7" s="1">
        <f>IF((E$3&gt;0),(1000*('Data Entry'!D10/'Data Entry'!D$6)), 0)</f>
        <v>5</v>
      </c>
      <c r="F7" s="1">
        <f>IF((F$3&gt;0),(1000*('Data Entry'!E10/'Data Entry'!E$6)), 0)</f>
        <v>0</v>
      </c>
      <c r="G7" s="1">
        <f>IF((G$3&gt;0),(1000*('Data Entry'!F10/'Data Entry'!F$6)), 0)</f>
        <v>0</v>
      </c>
      <c r="H7" s="1">
        <f>IF((H$3&gt;0),(1000*('Data Entry'!G10/'Data Entry'!G$6)), 0)</f>
        <v>0</v>
      </c>
      <c r="I7" s="1">
        <f>IF((I$3&gt;0),(1000*('Data Entry'!H10/'Data Entry'!H$6)), 0)</f>
        <v>3.2467532467532472</v>
      </c>
      <c r="J7" s="1">
        <f>IF((J$3&gt;0),(1000*('Data Entry'!I10/'Data Entry'!I$6)), 0)</f>
        <v>0</v>
      </c>
      <c r="K7" s="1">
        <f>IF((K$3&gt;0),(1000*('Data Entry'!J10/'Data Entry'!J$6)), 0)</f>
        <v>2.1253985122210413</v>
      </c>
    </row>
    <row r="8" spans="2:11" ht="15" customHeight="1" x14ac:dyDescent="0.25">
      <c r="B8" s="16" t="s">
        <v>95</v>
      </c>
      <c r="C8" s="1">
        <f>IF((C$3&gt;0),(1000*('Data Entry'!B11/'Data Entry'!B$6)), 0)</f>
        <v>4.7262701851122486</v>
      </c>
      <c r="D8" s="1">
        <f>IF((D$3&gt;0),(1000*('Data Entry'!C11/'Data Entry'!C$6)), 0)</f>
        <v>2.1754894851341553</v>
      </c>
      <c r="E8" s="1">
        <f>IF((E$3&gt;0),(1000*('Data Entry'!D11/'Data Entry'!D$6)), 0)</f>
        <v>5</v>
      </c>
      <c r="F8" s="1">
        <f>IF((F$3&gt;0),(1000*('Data Entry'!E11/'Data Entry'!E$6)), 0)</f>
        <v>0</v>
      </c>
      <c r="G8" s="1">
        <f>IF((G$3&gt;0),(1000*('Data Entry'!F11/'Data Entry'!F$6)), 0)</f>
        <v>0</v>
      </c>
      <c r="H8" s="1">
        <f>IF((H$3&gt;0),(1000*('Data Entry'!G11/'Data Entry'!G$6)), 0)</f>
        <v>0</v>
      </c>
      <c r="I8" s="1">
        <f>IF((I$3&gt;0),(1000*('Data Entry'!H11/'Data Entry'!H$6)), 0)</f>
        <v>9.7402597402597397</v>
      </c>
      <c r="J8" s="1">
        <f>IF((J$3&gt;0),(1000*('Data Entry'!I11/'Data Entry'!I$6)), 0)</f>
        <v>0</v>
      </c>
      <c r="K8" s="1">
        <f>IF((K$3&gt;0),(1000*('Data Entry'!J11/'Data Entry'!J$6)), 0)</f>
        <v>4.2507970244420825</v>
      </c>
    </row>
    <row r="9" spans="2:11" ht="15" customHeight="1" x14ac:dyDescent="0.25">
      <c r="B9" s="16" t="s">
        <v>13</v>
      </c>
      <c r="C9" s="1">
        <f>IF((C$3&gt;0),(1000*('Data Entry'!B12/'Data Entry'!B$6)), 0)</f>
        <v>6.8924773532886965</v>
      </c>
      <c r="D9" s="1">
        <f>IF((D$3&gt;0),(1000*('Data Entry'!C12/'Data Entry'!C$6)), 0)</f>
        <v>3.6258158085569256</v>
      </c>
      <c r="E9" s="1">
        <f>IF((E$3&gt;0),(1000*('Data Entry'!D12/'Data Entry'!D$6)), 0)</f>
        <v>10</v>
      </c>
      <c r="F9" s="1">
        <f>IF((F$3&gt;0),(1000*('Data Entry'!E12/'Data Entry'!E$6)), 0)</f>
        <v>0</v>
      </c>
      <c r="G9" s="1">
        <f>IF((G$3&gt;0),(1000*('Data Entry'!F12/'Data Entry'!F$6)), 0)</f>
        <v>0</v>
      </c>
      <c r="H9" s="1">
        <f>IF((H$3&gt;0),(1000*('Data Entry'!G12/'Data Entry'!G$6)), 0)</f>
        <v>0</v>
      </c>
      <c r="I9" s="1">
        <f>IF((I$3&gt;0),(1000*('Data Entry'!H12/'Data Entry'!H$6)), 0)</f>
        <v>6.4935064935064943</v>
      </c>
      <c r="J9" s="1">
        <f>IF((J$3&gt;0),(1000*('Data Entry'!I12/'Data Entry'!I$6)), 0)</f>
        <v>0</v>
      </c>
      <c r="K9" s="1">
        <f>IF((K$3&gt;0),(1000*('Data Entry'!J12/'Data Entry'!J$6)), 0)</f>
        <v>4.2507970244420825</v>
      </c>
    </row>
    <row r="10" spans="2:11" ht="15" customHeight="1" x14ac:dyDescent="0.25">
      <c r="B10" s="16" t="s">
        <v>14</v>
      </c>
      <c r="C10" s="1">
        <f>IF((C$3&gt;0),(1000*('Data Entry'!B13/'Data Entry'!B$6)), 0)</f>
        <v>4.7262701851122486</v>
      </c>
      <c r="D10" s="1">
        <f>IF((D$3&gt;0),(1000*('Data Entry'!C13/'Data Entry'!C$6)), 0)</f>
        <v>2.1754894851341553</v>
      </c>
      <c r="E10" s="1">
        <f>IF((E$3&gt;0),(1000*('Data Entry'!D13/'Data Entry'!D$6)), 0)</f>
        <v>5</v>
      </c>
      <c r="F10" s="1">
        <f>IF((F$3&gt;0),(1000*('Data Entry'!E13/'Data Entry'!E$6)), 0)</f>
        <v>0</v>
      </c>
      <c r="G10" s="1">
        <f>IF((G$3&gt;0),(1000*('Data Entry'!F13/'Data Entry'!F$6)), 0)</f>
        <v>0</v>
      </c>
      <c r="H10" s="1">
        <f>IF((H$3&gt;0),(1000*('Data Entry'!G13/'Data Entry'!G$6)), 0)</f>
        <v>0</v>
      </c>
      <c r="I10" s="1">
        <f>IF((I$3&gt;0),(1000*('Data Entry'!H13/'Data Entry'!H$6)), 0)</f>
        <v>6.4935064935064943</v>
      </c>
      <c r="J10" s="1">
        <f>IF((J$3&gt;0),(1000*('Data Entry'!I13/'Data Entry'!I$6)), 0)</f>
        <v>0</v>
      </c>
      <c r="K10" s="1">
        <f>IF((K$3&gt;0),(1000*('Data Entry'!J13/'Data Entry'!J$6)), 0)</f>
        <v>3.1880977683315619</v>
      </c>
    </row>
    <row r="11" spans="2:11" ht="25.5" customHeight="1" x14ac:dyDescent="0.25">
      <c r="B11" s="16" t="s">
        <v>15</v>
      </c>
      <c r="C11" s="1">
        <f>IF((C$3&gt;0),(1000*('Data Entry'!B14/'Data Entry'!B$6)), 0)</f>
        <v>2.1662071681764474</v>
      </c>
      <c r="D11" s="1">
        <f>IF((D$3&gt;0),(1000*('Data Entry'!C14/'Data Entry'!C$6)), 0)</f>
        <v>1.2086052695189751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3.2467532467532472</v>
      </c>
      <c r="J11" s="1">
        <f>IF((J$3&gt;0),(1000*('Data Entry'!I14/'Data Entry'!I$6)), 0)</f>
        <v>0</v>
      </c>
      <c r="K11" s="1">
        <f>IF((K$3&gt;0),(1000*('Data Entry'!J14/'Data Entry'!J$6)), 0)</f>
        <v>1.0626992561105206</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Isabella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2.9550000000000001</v>
      </c>
      <c r="E19" s="72" t="str">
        <f t="shared" si="1"/>
        <v>--</v>
      </c>
      <c r="F19" s="72" t="str">
        <f t="shared" si="1"/>
        <v>--</v>
      </c>
      <c r="G19" s="72" t="str">
        <f t="shared" si="1"/>
        <v>--</v>
      </c>
      <c r="H19" s="72">
        <f t="shared" si="1"/>
        <v>5.7564935064935057</v>
      </c>
      <c r="I19" s="72" t="str">
        <f t="shared" si="1"/>
        <v>--</v>
      </c>
      <c r="J19" s="73">
        <f t="shared" si="1"/>
        <v>2.5122210414452706</v>
      </c>
    </row>
    <row r="20" spans="2:10" ht="15" customHeight="1" x14ac:dyDescent="0.25">
      <c r="B20" s="71" t="s">
        <v>9</v>
      </c>
      <c r="C20" s="72">
        <f t="shared" ref="C20:J27" si="2">IF(AND(($D5&gt;0),(D5&gt;0)), (D5/$D5),"--")</f>
        <v>1</v>
      </c>
      <c r="D20" s="72">
        <f t="shared" si="2"/>
        <v>5.5690384615384616</v>
      </c>
      <c r="E20" s="72">
        <f t="shared" si="2"/>
        <v>0.46936691626957117</v>
      </c>
      <c r="F20" s="72" t="str">
        <f t="shared" si="2"/>
        <v>--</v>
      </c>
      <c r="G20" s="72" t="str">
        <f t="shared" si="2"/>
        <v>--</v>
      </c>
      <c r="H20" s="72">
        <f t="shared" si="2"/>
        <v>2.5830419580419579</v>
      </c>
      <c r="I20" s="72" t="str">
        <f t="shared" si="2"/>
        <v>--</v>
      </c>
      <c r="J20" s="73">
        <f t="shared" si="2"/>
        <v>2.198193411264612</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f t="shared" si="2"/>
        <v>3.4474999999999998</v>
      </c>
      <c r="E22" s="72" t="str">
        <f t="shared" si="2"/>
        <v>--</v>
      </c>
      <c r="F22" s="72" t="str">
        <f t="shared" si="2"/>
        <v>--</v>
      </c>
      <c r="G22" s="72" t="str">
        <f t="shared" si="2"/>
        <v>--</v>
      </c>
      <c r="H22" s="72">
        <f t="shared" si="2"/>
        <v>2.2386363636363638</v>
      </c>
      <c r="I22" s="72" t="str">
        <f t="shared" si="2"/>
        <v>--</v>
      </c>
      <c r="J22" s="73">
        <f t="shared" si="2"/>
        <v>1.4654622741764078</v>
      </c>
    </row>
    <row r="23" spans="2:10" ht="15" customHeight="1" x14ac:dyDescent="0.25">
      <c r="B23" s="71" t="s">
        <v>95</v>
      </c>
      <c r="C23" s="72">
        <f t="shared" si="2"/>
        <v>1</v>
      </c>
      <c r="D23" s="72">
        <f t="shared" si="2"/>
        <v>2.2983333333333333</v>
      </c>
      <c r="E23" s="72" t="str">
        <f t="shared" si="2"/>
        <v>--</v>
      </c>
      <c r="F23" s="72" t="str">
        <f t="shared" si="2"/>
        <v>--</v>
      </c>
      <c r="G23" s="72" t="str">
        <f t="shared" si="2"/>
        <v>--</v>
      </c>
      <c r="H23" s="72">
        <f t="shared" si="2"/>
        <v>4.4772727272727266</v>
      </c>
      <c r="I23" s="72" t="str">
        <f t="shared" si="2"/>
        <v>--</v>
      </c>
      <c r="J23" s="73">
        <f t="shared" si="2"/>
        <v>1.9539496989018772</v>
      </c>
    </row>
    <row r="24" spans="2:10" ht="15" customHeight="1" x14ac:dyDescent="0.25">
      <c r="B24" s="71" t="s">
        <v>13</v>
      </c>
      <c r="C24" s="72">
        <f t="shared" si="2"/>
        <v>1</v>
      </c>
      <c r="D24" s="72">
        <f t="shared" si="2"/>
        <v>2.7579999999999996</v>
      </c>
      <c r="E24" s="72" t="str">
        <f t="shared" si="2"/>
        <v>--</v>
      </c>
      <c r="F24" s="72" t="str">
        <f t="shared" si="2"/>
        <v>--</v>
      </c>
      <c r="G24" s="72" t="str">
        <f t="shared" si="2"/>
        <v>--</v>
      </c>
      <c r="H24" s="72">
        <f t="shared" si="2"/>
        <v>1.790909090909091</v>
      </c>
      <c r="I24" s="72" t="str">
        <f t="shared" si="2"/>
        <v>--</v>
      </c>
      <c r="J24" s="73">
        <f t="shared" si="2"/>
        <v>1.1723698193411263</v>
      </c>
    </row>
    <row r="25" spans="2:10" ht="15" customHeight="1" x14ac:dyDescent="0.25">
      <c r="B25" s="71" t="s">
        <v>14</v>
      </c>
      <c r="C25" s="72">
        <f t="shared" si="2"/>
        <v>1</v>
      </c>
      <c r="D25" s="72">
        <f t="shared" si="2"/>
        <v>2.2983333333333333</v>
      </c>
      <c r="E25" s="72" t="str">
        <f t="shared" si="2"/>
        <v>--</v>
      </c>
      <c r="F25" s="72" t="str">
        <f t="shared" si="2"/>
        <v>--</v>
      </c>
      <c r="G25" s="72" t="str">
        <f t="shared" si="2"/>
        <v>--</v>
      </c>
      <c r="H25" s="72">
        <f t="shared" si="2"/>
        <v>2.9848484848484849</v>
      </c>
      <c r="I25" s="72" t="str">
        <f t="shared" si="2"/>
        <v>--</v>
      </c>
      <c r="J25" s="73">
        <f t="shared" si="2"/>
        <v>1.4654622741764078</v>
      </c>
    </row>
    <row r="26" spans="2:10" ht="25.5" customHeight="1" x14ac:dyDescent="0.25">
      <c r="B26" s="71" t="s">
        <v>15</v>
      </c>
      <c r="C26" s="72">
        <f t="shared" si="2"/>
        <v>1</v>
      </c>
      <c r="D26" s="72" t="str">
        <f t="shared" si="2"/>
        <v>--</v>
      </c>
      <c r="E26" s="72" t="str">
        <f t="shared" si="2"/>
        <v>--</v>
      </c>
      <c r="F26" s="72" t="str">
        <f t="shared" si="2"/>
        <v>--</v>
      </c>
      <c r="G26" s="72" t="str">
        <f t="shared" si="2"/>
        <v>--</v>
      </c>
      <c r="H26" s="72">
        <f t="shared" si="2"/>
        <v>2.686363636363637</v>
      </c>
      <c r="I26" s="72" t="str">
        <f t="shared" si="2"/>
        <v>--</v>
      </c>
      <c r="J26" s="73">
        <f t="shared" si="2"/>
        <v>0.87927736450584482</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Isabella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4137</v>
      </c>
      <c r="D7" s="105">
        <f>'Data Entry'!D6</f>
        <v>200</v>
      </c>
      <c r="E7" s="106"/>
      <c r="F7" s="107">
        <f>'Data Entry'!E6</f>
        <v>339</v>
      </c>
      <c r="G7" s="106"/>
      <c r="H7" s="107">
        <f>'Data Entry'!F6</f>
        <v>94</v>
      </c>
      <c r="I7" s="106"/>
      <c r="J7" s="107">
        <f>'Data Entry'!G6</f>
        <v>0</v>
      </c>
      <c r="K7" s="106"/>
      <c r="L7" s="107">
        <f>'Data Entry'!H6</f>
        <v>308</v>
      </c>
      <c r="M7" s="106"/>
      <c r="N7" s="107">
        <f>'Data Entry'!I6</f>
        <v>0</v>
      </c>
      <c r="O7" s="106"/>
      <c r="P7" s="107">
        <f>'Data Entry'!J6</f>
        <v>941</v>
      </c>
      <c r="Q7" s="108"/>
    </row>
    <row r="8" spans="2:26" s="1" customFormat="1" ht="15" customHeight="1" x14ac:dyDescent="0.3">
      <c r="B8" s="149" t="s">
        <v>8</v>
      </c>
      <c r="C8" s="104">
        <f>'Data Entry'!C7</f>
        <v>14</v>
      </c>
      <c r="D8" s="105">
        <f>'Data Entry'!D7</f>
        <v>2</v>
      </c>
      <c r="E8" s="106" t="str">
        <f>'Black or African-American'!$G7</f>
        <v>**</v>
      </c>
      <c r="F8" s="107">
        <f>'Data Entry'!E7</f>
        <v>0</v>
      </c>
      <c r="G8" s="106" t="str">
        <f>Hispanic!G7</f>
        <v>**</v>
      </c>
      <c r="H8" s="107">
        <f>'Data Entry'!F7</f>
        <v>0</v>
      </c>
      <c r="I8" s="106" t="str">
        <f>Asian!G7</f>
        <v>**</v>
      </c>
      <c r="J8" s="107">
        <f>'Data Entry'!G7</f>
        <v>0</v>
      </c>
      <c r="K8" s="106" t="str">
        <f>Hawaiian!G7</f>
        <v>*</v>
      </c>
      <c r="L8" s="107">
        <f>'Data Entry'!H7</f>
        <v>6</v>
      </c>
      <c r="M8" s="106">
        <f>'Am Indian'!G7</f>
        <v>5.7564935064935057</v>
      </c>
      <c r="N8" s="107">
        <f>'Data Entry'!I7</f>
        <v>0</v>
      </c>
      <c r="O8" s="106" t="str">
        <f>'Other - Mixed'!G7</f>
        <v>*</v>
      </c>
      <c r="P8" s="107">
        <f>'Data Entry'!J7</f>
        <v>8</v>
      </c>
      <c r="Q8" s="108">
        <f>'All Minorities'!G7</f>
        <v>2.512221041445271</v>
      </c>
      <c r="R8"/>
      <c r="T8" s="1">
        <f>'Black or African-American'!L7</f>
        <v>40</v>
      </c>
      <c r="U8" s="1">
        <f>Hispanic!L7</f>
        <v>40</v>
      </c>
      <c r="V8" s="1">
        <f>Asian!L7</f>
        <v>40</v>
      </c>
      <c r="W8" s="1" t="e">
        <f>Hawaiian!L7</f>
        <v>#VALUE!</v>
      </c>
      <c r="X8" s="1">
        <f>'Am Indian'!L7</f>
        <v>1</v>
      </c>
      <c r="Y8" s="1" t="e">
        <f>'Other - Mixed'!L7</f>
        <v>#VALUE!</v>
      </c>
      <c r="Z8" s="1">
        <f>'All Minorities'!L7</f>
        <v>1</v>
      </c>
    </row>
    <row r="9" spans="2:26" s="1" customFormat="1" ht="15" customHeight="1" x14ac:dyDescent="0.3">
      <c r="B9" s="149" t="s">
        <v>134</v>
      </c>
      <c r="C9" s="104">
        <f>'Data Entry'!C8</f>
        <v>26</v>
      </c>
      <c r="D9" s="109">
        <f>'Data Entry'!D8</f>
        <v>7</v>
      </c>
      <c r="E9" s="110" t="str">
        <f>'Black or African-American'!$G8</f>
        <v>**</v>
      </c>
      <c r="F9" s="111">
        <f>'Data Entry'!E8</f>
        <v>1</v>
      </c>
      <c r="G9" s="110" t="str">
        <f>Hispanic!G8</f>
        <v>**</v>
      </c>
      <c r="H9" s="111">
        <f>'Data Entry'!F8</f>
        <v>0</v>
      </c>
      <c r="I9" s="110" t="str">
        <f>Asian!G8</f>
        <v>**</v>
      </c>
      <c r="J9" s="111">
        <f>'Data Entry'!G8</f>
        <v>0</v>
      </c>
      <c r="K9" s="110" t="str">
        <f>Hawaiian!G8</f>
        <v>*</v>
      </c>
      <c r="L9" s="111">
        <f>'Data Entry'!H8</f>
        <v>5</v>
      </c>
      <c r="M9" s="110" t="str">
        <f>'Am Indian'!G8</f>
        <v>**</v>
      </c>
      <c r="N9" s="111">
        <f>'Data Entry'!I8</f>
        <v>0</v>
      </c>
      <c r="O9" s="110" t="str">
        <f>'Other - Mixed'!G8</f>
        <v>*</v>
      </c>
      <c r="P9" s="111">
        <f>'Data Entry'!J8</f>
        <v>13</v>
      </c>
      <c r="Q9" s="112" t="str">
        <f>'All Minorities'!G8</f>
        <v>**</v>
      </c>
      <c r="R9"/>
      <c r="T9" s="1">
        <f>'Black or African-American'!L8</f>
        <v>40</v>
      </c>
      <c r="U9" s="1">
        <f>Hispanic!L8</f>
        <v>20</v>
      </c>
      <c r="V9" s="1">
        <f>Asian!L8</f>
        <v>40</v>
      </c>
      <c r="W9" s="1">
        <f>Hawaiian!L8</f>
        <v>139</v>
      </c>
      <c r="X9" s="1">
        <f>'Am Indian'!L8</f>
        <v>20</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6</v>
      </c>
      <c r="D11" s="109">
        <f>'Data Entry'!D10</f>
        <v>1</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1</v>
      </c>
      <c r="M11" s="110" t="str">
        <f>'Am Indian'!G10</f>
        <v>**</v>
      </c>
      <c r="N11" s="111">
        <f>'Data Entry'!I10</f>
        <v>0</v>
      </c>
      <c r="O11" s="110" t="str">
        <f>'Other - Mixed'!G10</f>
        <v>*</v>
      </c>
      <c r="P11" s="111">
        <f>'Data Entry'!J10</f>
        <v>2</v>
      </c>
      <c r="Q11" s="112" t="str">
        <f>'All Minorities'!G10</f>
        <v>**</v>
      </c>
      <c r="R11"/>
      <c r="T11" s="1">
        <f>'Black or African-American'!L10</f>
        <v>40</v>
      </c>
      <c r="U11" s="1">
        <f>Hispanic!L10</f>
        <v>40</v>
      </c>
      <c r="V11" s="1" t="e">
        <f>Asian!L10</f>
        <v>#VALUE!</v>
      </c>
      <c r="W11" s="1" t="e">
        <f>Hawaiian!L10</f>
        <v>#VALUE!</v>
      </c>
      <c r="X11" s="1">
        <f>'Am Indian'!L10</f>
        <v>40</v>
      </c>
      <c r="Y11" s="1" t="e">
        <f>'Other - Mixed'!L10</f>
        <v>#VALUE!</v>
      </c>
      <c r="Z11" s="1">
        <f>'All Minorities'!L10</f>
        <v>40</v>
      </c>
    </row>
    <row r="12" spans="2:26" s="1" customFormat="1" ht="15" customHeight="1" x14ac:dyDescent="0.3">
      <c r="B12" s="149" t="s">
        <v>95</v>
      </c>
      <c r="C12" s="104">
        <f>'Data Entry'!C11</f>
        <v>9</v>
      </c>
      <c r="D12" s="113">
        <f>'Data Entry'!D11</f>
        <v>1</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3</v>
      </c>
      <c r="M12" s="114" t="str">
        <f>'Am Indian'!G11</f>
        <v>**</v>
      </c>
      <c r="N12" s="115">
        <f>'Data Entry'!I11</f>
        <v>0</v>
      </c>
      <c r="O12" s="114" t="str">
        <f>'Other - Mixed'!G11</f>
        <v>*</v>
      </c>
      <c r="P12" s="115">
        <f>'Data Entry'!J11</f>
        <v>4</v>
      </c>
      <c r="Q12" s="116" t="str">
        <f>'All Minorities'!G11</f>
        <v>**</v>
      </c>
      <c r="R12"/>
      <c r="T12" s="1">
        <f>'Black or African-American'!L11</f>
        <v>40</v>
      </c>
      <c r="U12" s="1">
        <f>Hispanic!L11</f>
        <v>40</v>
      </c>
      <c r="V12" s="1" t="e">
        <f>Asian!L11</f>
        <v>#VALUE!</v>
      </c>
      <c r="W12" s="1" t="e">
        <f>Hawaiian!L11</f>
        <v>#VALUE!</v>
      </c>
      <c r="X12" s="1">
        <f>'Am Indian'!L11</f>
        <v>40</v>
      </c>
      <c r="Y12" s="1" t="e">
        <f>'Other - Mixed'!L11</f>
        <v>#VALUE!</v>
      </c>
      <c r="Z12" s="1">
        <f>'All Minorities'!L11</f>
        <v>40</v>
      </c>
    </row>
    <row r="13" spans="2:26" s="1" customFormat="1" ht="15" customHeight="1" x14ac:dyDescent="0.3">
      <c r="B13" s="149" t="s">
        <v>13</v>
      </c>
      <c r="C13" s="104">
        <f>'Data Entry'!C12</f>
        <v>15</v>
      </c>
      <c r="D13" s="109">
        <f>'Data Entry'!D12</f>
        <v>2</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2</v>
      </c>
      <c r="M13" s="110" t="str">
        <f>'Am Indian'!G12</f>
        <v>**</v>
      </c>
      <c r="N13" s="111">
        <f>'Data Entry'!I12</f>
        <v>0</v>
      </c>
      <c r="O13" s="110" t="str">
        <f>'Other - Mixed'!G12</f>
        <v>*</v>
      </c>
      <c r="P13" s="111">
        <f>'Data Entry'!J12</f>
        <v>4</v>
      </c>
      <c r="Q13" s="112" t="str">
        <f>'All Minorities'!G12</f>
        <v>**</v>
      </c>
      <c r="R13"/>
      <c r="T13" s="1">
        <f>'Black or African-American'!L12</f>
        <v>40</v>
      </c>
      <c r="U13" s="1" t="e">
        <f>Hispanic!L12</f>
        <v>#VALUE!</v>
      </c>
      <c r="V13" s="1" t="e">
        <f>Asian!L12</f>
        <v>#VALUE!</v>
      </c>
      <c r="W13" s="1" t="e">
        <f>Hawaiian!L12</f>
        <v>#VALUE!</v>
      </c>
      <c r="X13" s="1">
        <f>'Am Indian'!L12</f>
        <v>40</v>
      </c>
      <c r="Y13" s="1" t="e">
        <f>'Other - Mixed'!L12</f>
        <v>#VALUE!</v>
      </c>
      <c r="Z13" s="1">
        <f>'All Minorities'!L12</f>
        <v>40</v>
      </c>
    </row>
    <row r="14" spans="2:26" s="1" customFormat="1" ht="15" customHeight="1" x14ac:dyDescent="0.3">
      <c r="B14" s="149" t="s">
        <v>133</v>
      </c>
      <c r="C14" s="104">
        <f>'Data Entry'!C13</f>
        <v>9</v>
      </c>
      <c r="D14" s="113">
        <f>'Data Entry'!D13</f>
        <v>1</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2</v>
      </c>
      <c r="M14" s="114" t="str">
        <f>'Am Indian'!G13</f>
        <v>**</v>
      </c>
      <c r="N14" s="115">
        <f>'Data Entry'!I13</f>
        <v>0</v>
      </c>
      <c r="O14" s="114" t="str">
        <f>'Other - Mixed'!G13</f>
        <v>*</v>
      </c>
      <c r="P14" s="115">
        <f>'Data Entry'!J13</f>
        <v>3</v>
      </c>
      <c r="Q14" s="116" t="str">
        <f>'All Minorities'!G13</f>
        <v>**</v>
      </c>
      <c r="R14"/>
      <c r="T14" s="1">
        <f>'Black or African-American'!L13</f>
        <v>40</v>
      </c>
      <c r="U14" s="1" t="e">
        <f>Hispanic!L13</f>
        <v>#VALUE!</v>
      </c>
      <c r="V14" s="1" t="e">
        <f>Asian!L13</f>
        <v>#VALUE!</v>
      </c>
      <c r="W14" s="1" t="e">
        <f>Hawaiian!L13</f>
        <v>#VALUE!</v>
      </c>
      <c r="X14" s="1">
        <f>'Am Indian'!L13</f>
        <v>40</v>
      </c>
      <c r="Y14" s="1" t="e">
        <f>'Other - Mixed'!L13</f>
        <v>#VALUE!</v>
      </c>
      <c r="Z14" s="1">
        <f>'All Minorities'!L13</f>
        <v>40</v>
      </c>
    </row>
    <row r="15" spans="2:26" s="1" customFormat="1" ht="33" x14ac:dyDescent="0.3">
      <c r="B15" s="151" t="s">
        <v>123</v>
      </c>
      <c r="C15" s="104">
        <f>'Data Entry'!C14</f>
        <v>5</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1</v>
      </c>
      <c r="M15" s="110" t="str">
        <f>'Am Indian'!G14</f>
        <v>**</v>
      </c>
      <c r="N15" s="111">
        <f>'Data Entry'!I14</f>
        <v>0</v>
      </c>
      <c r="O15" s="110" t="str">
        <f>'Other - Mixed'!G14</f>
        <v>*</v>
      </c>
      <c r="P15" s="111">
        <f>'Data Entry'!J14</f>
        <v>1</v>
      </c>
      <c r="Q15" s="112" t="str">
        <f>'All Minorities'!G14</f>
        <v>**</v>
      </c>
      <c r="R15"/>
      <c r="T15" s="1">
        <f>'Black or African-American'!L14</f>
        <v>40</v>
      </c>
      <c r="U15" s="1" t="e">
        <f>Hispanic!L14</f>
        <v>#VALUE!</v>
      </c>
      <c r="V15" s="1" t="e">
        <f>Asian!L14</f>
        <v>#VALUE!</v>
      </c>
      <c r="W15" s="1" t="e">
        <f>Hawaiian!L14</f>
        <v>#VALUE!</v>
      </c>
      <c r="X15" s="1">
        <f>'Am Indian'!L14</f>
        <v>40</v>
      </c>
      <c r="Y15" s="1" t="e">
        <f>'Other - Mixed'!L14</f>
        <v>#VALUE!</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Isabella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Isabella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4.396386822529224</v>
      </c>
    </row>
    <row r="8" spans="1:12" ht="25.5" customHeight="1" x14ac:dyDescent="0.2">
      <c r="A8" s="158" t="str">
        <f>CONCATENATE("Confinement, total N=", 'Data Entry'!B14)</f>
        <v>Confinement, total N=11</v>
      </c>
      <c r="B8" s="157">
        <f>'Data Entry'!D14/'Data Entry'!B14</f>
        <v>0</v>
      </c>
      <c r="C8" s="157">
        <f>'Data Entry'!E14/'Data Entry'!B14</f>
        <v>0</v>
      </c>
      <c r="D8" s="157">
        <f>'Data Entry'!F14/'Data Entry'!B14</f>
        <v>0</v>
      </c>
      <c r="E8" s="157">
        <f>'Data Entry'!G14/'Data Entry'!B14</f>
        <v>0</v>
      </c>
      <c r="F8" s="157">
        <f>'Data Entry'!H14/'Data Entry'!B14</f>
        <v>9.0909090909090912E-2</v>
      </c>
      <c r="G8" s="157">
        <f>'Data Entry'!I14/'Data Entry'!B14</f>
        <v>0</v>
      </c>
      <c r="H8" s="157">
        <f>SUM(D8:G8)/'Data Entry'!B14</f>
        <v>8.2644628099173556E-3</v>
      </c>
      <c r="I8" s="157">
        <f>'Data Entry'!C14/'Data Entry'!B14</f>
        <v>0.45454545454545453</v>
      </c>
      <c r="K8" s="97" t="str">
        <f>A8</f>
        <v>Confinement, total N=11</v>
      </c>
      <c r="L8">
        <f>I14/(SUM(B14:G14))</f>
        <v>4.396386822529224</v>
      </c>
    </row>
    <row r="9" spans="1:12" x14ac:dyDescent="0.2">
      <c r="A9" s="132" t="str">
        <f>CONCATENATE("Delinquent Findings, total N=", 'Data Entry'!B12)</f>
        <v>Delinquent Findings, total N=35</v>
      </c>
      <c r="B9" s="157">
        <f>'Data Entry'!D12/'Data Entry'!B12</f>
        <v>5.7142857142857141E-2</v>
      </c>
      <c r="C9" s="157">
        <f>'Data Entry'!E12/'Data Entry'!B12</f>
        <v>0</v>
      </c>
      <c r="D9" s="157">
        <f>'Data Entry'!F12/'Data Entry'!B12</f>
        <v>0</v>
      </c>
      <c r="E9" s="157">
        <f>'Data Entry'!G12/'Data Entry'!B12</f>
        <v>0</v>
      </c>
      <c r="F9" s="157">
        <f>'Data Entry'!H12/'Data Entry'!B12</f>
        <v>5.7142857142857141E-2</v>
      </c>
      <c r="G9" s="157">
        <f>'Data Entry'!I12/'Data Entry'!B12</f>
        <v>0</v>
      </c>
      <c r="H9" s="157">
        <f>SUM(D9:G9)/'Data Entry'!B12</f>
        <v>1.6326530612244896E-3</v>
      </c>
      <c r="I9" s="157">
        <f>'Data Entry'!C12/'Data Entry'!B12</f>
        <v>0.42857142857142855</v>
      </c>
      <c r="K9" s="97" t="str">
        <f t="shared" si="0"/>
        <v>Delinquent Findings, total N=35</v>
      </c>
      <c r="L9">
        <f>I14/(SUM(B14:G14))</f>
        <v>4.396386822529224</v>
      </c>
    </row>
    <row r="10" spans="1:12" x14ac:dyDescent="0.2">
      <c r="A10" s="132" t="str">
        <f>CONCATENATE("Petitions, total N=", 'Data Entry'!B11)</f>
        <v>Petitions, total N=24</v>
      </c>
      <c r="B10" s="157">
        <f>'Data Entry'!D11/'Data Entry'!B11</f>
        <v>4.1666666666666664E-2</v>
      </c>
      <c r="C10" s="157">
        <f>'Data Entry'!E11/'Data Entry'!B11</f>
        <v>0</v>
      </c>
      <c r="D10" s="157">
        <f>'Data Entry'!F11/'Data Entry'!B11</f>
        <v>0</v>
      </c>
      <c r="E10" s="157">
        <f>'Data Entry'!G11/'Data Entry'!B11</f>
        <v>0</v>
      </c>
      <c r="F10" s="157">
        <f>'Data Entry'!H11/'Data Entry'!B11</f>
        <v>0.125</v>
      </c>
      <c r="G10" s="157">
        <f>'Data Entry'!I11/'Data Entry'!B11</f>
        <v>0</v>
      </c>
      <c r="H10" s="157">
        <f>SUM(D10:G10)/'Data Entry'!B11</f>
        <v>5.208333333333333E-3</v>
      </c>
      <c r="I10" s="157">
        <f>'Data Entry'!C11/'Data Entry'!B11</f>
        <v>0.375</v>
      </c>
      <c r="K10" s="97" t="str">
        <f t="shared" si="0"/>
        <v>Petitions, total N=24</v>
      </c>
      <c r="L10">
        <f>I14/(SUM(B14:G14))</f>
        <v>4.396386822529224</v>
      </c>
    </row>
    <row r="11" spans="1:12" x14ac:dyDescent="0.2">
      <c r="A11" s="132" t="str">
        <f>CONCATENATE("Detentions, total N=", 'Data Entry'!B10)</f>
        <v>Detentions, total N=14</v>
      </c>
      <c r="B11" s="157">
        <f>'Data Entry'!D10/'Data Entry'!B10</f>
        <v>7.1428571428571425E-2</v>
      </c>
      <c r="C11" s="157">
        <f>'Data Entry'!E10/'Data Entry'!B10</f>
        <v>0</v>
      </c>
      <c r="D11" s="157">
        <f>'Data Entry'!F10/'Data Entry'!B10</f>
        <v>0</v>
      </c>
      <c r="E11" s="157">
        <f>'Data Entry'!G10/'Data Entry'!B10</f>
        <v>0</v>
      </c>
      <c r="F11" s="157">
        <f>'Data Entry'!H10/'Data Entry'!B10</f>
        <v>7.1428571428571425E-2</v>
      </c>
      <c r="G11" s="157">
        <f>'Data Entry'!I10/'Data Entry'!B10</f>
        <v>0</v>
      </c>
      <c r="H11" s="157">
        <f>SUM(D11:G11)/'Data Entry'!B10</f>
        <v>5.1020408163265302E-3</v>
      </c>
      <c r="I11" s="157">
        <f>'Data Entry'!C10/'Data Entry'!B10</f>
        <v>0.42857142857142855</v>
      </c>
      <c r="K11" s="97" t="str">
        <f t="shared" si="0"/>
        <v>Detentions, total N=14</v>
      </c>
      <c r="L11">
        <f>I14/(SUM(B14:G14))</f>
        <v>4.396386822529224</v>
      </c>
    </row>
    <row r="12" spans="1:12" x14ac:dyDescent="0.2">
      <c r="A12" s="132" t="str">
        <f>CONCATENATE("Referrals, total N=", 'Data Entry'!B8)</f>
        <v>Referrals, total N=72</v>
      </c>
      <c r="B12" s="157">
        <f>'Data Entry'!D8/'Data Entry'!B8</f>
        <v>9.7222222222222224E-2</v>
      </c>
      <c r="C12" s="157">
        <f>'Data Entry'!E8/'Data Entry'!B8</f>
        <v>1.3888888888888888E-2</v>
      </c>
      <c r="D12" s="157">
        <f>'Data Entry'!F8/'Data Entry'!B8</f>
        <v>0</v>
      </c>
      <c r="E12" s="157">
        <f>'Data Entry'!G8/'Data Entry'!B8</f>
        <v>0</v>
      </c>
      <c r="F12" s="157">
        <f>'Data Entry'!H8/'Data Entry'!B8</f>
        <v>6.9444444444444448E-2</v>
      </c>
      <c r="G12" s="157">
        <f>'Data Entry'!I8/'Data Entry'!B8</f>
        <v>0</v>
      </c>
      <c r="H12" s="157">
        <f>SUM(D12:G12)/'Data Entry'!B8</f>
        <v>9.6450617283950623E-4</v>
      </c>
      <c r="I12" s="157">
        <f>'Data Entry'!C8/'Data Entry'!B8</f>
        <v>0.3611111111111111</v>
      </c>
      <c r="K12" s="97" t="str">
        <f t="shared" si="0"/>
        <v>Referrals, total N=72</v>
      </c>
      <c r="L12">
        <f>I14/(SUM(B14:G14))</f>
        <v>4.396386822529224</v>
      </c>
    </row>
    <row r="13" spans="1:12" x14ac:dyDescent="0.2">
      <c r="A13" s="132" t="str">
        <f>CONCATENATE("Arrests, total N=", 'Data Entry'!B7)</f>
        <v>Arrests, total N=29</v>
      </c>
      <c r="B13" s="157">
        <f>'Data Entry'!D7/'Data Entry'!B7</f>
        <v>6.8965517241379309E-2</v>
      </c>
      <c r="C13" s="157">
        <f>'Data Entry'!E7/'Data Entry'!B7</f>
        <v>0</v>
      </c>
      <c r="D13" s="157">
        <f>'Data Entry'!F7/'Data Entry'!B7</f>
        <v>0</v>
      </c>
      <c r="E13" s="157">
        <f>'Data Entry'!G7/'Data Entry'!B7</f>
        <v>0</v>
      </c>
      <c r="F13" s="157">
        <f>'Data Entry'!H7/'Data Entry'!B7</f>
        <v>0.20689655172413793</v>
      </c>
      <c r="G13" s="157">
        <f>'Data Entry'!I7/'Data Entry'!B7</f>
        <v>0</v>
      </c>
      <c r="H13" s="157">
        <f>SUM(D13:G13)/'Data Entry'!B7</f>
        <v>7.1343638525564806E-3</v>
      </c>
      <c r="I13" s="157">
        <f>'Data Entry'!C7/'Data Entry'!B7</f>
        <v>0.48275862068965519</v>
      </c>
      <c r="K13" s="97" t="str">
        <f t="shared" si="0"/>
        <v>Arrests, total N=29</v>
      </c>
      <c r="L13">
        <f>I14/(SUM(B14:G14))</f>
        <v>4.396386822529224</v>
      </c>
    </row>
    <row r="14" spans="1:12" x14ac:dyDescent="0.2">
      <c r="A14" s="132" t="str">
        <f>CONCATENATE("Population, total N=", 'Data Entry'!B6)</f>
        <v>Population, total N=5078</v>
      </c>
      <c r="B14" s="157">
        <f>'Data Entry'!D6/'Data Entry'!B6</f>
        <v>3.9385584875935409E-2</v>
      </c>
      <c r="C14" s="157">
        <f>'Data Entry'!E6/'Data Entry'!B6</f>
        <v>6.6758566364710517E-2</v>
      </c>
      <c r="D14" s="157">
        <f>'Data Entry'!F6/'Data Entry'!B6</f>
        <v>1.8511224891689642E-2</v>
      </c>
      <c r="E14" s="157">
        <f>'Data Entry'!G6/'Data Entry'!B6</f>
        <v>0</v>
      </c>
      <c r="F14" s="157">
        <f>'Data Entry'!H6/'Data Entry'!B6</f>
        <v>6.0653800708940525E-2</v>
      </c>
      <c r="G14" s="157">
        <f>'Data Entry'!I6/'Data Entry'!B6</f>
        <v>0</v>
      </c>
      <c r="H14" s="157">
        <f>SUM(D14:G14)/'Data Entry'!B6</f>
        <v>1.5589804174996094E-5</v>
      </c>
      <c r="I14" s="157">
        <f>'Data Entry'!C6/'Data Entry'!B6</f>
        <v>0.81469082315872388</v>
      </c>
      <c r="K14" s="97" t="str">
        <f t="shared" si="0"/>
        <v>Population, total N=5078</v>
      </c>
      <c r="L14">
        <f>I14/(SUM(B14:G14))</f>
        <v>4.396386822529224</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Isabella</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4137</v>
      </c>
      <c r="D7" s="105">
        <f>'Data Entry'!D6</f>
        <v>200</v>
      </c>
      <c r="E7" s="106"/>
      <c r="F7" s="107">
        <f>'Data Entry'!E6</f>
        <v>339</v>
      </c>
      <c r="G7" s="106"/>
      <c r="H7" s="107">
        <f>'Data Entry'!F6</f>
        <v>94</v>
      </c>
      <c r="I7" s="106"/>
      <c r="J7" s="107">
        <f>'Data Entry'!J6</f>
        <v>941</v>
      </c>
      <c r="K7" s="108"/>
    </row>
    <row r="8" spans="2:30" s="1" customFormat="1" ht="15" customHeight="1" x14ac:dyDescent="0.3">
      <c r="B8" s="125" t="s">
        <v>8</v>
      </c>
      <c r="C8" s="104">
        <f>'Data Entry'!C7</f>
        <v>14</v>
      </c>
      <c r="D8" s="105">
        <f>'Data Entry'!D7</f>
        <v>2</v>
      </c>
      <c r="E8" s="106" t="str">
        <f>'Black or African-American'!$G7</f>
        <v>**</v>
      </c>
      <c r="F8" s="107">
        <f>'Data Entry'!E7</f>
        <v>0</v>
      </c>
      <c r="G8" s="106" t="str">
        <f>Hispanic!G7</f>
        <v>**</v>
      </c>
      <c r="H8" s="107">
        <f>'Data Entry'!F7</f>
        <v>0</v>
      </c>
      <c r="I8" s="106" t="str">
        <f>Asian!G7</f>
        <v>**</v>
      </c>
      <c r="J8" s="107">
        <f>'Data Entry'!J7</f>
        <v>8</v>
      </c>
      <c r="K8" s="108">
        <f>'All Minorities'!G7</f>
        <v>2.512221041445271</v>
      </c>
      <c r="L8"/>
      <c r="N8" s="1">
        <f>'Black or African-American'!L7</f>
        <v>40</v>
      </c>
      <c r="O8" s="1">
        <f>Hispanic!L7</f>
        <v>40</v>
      </c>
      <c r="P8" s="1">
        <f>Asian!L7</f>
        <v>40</v>
      </c>
      <c r="Q8" s="1" t="e">
        <f>Hawaiian!L7</f>
        <v>#VALUE!</v>
      </c>
      <c r="R8" s="1">
        <f>'Am Indian'!L7</f>
        <v>1</v>
      </c>
      <c r="S8" s="1" t="e">
        <f>'Other - Mixed'!L7</f>
        <v>#VALUE!</v>
      </c>
      <c r="T8" s="1">
        <f>'All Minorities'!L7</f>
        <v>1</v>
      </c>
    </row>
    <row r="9" spans="2:30" s="1" customFormat="1" ht="15" customHeight="1" x14ac:dyDescent="0.3">
      <c r="B9" s="125" t="s">
        <v>134</v>
      </c>
      <c r="C9" s="104">
        <f>'Data Entry'!C8</f>
        <v>26</v>
      </c>
      <c r="D9" s="109">
        <f>'Data Entry'!D8</f>
        <v>7</v>
      </c>
      <c r="E9" s="110" t="str">
        <f>'Black or African-American'!$G8</f>
        <v>**</v>
      </c>
      <c r="F9" s="111">
        <f>'Data Entry'!E8</f>
        <v>1</v>
      </c>
      <c r="G9" s="110" t="str">
        <f>Hispanic!G8</f>
        <v>**</v>
      </c>
      <c r="H9" s="111">
        <f>'Data Entry'!F8</f>
        <v>0</v>
      </c>
      <c r="I9" s="110" t="str">
        <f>Asian!G8</f>
        <v>**</v>
      </c>
      <c r="J9" s="111">
        <f>'Data Entry'!J8</f>
        <v>13</v>
      </c>
      <c r="K9" s="112" t="str">
        <f>'All Minorities'!G8</f>
        <v>**</v>
      </c>
      <c r="L9"/>
      <c r="N9" s="1">
        <f>'Black or African-American'!L8</f>
        <v>40</v>
      </c>
      <c r="O9" s="1">
        <f>Hispanic!L8</f>
        <v>20</v>
      </c>
      <c r="P9" s="1">
        <f>Asian!L8</f>
        <v>40</v>
      </c>
      <c r="Q9" s="1">
        <f>Hawaiian!L8</f>
        <v>139</v>
      </c>
      <c r="R9" s="1">
        <f>'Am Indian'!L8</f>
        <v>20</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6</v>
      </c>
      <c r="D11" s="109">
        <f>'Data Entry'!D10</f>
        <v>1</v>
      </c>
      <c r="E11" s="110" t="str">
        <f>'Black or African-American'!$G10</f>
        <v>**</v>
      </c>
      <c r="F11" s="111">
        <f>'Data Entry'!E10</f>
        <v>0</v>
      </c>
      <c r="G11" s="110" t="str">
        <f>Hispanic!G10</f>
        <v>**</v>
      </c>
      <c r="H11" s="111">
        <f>'Data Entry'!F10</f>
        <v>0</v>
      </c>
      <c r="I11" s="110" t="str">
        <f>Asian!G10</f>
        <v>--</v>
      </c>
      <c r="J11" s="111">
        <f>'Data Entry'!J10</f>
        <v>2</v>
      </c>
      <c r="K11" s="112" t="str">
        <f>'All Minorities'!G10</f>
        <v>**</v>
      </c>
      <c r="L11"/>
      <c r="N11" s="1">
        <f>'Black or African-American'!L10</f>
        <v>40</v>
      </c>
      <c r="O11" s="1">
        <f>Hispanic!L10</f>
        <v>40</v>
      </c>
      <c r="P11" s="1" t="e">
        <f>Asian!L10</f>
        <v>#VALUE!</v>
      </c>
      <c r="Q11" s="1" t="e">
        <f>Hawaiian!L10</f>
        <v>#VALUE!</v>
      </c>
      <c r="R11" s="1">
        <f>'Am Indian'!L10</f>
        <v>40</v>
      </c>
      <c r="S11" s="1" t="e">
        <f>'Other - Mixed'!L10</f>
        <v>#VALUE!</v>
      </c>
      <c r="T11" s="1">
        <f>'All Minorities'!L10</f>
        <v>40</v>
      </c>
    </row>
    <row r="12" spans="2:30" s="1" customFormat="1" ht="15" customHeight="1" x14ac:dyDescent="0.3">
      <c r="B12" s="125" t="s">
        <v>95</v>
      </c>
      <c r="C12" s="104">
        <f>'Data Entry'!C11</f>
        <v>9</v>
      </c>
      <c r="D12" s="113">
        <f>'Data Entry'!D11</f>
        <v>1</v>
      </c>
      <c r="E12" s="114" t="str">
        <f>'Black or African-American'!$G11</f>
        <v>**</v>
      </c>
      <c r="F12" s="115">
        <f>'Data Entry'!E11</f>
        <v>0</v>
      </c>
      <c r="G12" s="114" t="str">
        <f>Hispanic!G11</f>
        <v>**</v>
      </c>
      <c r="H12" s="115">
        <f>'Data Entry'!F11</f>
        <v>0</v>
      </c>
      <c r="I12" s="114" t="str">
        <f>Asian!G11</f>
        <v>--</v>
      </c>
      <c r="J12" s="115">
        <f>'Data Entry'!J11</f>
        <v>4</v>
      </c>
      <c r="K12" s="116" t="str">
        <f>'All Minorities'!G11</f>
        <v>**</v>
      </c>
      <c r="L12"/>
      <c r="N12" s="1">
        <f>'Black or African-American'!L11</f>
        <v>40</v>
      </c>
      <c r="O12" s="1">
        <f>Hispanic!L11</f>
        <v>40</v>
      </c>
      <c r="P12" s="1" t="e">
        <f>Asian!L11</f>
        <v>#VALUE!</v>
      </c>
      <c r="Q12" s="1" t="e">
        <f>Hawaiian!L11</f>
        <v>#VALUE!</v>
      </c>
      <c r="R12" s="1">
        <f>'Am Indian'!L11</f>
        <v>40</v>
      </c>
      <c r="S12" s="1" t="e">
        <f>'Other - Mixed'!L11</f>
        <v>#VALUE!</v>
      </c>
      <c r="T12" s="1">
        <f>'All Minorities'!L11</f>
        <v>40</v>
      </c>
    </row>
    <row r="13" spans="2:30" s="1" customFormat="1" ht="15" customHeight="1" x14ac:dyDescent="0.3">
      <c r="B13" s="125" t="s">
        <v>13</v>
      </c>
      <c r="C13" s="104">
        <f>'Data Entry'!C12</f>
        <v>15</v>
      </c>
      <c r="D13" s="109">
        <f>'Data Entry'!D12</f>
        <v>2</v>
      </c>
      <c r="E13" s="110" t="str">
        <f>'Black or African-American'!$G12</f>
        <v>**</v>
      </c>
      <c r="F13" s="111">
        <f>'Data Entry'!E12</f>
        <v>0</v>
      </c>
      <c r="G13" s="110" t="str">
        <f>Hispanic!G12</f>
        <v>--</v>
      </c>
      <c r="H13" s="111">
        <f>'Data Entry'!F12</f>
        <v>0</v>
      </c>
      <c r="I13" s="110" t="str">
        <f>Asian!G12</f>
        <v>--</v>
      </c>
      <c r="J13" s="111">
        <f>'Data Entry'!J12</f>
        <v>4</v>
      </c>
      <c r="K13" s="112" t="str">
        <f>'All Minorities'!G12</f>
        <v>**</v>
      </c>
      <c r="L13"/>
      <c r="N13" s="1">
        <f>'Black or African-American'!L12</f>
        <v>40</v>
      </c>
      <c r="O13" s="1" t="e">
        <f>Hispanic!L12</f>
        <v>#VALUE!</v>
      </c>
      <c r="P13" s="1" t="e">
        <f>Asian!L12</f>
        <v>#VALUE!</v>
      </c>
      <c r="Q13" s="1" t="e">
        <f>Hawaiian!L12</f>
        <v>#VALUE!</v>
      </c>
      <c r="R13" s="1">
        <f>'Am Indian'!L12</f>
        <v>40</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9</v>
      </c>
      <c r="D14" s="113">
        <f>'Data Entry'!D13</f>
        <v>1</v>
      </c>
      <c r="E14" s="114" t="str">
        <f>'Black or African-American'!$G13</f>
        <v>**</v>
      </c>
      <c r="F14" s="115">
        <f>'Data Entry'!E13</f>
        <v>0</v>
      </c>
      <c r="G14" s="114" t="str">
        <f>Hispanic!G13</f>
        <v>--</v>
      </c>
      <c r="H14" s="115">
        <f>'Data Entry'!F13</f>
        <v>0</v>
      </c>
      <c r="I14" s="114" t="str">
        <f>Asian!G13</f>
        <v>--</v>
      </c>
      <c r="J14" s="115">
        <f>'Data Entry'!J13</f>
        <v>3</v>
      </c>
      <c r="K14" s="116" t="str">
        <f>'All Minorities'!G13</f>
        <v>**</v>
      </c>
      <c r="L14"/>
      <c r="N14" s="1">
        <f>'Black or African-American'!L13</f>
        <v>40</v>
      </c>
      <c r="O14" s="1" t="e">
        <f>Hispanic!L13</f>
        <v>#VALUE!</v>
      </c>
      <c r="P14" s="1" t="e">
        <f>Asian!L13</f>
        <v>#VALUE!</v>
      </c>
      <c r="Q14" s="1" t="e">
        <f>Hawaiian!L13</f>
        <v>#VALUE!</v>
      </c>
      <c r="R14" s="1">
        <f>'Am Indian'!L13</f>
        <v>40</v>
      </c>
      <c r="S14" s="1" t="e">
        <f>'Other - Mixed'!L13</f>
        <v>#VALUE!</v>
      </c>
      <c r="T14" s="1">
        <f>'All Minorities'!L13</f>
        <v>40</v>
      </c>
      <c r="W14" s="135"/>
      <c r="X14" s="135"/>
      <c r="Y14" s="135"/>
      <c r="Z14" s="135"/>
      <c r="AA14" s="135"/>
      <c r="AB14" s="135"/>
      <c r="AC14" s="135"/>
      <c r="AD14" s="135"/>
    </row>
    <row r="15" spans="2:30" s="1" customFormat="1" ht="33" x14ac:dyDescent="0.3">
      <c r="B15" s="130" t="s">
        <v>123</v>
      </c>
      <c r="C15" s="104">
        <f>'Data Entry'!C14</f>
        <v>5</v>
      </c>
      <c r="D15" s="109">
        <f>'Data Entry'!D14</f>
        <v>0</v>
      </c>
      <c r="E15" s="110" t="str">
        <f>'Black or African-American'!$G14</f>
        <v>**</v>
      </c>
      <c r="F15" s="111">
        <f>'Data Entry'!E14</f>
        <v>0</v>
      </c>
      <c r="G15" s="110" t="str">
        <f>Hispanic!G14</f>
        <v>--</v>
      </c>
      <c r="H15" s="111">
        <f>'Data Entry'!F14</f>
        <v>0</v>
      </c>
      <c r="I15" s="110" t="str">
        <f>Asian!G14</f>
        <v>--</v>
      </c>
      <c r="J15" s="111">
        <f>'Data Entry'!J14</f>
        <v>1</v>
      </c>
      <c r="K15" s="112" t="str">
        <f>'All Minorities'!G14</f>
        <v>**</v>
      </c>
      <c r="L15"/>
      <c r="N15" s="1">
        <f>'Black or African-American'!L14</f>
        <v>40</v>
      </c>
      <c r="O15" s="1" t="e">
        <f>Hispanic!L14</f>
        <v>#VALUE!</v>
      </c>
      <c r="P15" s="1" t="e">
        <f>Asian!L14</f>
        <v>#VALUE!</v>
      </c>
      <c r="Q15" s="1" t="e">
        <f>Hawaiian!L14</f>
        <v>#VALUE!</v>
      </c>
      <c r="R15" s="1">
        <f>'Am Indian'!L14</f>
        <v>40</v>
      </c>
      <c r="S15" s="1" t="e">
        <f>'Other - Mixed'!L14</f>
        <v>#VALUE!</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Isabella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4137</v>
      </c>
      <c r="D6" s="34"/>
      <c r="E6" s="33">
        <f>'Data Entry'!D6</f>
        <v>200</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3.3840947546531308</v>
      </c>
      <c r="E7" s="33">
        <f>'Data Entry'!D7</f>
        <v>2</v>
      </c>
      <c r="F7" s="34">
        <f>IF((AND($E$7&gt;0,$D$66&gt;0)),($E$7/$D$66),0)</f>
        <v>10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2</v>
      </c>
      <c r="O7" s="42">
        <f>E6-E7</f>
        <v>198</v>
      </c>
      <c r="P7" s="42">
        <f t="shared" ref="P7:P15" si="2">C7</f>
        <v>14</v>
      </c>
      <c r="Q7" s="42">
        <f>C6-C7</f>
        <v>4123</v>
      </c>
      <c r="R7" s="42">
        <f t="shared" ref="R7:R15" si="3">SUM(N7:Q7)</f>
        <v>4337</v>
      </c>
      <c r="S7" s="30">
        <f t="shared" ref="S7:S15" si="4">R7*((((N7*Q7)-(O7*P7))^2))</f>
        <v>129956799812</v>
      </c>
      <c r="T7" s="30">
        <f t="shared" ref="T7:T15" si="5">(N7+O7)*(P7+Q7)*(N7+P7)*(O7+Q7)</f>
        <v>57203126400</v>
      </c>
      <c r="U7" s="31">
        <f t="shared" ref="U7:U15" si="6">IF((S7&gt;0),S7/T7,"- -")</f>
        <v>2.271847851518829</v>
      </c>
    </row>
    <row r="8" spans="2:21" ht="18" customHeight="1" x14ac:dyDescent="0.25">
      <c r="B8" s="32" t="str">
        <f>'Data Entry'!A8</f>
        <v>3. Refer to Juvenile Court</v>
      </c>
      <c r="C8" s="33">
        <f>'Data Entry'!C8</f>
        <v>26</v>
      </c>
      <c r="D8" s="34">
        <f>IF((AND(C67&gt;0,C8&gt;0)),(C8/C67),0)</f>
        <v>185.71428571428569</v>
      </c>
      <c r="E8" s="33">
        <f>'Data Entry'!D8</f>
        <v>7</v>
      </c>
      <c r="F8" s="34">
        <f>IF((AND($E$8&gt;0,$D$67&gt;0)),($E8/$D67),0)</f>
        <v>350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7</v>
      </c>
      <c r="O8" s="42">
        <f>((D67*L67)-E8)+0.05</f>
        <v>-4.95</v>
      </c>
      <c r="P8" s="42">
        <f t="shared" si="2"/>
        <v>26</v>
      </c>
      <c r="Q8" s="42">
        <f>(C$67*L67)-C8</f>
        <v>-11.999999999999998</v>
      </c>
      <c r="R8" s="42">
        <f t="shared" si="3"/>
        <v>16.050000000000004</v>
      </c>
      <c r="S8" s="30">
        <f t="shared" si="4"/>
        <v>32069.344500000054</v>
      </c>
      <c r="T8" s="30">
        <f t="shared" si="5"/>
        <v>-16053.345000000001</v>
      </c>
      <c r="U8" s="31">
        <f t="shared" si="6"/>
        <v>-1.9976736624049412</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7.0000000000000009</v>
      </c>
      <c r="P9" s="42">
        <f t="shared" si="2"/>
        <v>0</v>
      </c>
      <c r="Q9" s="42">
        <f>(C$68*L68)-C9</f>
        <v>26</v>
      </c>
      <c r="R9" s="42">
        <f t="shared" si="3"/>
        <v>33</v>
      </c>
      <c r="S9" s="30">
        <f t="shared" si="4"/>
        <v>0</v>
      </c>
      <c r="T9" s="30">
        <f t="shared" si="5"/>
        <v>0</v>
      </c>
      <c r="U9" s="31" t="str">
        <f t="shared" si="6"/>
        <v>- -</v>
      </c>
    </row>
    <row r="10" spans="2:21" ht="18" customHeight="1" x14ac:dyDescent="0.25">
      <c r="B10" s="32" t="str">
        <f>'Data Entry'!A10</f>
        <v>5. Cases Involving Secure Detention</v>
      </c>
      <c r="C10" s="33">
        <f>'Data Entry'!C10</f>
        <v>6</v>
      </c>
      <c r="D10" s="34">
        <f>IF(((AND(C68&gt;0,C10&gt;0))),(C10/(C68)),0)</f>
        <v>23.076923076923077</v>
      </c>
      <c r="E10" s="33">
        <f>'Data Entry'!D10</f>
        <v>1</v>
      </c>
      <c r="F10" s="34">
        <f>IF(((AND($E$10&gt;0,$D$68&gt;0))),($E$10/($D$68)),0)</f>
        <v>14.285714285714285</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1</v>
      </c>
      <c r="O10" s="42">
        <f>(D$68*L68)-E10</f>
        <v>6.0000000000000009</v>
      </c>
      <c r="P10" s="42">
        <f t="shared" si="2"/>
        <v>6</v>
      </c>
      <c r="Q10" s="42">
        <f>(C$68*L68)-C10</f>
        <v>20</v>
      </c>
      <c r="R10" s="42">
        <f t="shared" si="3"/>
        <v>33</v>
      </c>
      <c r="S10" s="30">
        <f t="shared" si="4"/>
        <v>8448.0000000000073</v>
      </c>
      <c r="T10" s="30">
        <f t="shared" si="5"/>
        <v>33124.000000000007</v>
      </c>
      <c r="U10" s="31">
        <f t="shared" si="6"/>
        <v>0.25504166163506842</v>
      </c>
    </row>
    <row r="11" spans="2:21" ht="18" customHeight="1" x14ac:dyDescent="0.25">
      <c r="B11" s="32" t="str">
        <f>'Data Entry'!A11</f>
        <v>6. Cases Petitioned (Charge Filed)</v>
      </c>
      <c r="C11" s="33">
        <f>'Data Entry'!C11</f>
        <v>9</v>
      </c>
      <c r="D11" s="34">
        <f>IF(((AND(C68&gt;0,C11&gt;0))),(C11/(C68)),0)</f>
        <v>34.615384615384613</v>
      </c>
      <c r="E11" s="33">
        <f>'Data Entry'!D11</f>
        <v>1</v>
      </c>
      <c r="F11" s="34">
        <f>IF(((AND($E$11&gt;0,$D$68&gt;0))),($E$11/($D$68)),0)</f>
        <v>14.285714285714285</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6.0000000000000009</v>
      </c>
      <c r="P11" s="42">
        <f t="shared" si="2"/>
        <v>9</v>
      </c>
      <c r="Q11" s="42">
        <f>(C$68*L68)-C11</f>
        <v>17</v>
      </c>
      <c r="R11" s="42">
        <f t="shared" si="3"/>
        <v>33</v>
      </c>
      <c r="S11" s="30">
        <f t="shared" si="4"/>
        <v>45177.000000000015</v>
      </c>
      <c r="T11" s="30">
        <f t="shared" si="5"/>
        <v>41860.000000000007</v>
      </c>
      <c r="U11" s="31">
        <f t="shared" si="6"/>
        <v>1.0792403248924989</v>
      </c>
    </row>
    <row r="12" spans="2:21" ht="18" customHeight="1" x14ac:dyDescent="0.25">
      <c r="B12" s="32" t="str">
        <f>'Data Entry'!A12</f>
        <v>7. Cases Resulting in Delinquent Findings</v>
      </c>
      <c r="C12" s="33">
        <f>'Data Entry'!C12</f>
        <v>15</v>
      </c>
      <c r="D12" s="34">
        <f>IF(((AND(C69&gt;0,C12&gt;0))),(C12/(C69)),0)</f>
        <v>166.66666666666669</v>
      </c>
      <c r="E12" s="33">
        <f>'Data Entry'!D12</f>
        <v>2</v>
      </c>
      <c r="F12" s="34">
        <f>IF(((AND($D$69&gt;0,$E$12&gt;0))),(E12/(D69)),0)</f>
        <v>200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-1</v>
      </c>
      <c r="P12" s="42">
        <f t="shared" si="2"/>
        <v>15</v>
      </c>
      <c r="Q12" s="42">
        <f>(C69*L69)-C12</f>
        <v>-6</v>
      </c>
      <c r="R12" s="42">
        <f t="shared" si="3"/>
        <v>10</v>
      </c>
      <c r="S12" s="30">
        <f t="shared" si="4"/>
        <v>90</v>
      </c>
      <c r="T12" s="30">
        <f t="shared" si="5"/>
        <v>-1071</v>
      </c>
      <c r="U12" s="31">
        <f t="shared" si="6"/>
        <v>-8.4033613445378158E-2</v>
      </c>
    </row>
    <row r="13" spans="2:21" ht="18" customHeight="1" x14ac:dyDescent="0.25">
      <c r="B13" s="32" t="str">
        <f>'Data Entry'!A13</f>
        <v>8. Cases Resulting in Probation Placement</v>
      </c>
      <c r="C13" s="33">
        <f>'Data Entry'!C13</f>
        <v>9</v>
      </c>
      <c r="D13" s="34">
        <f>IF(((AND(C70&gt;0,C13&gt;0))),(C13/(C70)),0)</f>
        <v>60</v>
      </c>
      <c r="E13" s="33">
        <f>'Data Entry'!D13</f>
        <v>1</v>
      </c>
      <c r="F13" s="34">
        <f>IF(((AND($D$70&gt;0,$E$13&gt;0))),($E$13/($D$70)),0)</f>
        <v>50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v>
      </c>
      <c r="O13" s="42">
        <f>(D70*L70)-E13</f>
        <v>1</v>
      </c>
      <c r="P13" s="42">
        <f t="shared" si="2"/>
        <v>9</v>
      </c>
      <c r="Q13" s="42">
        <f>(C70*L70)-C13</f>
        <v>6</v>
      </c>
      <c r="R13" s="42">
        <f t="shared" si="3"/>
        <v>17</v>
      </c>
      <c r="S13" s="30">
        <f t="shared" si="4"/>
        <v>153</v>
      </c>
      <c r="T13" s="30">
        <f t="shared" si="5"/>
        <v>2100</v>
      </c>
      <c r="U13" s="31">
        <f t="shared" si="6"/>
        <v>7.2857142857142856E-2</v>
      </c>
    </row>
    <row r="14" spans="2:21" ht="30.75" customHeight="1" x14ac:dyDescent="0.25">
      <c r="B14" s="32" t="str">
        <f>'Data Entry'!A14</f>
        <v xml:space="preserve">9. Cases Resulting in Confinement in Secure Juvenile Correctional Facilities </v>
      </c>
      <c r="C14" s="33">
        <f>'Data Entry'!C14</f>
        <v>5</v>
      </c>
      <c r="D14" s="34">
        <f>IF(((AND(C70&gt;0,C14&gt;0))), ((C14/(C70))),0)</f>
        <v>33.333333333333336</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2</v>
      </c>
      <c r="P14" s="42">
        <f t="shared" si="2"/>
        <v>5</v>
      </c>
      <c r="Q14" s="42">
        <f>(C70*L70)-C14</f>
        <v>10</v>
      </c>
      <c r="R14" s="42">
        <f t="shared" si="3"/>
        <v>17</v>
      </c>
      <c r="S14" s="30">
        <f t="shared" si="4"/>
        <v>1700</v>
      </c>
      <c r="T14" s="30">
        <f t="shared" si="5"/>
        <v>1800</v>
      </c>
      <c r="U14" s="31">
        <f t="shared" si="6"/>
        <v>0.94444444444444442</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9</v>
      </c>
      <c r="R15" s="42">
        <f t="shared" si="3"/>
        <v>10</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4.1369999999999996</v>
      </c>
      <c r="D42" s="56">
        <f>E6/1000</f>
        <v>0.2</v>
      </c>
      <c r="E42" s="56">
        <f>MAX(C42:D42)</f>
        <v>4.1369999999999996</v>
      </c>
      <c r="G42" s="1" t="str">
        <f>B42</f>
        <v>per 1000 youth</v>
      </c>
      <c r="L42" s="57">
        <v>1000</v>
      </c>
      <c r="M42" s="57"/>
      <c r="R42" s="49"/>
    </row>
    <row r="43" spans="2:18" ht="15" hidden="1" customHeight="1" x14ac:dyDescent="0.25">
      <c r="B43" s="49" t="s">
        <v>87</v>
      </c>
      <c r="C43" s="56">
        <f>C7/100</f>
        <v>0.14000000000000001</v>
      </c>
      <c r="D43" s="56">
        <f>E7/100</f>
        <v>0.02</v>
      </c>
      <c r="E43" s="56">
        <f>MAX(C43:D43,0)</f>
        <v>0.14000000000000001</v>
      </c>
      <c r="G43" s="1" t="str">
        <f>B43</f>
        <v>per 100 arrests</v>
      </c>
      <c r="L43" s="57">
        <v>100</v>
      </c>
      <c r="M43" s="57"/>
      <c r="R43" s="49"/>
    </row>
    <row r="44" spans="2:18" ht="15" hidden="1" customHeight="1" x14ac:dyDescent="0.25">
      <c r="B44" s="49" t="s">
        <v>88</v>
      </c>
      <c r="C44" s="56">
        <f>C8/100</f>
        <v>0.26</v>
      </c>
      <c r="D44" s="56">
        <f>E8/100</f>
        <v>7.0000000000000007E-2</v>
      </c>
      <c r="E44" s="56">
        <f>MAX(C44:D44,0)</f>
        <v>0.26</v>
      </c>
      <c r="G44" s="1" t="str">
        <f>B44</f>
        <v>per 100 referrals</v>
      </c>
      <c r="L44" s="57">
        <v>100</v>
      </c>
      <c r="M44" s="57"/>
      <c r="R44" s="49"/>
    </row>
    <row r="45" spans="2:18" ht="15" hidden="1" customHeight="1" x14ac:dyDescent="0.25">
      <c r="B45" s="49" t="s">
        <v>89</v>
      </c>
      <c r="C45" s="49">
        <f>C11/100</f>
        <v>0.09</v>
      </c>
      <c r="D45" s="49">
        <f>E11/100</f>
        <v>0.01</v>
      </c>
      <c r="E45" s="56">
        <f>MAX(C45:D45,0)</f>
        <v>0.09</v>
      </c>
      <c r="G45" s="1" t="str">
        <f>B45</f>
        <v>per 100 youth petitioned</v>
      </c>
      <c r="L45" s="57">
        <v>100</v>
      </c>
      <c r="M45" s="57"/>
      <c r="R45" s="49"/>
    </row>
    <row r="46" spans="2:18" ht="15" hidden="1" customHeight="1" x14ac:dyDescent="0.25">
      <c r="B46" s="49" t="s">
        <v>90</v>
      </c>
      <c r="C46" s="49">
        <f>C12/100</f>
        <v>0.15</v>
      </c>
      <c r="D46" s="49">
        <f>E12/100</f>
        <v>0.02</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4.1369999999999996</v>
      </c>
      <c r="D48" s="56">
        <f>D42</f>
        <v>0.2</v>
      </c>
      <c r="E48" s="56">
        <f>MAX(C48:D48)</f>
        <v>4.1369999999999996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0.14000000000000001</v>
      </c>
      <c r="D49" s="49">
        <f t="shared" si="9"/>
        <v>0.02</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0.26</v>
      </c>
      <c r="D50" s="49">
        <f t="shared" si="9"/>
        <v>7.0000000000000007E-2</v>
      </c>
      <c r="E50" s="49">
        <f>MAX(C50:D50)</f>
        <v>0.26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0.01</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0.02</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4.1369999999999996</v>
      </c>
      <c r="D54" s="56">
        <f>D48</f>
        <v>0.2</v>
      </c>
      <c r="E54" s="56">
        <f>MAX(C54:D54)</f>
        <v>4.1369999999999996</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0.02</v>
      </c>
      <c r="E55" s="49">
        <f>MAX(C55:D55)</f>
        <v>0.14000000000000001</v>
      </c>
      <c r="G55" s="1" t="str">
        <f>G49</f>
        <v>per 100 arrests</v>
      </c>
      <c r="L55" s="58">
        <f>IF(($E49&gt;0),L49,L48)</f>
        <v>100</v>
      </c>
      <c r="M55" s="58"/>
    </row>
    <row r="56" spans="2:18" ht="15" hidden="1" customHeight="1" x14ac:dyDescent="0.25">
      <c r="B56" s="49" t="str">
        <f t="shared" si="10"/>
        <v>per 100 referrals</v>
      </c>
      <c r="C56" s="49">
        <f t="shared" si="10"/>
        <v>0.26</v>
      </c>
      <c r="D56" s="49">
        <f t="shared" si="10"/>
        <v>7.0000000000000007E-2</v>
      </c>
      <c r="E56" s="49">
        <f>MAX(C56:D56)</f>
        <v>0.26</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0.01</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0.02</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4.1369999999999996</v>
      </c>
      <c r="D60" s="56">
        <f>D54</f>
        <v>0.2</v>
      </c>
      <c r="E60" s="56">
        <f>MAX(C60:D60)</f>
        <v>4.1369999999999996</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0.02</v>
      </c>
      <c r="E61" s="49">
        <f>MAX(C61:D61)</f>
        <v>0.14000000000000001</v>
      </c>
      <c r="G61" s="1" t="str">
        <f>G55</f>
        <v>per 100 arrests</v>
      </c>
      <c r="L61" s="58">
        <f>IF(($E55&gt;0),L55,L54)</f>
        <v>100</v>
      </c>
      <c r="M61" s="58"/>
    </row>
    <row r="62" spans="2:18" ht="15" hidden="1" customHeight="1" x14ac:dyDescent="0.25">
      <c r="B62" s="49" t="str">
        <f t="shared" si="11"/>
        <v>per 100 referrals</v>
      </c>
      <c r="C62" s="49">
        <f t="shared" si="11"/>
        <v>0.26</v>
      </c>
      <c r="D62" s="49">
        <f t="shared" si="11"/>
        <v>7.0000000000000007E-2</v>
      </c>
      <c r="E62" s="49">
        <f>MAX(C62:D62)</f>
        <v>0.26</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0.01</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0.02</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4.1369999999999996</v>
      </c>
      <c r="D66" s="56">
        <f>D60</f>
        <v>0.2</v>
      </c>
      <c r="E66" s="56">
        <f>MAX(C66:D66)</f>
        <v>4.1369999999999996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0.02</v>
      </c>
      <c r="E67" s="49">
        <f>MAX(C67:D67)</f>
        <v>0.14000000000000001</v>
      </c>
      <c r="G67" s="1" t="str">
        <f>G61</f>
        <v>per 100 arrests</v>
      </c>
      <c r="L67" s="58">
        <f>IF(($E61&gt;0),L61,L60)</f>
        <v>100</v>
      </c>
      <c r="M67" s="58">
        <f>IF((B67=G67),1,2)</f>
        <v>1</v>
      </c>
    </row>
    <row r="68" spans="2:13" ht="15" hidden="1" customHeight="1" x14ac:dyDescent="0.25">
      <c r="B68" s="49" t="str">
        <f t="shared" si="12"/>
        <v>per 100 referrals</v>
      </c>
      <c r="C68" s="49">
        <f t="shared" si="12"/>
        <v>0.26</v>
      </c>
      <c r="D68" s="49">
        <f t="shared" si="12"/>
        <v>7.0000000000000007E-2</v>
      </c>
      <c r="E68" s="49">
        <f>MAX(C68:D68)</f>
        <v>0.26</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0.01</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0.02</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Isabella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4137</v>
      </c>
      <c r="D6" s="34"/>
      <c r="E6" s="33">
        <f>'Data Entry'!F6</f>
        <v>94</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3.3840947546531308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94</v>
      </c>
      <c r="P7" s="42">
        <f t="shared" ref="P7:P15" si="4">C7</f>
        <v>14</v>
      </c>
      <c r="Q7" s="42">
        <f>C6-C7</f>
        <v>4123</v>
      </c>
      <c r="R7" s="42">
        <f t="shared" ref="R7:R15" si="5">SUM(N7:Q7)</f>
        <v>4231</v>
      </c>
      <c r="S7" s="30">
        <f t="shared" ref="S7:S15" si="6">R7*((((N7*Q7)-(O7*P7))^2))</f>
        <v>7327482736</v>
      </c>
      <c r="T7" s="30">
        <f t="shared" ref="T7:T15" si="7">(N7+O7)*(P7+Q7)*(N7+P7)*(O7+Q7)</f>
        <v>22958579364</v>
      </c>
      <c r="U7" s="31">
        <f t="shared" ref="U7:U15" si="8">IF((S7&gt;0),S7/T7,"- -")</f>
        <v>0.31916098203749466</v>
      </c>
    </row>
    <row r="8" spans="2:21" ht="18" customHeight="1" x14ac:dyDescent="0.25">
      <c r="B8" s="32" t="str">
        <f>'Data Entry'!A8</f>
        <v>3. Refer to Juvenile Court</v>
      </c>
      <c r="C8" s="33">
        <f>'Data Entry'!C8</f>
        <v>26</v>
      </c>
      <c r="D8" s="34">
        <f>IF((AND(C67&gt;0,C8&gt;0)),(C8/C67),0)</f>
        <v>185.71428571428569</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26</v>
      </c>
      <c r="Q8" s="42">
        <f>(C$67*L67)-C8</f>
        <v>-11.999999999999998</v>
      </c>
      <c r="R8" s="42">
        <f t="shared" si="5"/>
        <v>14.050000000000002</v>
      </c>
      <c r="S8" s="30">
        <f t="shared" si="6"/>
        <v>23.744500000000006</v>
      </c>
      <c r="T8" s="30">
        <f t="shared" si="7"/>
        <v>-217.48999999999998</v>
      </c>
      <c r="U8" s="31">
        <f t="shared" si="8"/>
        <v>-0.10917513448894206</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x14ac:dyDescent="0.25">
      <c r="B10" s="32" t="str">
        <f>'Data Entry'!A10</f>
        <v>5. Cases Involving Secure Detention</v>
      </c>
      <c r="C10" s="33">
        <f>'Data Entry'!C10</f>
        <v>6</v>
      </c>
      <c r="D10" s="34">
        <f>IF(((AND(C68&gt;0,C10&gt;0))),(C10/(C68)),0)</f>
        <v>23.076923076923077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20</v>
      </c>
      <c r="R10" s="42">
        <f t="shared" si="5"/>
        <v>26</v>
      </c>
      <c r="S10" s="30">
        <f t="shared" si="6"/>
        <v>0</v>
      </c>
      <c r="T10" s="30">
        <f t="shared" si="7"/>
        <v>0</v>
      </c>
      <c r="U10" s="31" t="str">
        <f t="shared" si="8"/>
        <v>- -</v>
      </c>
    </row>
    <row r="11" spans="2:21" ht="18" customHeight="1" x14ac:dyDescent="0.25">
      <c r="B11" s="32" t="str">
        <f>'Data Entry'!A11</f>
        <v>6. Cases Petitioned (Charge Filed)</v>
      </c>
      <c r="C11" s="33">
        <f>'Data Entry'!C11</f>
        <v>9</v>
      </c>
      <c r="D11" s="34">
        <f>IF(((AND(C68&gt;0,C11&gt;0))),(C11/(C68)),0)</f>
        <v>34.615384615384613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17</v>
      </c>
      <c r="R11" s="42">
        <f t="shared" si="5"/>
        <v>26</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166.66666666666669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-6</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60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6</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33.333333333333336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10</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4.1369999999999996</v>
      </c>
      <c r="D42" s="56">
        <f>E6/1000</f>
        <v>9.4E-2</v>
      </c>
      <c r="E42" s="56">
        <f>MAX(C42:D42)</f>
        <v>4.1369999999999996</v>
      </c>
      <c r="G42" s="1" t="str">
        <f>B42</f>
        <v>per 1000 youth</v>
      </c>
      <c r="L42" s="57">
        <v>1000</v>
      </c>
      <c r="M42" s="57"/>
      <c r="R42" s="49"/>
    </row>
    <row r="43" spans="2:18" ht="15" hidden="1" customHeight="1" x14ac:dyDescent="0.25">
      <c r="B43" s="49" t="s">
        <v>87</v>
      </c>
      <c r="C43" s="56">
        <f>C7/100</f>
        <v>0.14000000000000001</v>
      </c>
      <c r="D43" s="56">
        <f>E7/100</f>
        <v>0</v>
      </c>
      <c r="E43" s="56">
        <f>MAX(C43:D43,0)</f>
        <v>0.14000000000000001</v>
      </c>
      <c r="G43" s="1" t="str">
        <f>B43</f>
        <v>per 100 arrests</v>
      </c>
      <c r="L43" s="57">
        <v>100</v>
      </c>
      <c r="M43" s="57"/>
      <c r="R43" s="49"/>
    </row>
    <row r="44" spans="2:18" ht="15" hidden="1" customHeight="1" x14ac:dyDescent="0.25">
      <c r="B44" s="49" t="s">
        <v>88</v>
      </c>
      <c r="C44" s="56">
        <f>C8/100</f>
        <v>0.26</v>
      </c>
      <c r="D44" s="56">
        <f>E8/100</f>
        <v>0</v>
      </c>
      <c r="E44" s="56">
        <f>MAX(C44:D44,0)</f>
        <v>0.26</v>
      </c>
      <c r="G44" s="1" t="str">
        <f>B44</f>
        <v>per 100 referrals</v>
      </c>
      <c r="L44" s="57">
        <v>100</v>
      </c>
      <c r="M44" s="57"/>
      <c r="R44" s="49"/>
    </row>
    <row r="45" spans="2:18" ht="15" hidden="1" customHeight="1" x14ac:dyDescent="0.25">
      <c r="B45" s="49" t="s">
        <v>89</v>
      </c>
      <c r="C45" s="49">
        <f>C11/100</f>
        <v>0.09</v>
      </c>
      <c r="D45" s="49">
        <f>E11/100</f>
        <v>0</v>
      </c>
      <c r="E45" s="56">
        <f>MAX(C45:D45,0)</f>
        <v>0.09</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4.1369999999999996</v>
      </c>
      <c r="D48" s="56">
        <f>D42</f>
        <v>9.4E-2</v>
      </c>
      <c r="E48" s="56">
        <f>MAX(C48:D48)</f>
        <v>4.1369999999999996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4.1369999999999996</v>
      </c>
      <c r="D54" s="56">
        <f>D48</f>
        <v>9.4E-2</v>
      </c>
      <c r="E54" s="56">
        <f>MAX(C54:D54)</f>
        <v>4.1369999999999996</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v>
      </c>
      <c r="E55" s="49">
        <f>MAX(C55:D55)</f>
        <v>0.14000000000000001</v>
      </c>
      <c r="G55" s="1" t="str">
        <f>G49</f>
        <v>per 100 arrests</v>
      </c>
      <c r="L55" s="58">
        <f>IF(($E49&gt;0),L49,L48)</f>
        <v>100</v>
      </c>
      <c r="M55" s="58"/>
    </row>
    <row r="56" spans="2:18" ht="15" hidden="1" customHeight="1" x14ac:dyDescent="0.25">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4.1369999999999996</v>
      </c>
      <c r="D60" s="56">
        <f>D54</f>
        <v>9.4E-2</v>
      </c>
      <c r="E60" s="56">
        <f>MAX(C60:D60)</f>
        <v>4.1369999999999996</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v>
      </c>
      <c r="E61" s="49">
        <f>MAX(C61:D61)</f>
        <v>0.14000000000000001</v>
      </c>
      <c r="G61" s="1" t="str">
        <f>G55</f>
        <v>per 100 arrests</v>
      </c>
      <c r="L61" s="58">
        <f>IF(($E55&gt;0),L55,L54)</f>
        <v>100</v>
      </c>
      <c r="M61" s="58"/>
    </row>
    <row r="62" spans="2:18" ht="15" hidden="1" customHeight="1" x14ac:dyDescent="0.25">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4.1369999999999996</v>
      </c>
      <c r="D66" s="56">
        <f>D60</f>
        <v>9.4E-2</v>
      </c>
      <c r="E66" s="56">
        <f>MAX(C66:D66)</f>
        <v>4.1369999999999996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v>
      </c>
      <c r="E67" s="49">
        <f>MAX(C67:D67)</f>
        <v>0.14000000000000001</v>
      </c>
      <c r="G67" s="1" t="str">
        <f>G61</f>
        <v>per 100 arrests</v>
      </c>
      <c r="L67" s="58">
        <f>IF(($E61&gt;0),L61,L60)</f>
        <v>100</v>
      </c>
      <c r="M67" s="58">
        <f>IF((B67=G67),1,2)</f>
        <v>1</v>
      </c>
    </row>
    <row r="68" spans="2:13" ht="15" hidden="1" customHeight="1" x14ac:dyDescent="0.25">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Isabella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4137</v>
      </c>
      <c r="D6" s="34"/>
      <c r="E6" s="33">
        <f>'Data Entry'!E6</f>
        <v>339</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3.3840947546531308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339</v>
      </c>
      <c r="P7" s="42">
        <f t="shared" ref="P7:P15" si="4">C7</f>
        <v>14</v>
      </c>
      <c r="Q7" s="42">
        <f>C6-C7</f>
        <v>4123</v>
      </c>
      <c r="R7" s="42">
        <f t="shared" ref="R7:R15" si="5">SUM(N7:Q7)</f>
        <v>4476</v>
      </c>
      <c r="S7" s="30">
        <f t="shared" ref="S7:S15" si="6">R7*((((N7*Q7)-(O7*P7))^2))</f>
        <v>100819733616</v>
      </c>
      <c r="T7" s="30">
        <f t="shared" ref="T7:T15" si="7">(N7+O7)*(P7+Q7)*(N7+P7)*(O7+Q7)</f>
        <v>87607809324</v>
      </c>
      <c r="U7" s="31">
        <f t="shared" ref="U7:U15" si="8">IF((S7&gt;0),S7/T7,"- -")</f>
        <v>1.1508076094351172</v>
      </c>
    </row>
    <row r="8" spans="2:21" ht="18" customHeight="1" x14ac:dyDescent="0.25">
      <c r="B8" s="32" t="str">
        <f>'Data Entry'!A8</f>
        <v>3. Refer to Juvenile Court</v>
      </c>
      <c r="C8" s="33">
        <f>'Data Entry'!C8</f>
        <v>26</v>
      </c>
      <c r="D8" s="34">
        <f>IF((AND(C67&gt;0,C8&gt;0)),(C8/C67),0)</f>
        <v>185.71428571428569</v>
      </c>
      <c r="E8" s="33">
        <f>'Data Entry'!E8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26</v>
      </c>
      <c r="Q8" s="42">
        <f>(C$67*L67)-C8</f>
        <v>-11.999999999999998</v>
      </c>
      <c r="R8" s="42">
        <f t="shared" si="5"/>
        <v>14.050000000000002</v>
      </c>
      <c r="S8" s="30">
        <f t="shared" si="6"/>
        <v>2266.1245000000008</v>
      </c>
      <c r="T8" s="30">
        <f t="shared" si="7"/>
        <v>-244.75500000000022</v>
      </c>
      <c r="U8" s="31">
        <f t="shared" si="8"/>
        <v>-9.258746501603639</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26</v>
      </c>
      <c r="R9" s="42">
        <f t="shared" si="5"/>
        <v>27</v>
      </c>
      <c r="S9" s="30">
        <f t="shared" si="6"/>
        <v>0</v>
      </c>
      <c r="T9" s="30">
        <f t="shared" si="7"/>
        <v>0</v>
      </c>
      <c r="U9" s="31" t="str">
        <f t="shared" si="8"/>
        <v>- -</v>
      </c>
    </row>
    <row r="10" spans="2:21" ht="18" customHeight="1" x14ac:dyDescent="0.25">
      <c r="B10" s="32" t="str">
        <f>'Data Entry'!A10</f>
        <v>5. Cases Involving Secure Detention</v>
      </c>
      <c r="C10" s="33">
        <f>'Data Entry'!C10</f>
        <v>6</v>
      </c>
      <c r="D10" s="34">
        <f>IF(((AND(C68&gt;0,C10&gt;0))),(C10/(C68)),0)</f>
        <v>23.076923076923077</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6</v>
      </c>
      <c r="Q10" s="42">
        <f>(C$68*L68)-C10</f>
        <v>20</v>
      </c>
      <c r="R10" s="42">
        <f t="shared" si="5"/>
        <v>27</v>
      </c>
      <c r="S10" s="30">
        <f t="shared" si="6"/>
        <v>972</v>
      </c>
      <c r="T10" s="30">
        <f t="shared" si="7"/>
        <v>3276</v>
      </c>
      <c r="U10" s="31">
        <f t="shared" si="8"/>
        <v>0.2967032967032967</v>
      </c>
    </row>
    <row r="11" spans="2:21" ht="18" customHeight="1" x14ac:dyDescent="0.25">
      <c r="B11" s="32" t="str">
        <f>'Data Entry'!A11</f>
        <v>6. Cases Petitioned (Charge Filed)</v>
      </c>
      <c r="C11" s="33">
        <f>'Data Entry'!C11</f>
        <v>9</v>
      </c>
      <c r="D11" s="34">
        <f>IF(((AND(C68&gt;0,C11&gt;0))),(C11/(C68)),0)</f>
        <v>34.615384615384613</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9</v>
      </c>
      <c r="Q11" s="42">
        <f>(C$68*L68)-C11</f>
        <v>17</v>
      </c>
      <c r="R11" s="42">
        <f t="shared" si="5"/>
        <v>27</v>
      </c>
      <c r="S11" s="30">
        <f t="shared" si="6"/>
        <v>2187</v>
      </c>
      <c r="T11" s="30">
        <f t="shared" si="7"/>
        <v>4212</v>
      </c>
      <c r="U11" s="31">
        <f t="shared" si="8"/>
        <v>0.51923076923076927</v>
      </c>
    </row>
    <row r="12" spans="2:21" ht="18" customHeight="1" x14ac:dyDescent="0.25">
      <c r="B12" s="32" t="str">
        <f>'Data Entry'!A12</f>
        <v>7. Cases Resulting in Delinquent Findings</v>
      </c>
      <c r="C12" s="33">
        <f>'Data Entry'!C12</f>
        <v>15</v>
      </c>
      <c r="D12" s="34">
        <f>IF(((AND(C69&gt;0,C12&gt;0))),(C12/(C69)),0)</f>
        <v>166.66666666666669</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-6</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60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6</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33.333333333333336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10</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4.1369999999999996</v>
      </c>
      <c r="D42" s="56">
        <f>E6/1000</f>
        <v>0.33900000000000002</v>
      </c>
      <c r="E42" s="56">
        <f>MAX(C42:D42)</f>
        <v>4.1369999999999996</v>
      </c>
      <c r="G42" s="1" t="str">
        <f>B42</f>
        <v>per 1000 youth</v>
      </c>
      <c r="L42" s="57">
        <v>1000</v>
      </c>
      <c r="M42" s="57"/>
      <c r="R42" s="49"/>
    </row>
    <row r="43" spans="2:18" ht="15" hidden="1" customHeight="1" x14ac:dyDescent="0.25">
      <c r="B43" s="49" t="s">
        <v>87</v>
      </c>
      <c r="C43" s="56">
        <f>C7/100</f>
        <v>0.14000000000000001</v>
      </c>
      <c r="D43" s="56">
        <f>E7/100</f>
        <v>0</v>
      </c>
      <c r="E43" s="56">
        <f>MAX(C43:D43,0)</f>
        <v>0.14000000000000001</v>
      </c>
      <c r="G43" s="1" t="str">
        <f>B43</f>
        <v>per 100 arrests</v>
      </c>
      <c r="L43" s="57">
        <v>100</v>
      </c>
      <c r="M43" s="57"/>
      <c r="R43" s="49"/>
    </row>
    <row r="44" spans="2:18" ht="15" hidden="1" customHeight="1" x14ac:dyDescent="0.25">
      <c r="B44" s="49" t="s">
        <v>88</v>
      </c>
      <c r="C44" s="56">
        <f>C8/100</f>
        <v>0.26</v>
      </c>
      <c r="D44" s="56">
        <f>E8/100</f>
        <v>0.01</v>
      </c>
      <c r="E44" s="56">
        <f>MAX(C44:D44,0)</f>
        <v>0.26</v>
      </c>
      <c r="G44" s="1" t="str">
        <f>B44</f>
        <v>per 100 referrals</v>
      </c>
      <c r="L44" s="57">
        <v>100</v>
      </c>
      <c r="M44" s="57"/>
      <c r="R44" s="49"/>
    </row>
    <row r="45" spans="2:18" ht="15" hidden="1" customHeight="1" x14ac:dyDescent="0.25">
      <c r="B45" s="49" t="s">
        <v>89</v>
      </c>
      <c r="C45" s="49">
        <f>C11/100</f>
        <v>0.09</v>
      </c>
      <c r="D45" s="49">
        <f>E11/100</f>
        <v>0</v>
      </c>
      <c r="E45" s="56">
        <f>MAX(C45:D45,0)</f>
        <v>0.09</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4.1369999999999996</v>
      </c>
      <c r="D48" s="56">
        <f>D42</f>
        <v>0.33900000000000002</v>
      </c>
      <c r="E48" s="56">
        <f>MAX(C48:D48)</f>
        <v>4.1369999999999996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0.26</v>
      </c>
      <c r="D50" s="49">
        <f t="shared" si="9"/>
        <v>0.01</v>
      </c>
      <c r="E50" s="49">
        <f>MAX(C50:D50)</f>
        <v>0.26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4.1369999999999996</v>
      </c>
      <c r="D54" s="56">
        <f>D48</f>
        <v>0.33900000000000002</v>
      </c>
      <c r="E54" s="56">
        <f>MAX(C54:D54)</f>
        <v>4.1369999999999996</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v>
      </c>
      <c r="E55" s="49">
        <f>MAX(C55:D55)</f>
        <v>0.14000000000000001</v>
      </c>
      <c r="G55" s="1" t="str">
        <f>G49</f>
        <v>per 100 arrests</v>
      </c>
      <c r="L55" s="58">
        <f>IF(($E49&gt;0),L49,L48)</f>
        <v>100</v>
      </c>
      <c r="M55" s="58"/>
    </row>
    <row r="56" spans="2:18" ht="15" hidden="1" customHeight="1" x14ac:dyDescent="0.25">
      <c r="B56" s="49" t="str">
        <f t="shared" si="10"/>
        <v>per 100 referrals</v>
      </c>
      <c r="C56" s="49">
        <f t="shared" si="10"/>
        <v>0.26</v>
      </c>
      <c r="D56" s="49">
        <f t="shared" si="10"/>
        <v>0.01</v>
      </c>
      <c r="E56" s="49">
        <f>MAX(C56:D56)</f>
        <v>0.26</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4.1369999999999996</v>
      </c>
      <c r="D60" s="56">
        <f>D54</f>
        <v>0.33900000000000002</v>
      </c>
      <c r="E60" s="56">
        <f>MAX(C60:D60)</f>
        <v>4.1369999999999996</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v>
      </c>
      <c r="E61" s="49">
        <f>MAX(C61:D61)</f>
        <v>0.14000000000000001</v>
      </c>
      <c r="G61" s="1" t="str">
        <f>G55</f>
        <v>per 100 arrests</v>
      </c>
      <c r="L61" s="58">
        <f>IF(($E55&gt;0),L55,L54)</f>
        <v>100</v>
      </c>
      <c r="M61" s="58"/>
    </row>
    <row r="62" spans="2:18" ht="15" hidden="1" customHeight="1" x14ac:dyDescent="0.25">
      <c r="B62" s="49" t="str">
        <f t="shared" si="11"/>
        <v>per 100 referrals</v>
      </c>
      <c r="C62" s="49">
        <f t="shared" si="11"/>
        <v>0.26</v>
      </c>
      <c r="D62" s="49">
        <f t="shared" si="11"/>
        <v>0.01</v>
      </c>
      <c r="E62" s="49">
        <f>MAX(C62:D62)</f>
        <v>0.26</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4.1369999999999996</v>
      </c>
      <c r="D66" s="56">
        <f>D60</f>
        <v>0.33900000000000002</v>
      </c>
      <c r="E66" s="56">
        <f>MAX(C66:D66)</f>
        <v>4.1369999999999996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v>
      </c>
      <c r="E67" s="49">
        <f>MAX(C67:D67)</f>
        <v>0.14000000000000001</v>
      </c>
      <c r="G67" s="1" t="str">
        <f>G61</f>
        <v>per 100 arrests</v>
      </c>
      <c r="L67" s="58">
        <f>IF(($E61&gt;0),L61,L60)</f>
        <v>100</v>
      </c>
      <c r="M67" s="58">
        <f>IF((B67=G67),1,2)</f>
        <v>1</v>
      </c>
    </row>
    <row r="68" spans="2:13" ht="15" hidden="1" customHeight="1" x14ac:dyDescent="0.25">
      <c r="B68" s="49" t="str">
        <f t="shared" si="12"/>
        <v>per 100 referrals</v>
      </c>
      <c r="C68" s="49">
        <f t="shared" si="12"/>
        <v>0.26</v>
      </c>
      <c r="D68" s="49">
        <f t="shared" si="12"/>
        <v>0.01</v>
      </c>
      <c r="E68" s="49">
        <f>MAX(C68:D68)</f>
        <v>0.26</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Isabella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4137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3.3840947546531308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14</v>
      </c>
      <c r="Q7" s="42">
        <f>C6-C7</f>
        <v>4123</v>
      </c>
      <c r="R7" s="42">
        <f t="shared" ref="R7:R15" si="5">SUM(N7:Q7)</f>
        <v>4137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26</v>
      </c>
      <c r="D8" s="34">
        <f>IF((AND(C67&gt;0,C8&gt;0)),(C8/C67),0)</f>
        <v>185.71428571428569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26</v>
      </c>
      <c r="Q8" s="42">
        <f>(C$67*L67)-C8</f>
        <v>-11.999999999999998</v>
      </c>
      <c r="R8" s="42">
        <f t="shared" si="5"/>
        <v>14.050000000000002</v>
      </c>
      <c r="S8" s="30">
        <f t="shared" si="6"/>
        <v>23.744500000000006</v>
      </c>
      <c r="T8" s="30">
        <f t="shared" si="7"/>
        <v>-217.48999999999998</v>
      </c>
      <c r="U8" s="31">
        <f t="shared" si="8"/>
        <v>-0.10917513448894206</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26</v>
      </c>
      <c r="R9" s="42">
        <f t="shared" si="5"/>
        <v>26</v>
      </c>
      <c r="S9" s="30">
        <f t="shared" si="6"/>
        <v>0</v>
      </c>
      <c r="T9" s="30">
        <f t="shared" si="7"/>
        <v>0</v>
      </c>
      <c r="U9" s="31" t="str">
        <f t="shared" si="8"/>
        <v>- -</v>
      </c>
    </row>
    <row r="10" spans="2:21" ht="18" customHeight="1" x14ac:dyDescent="0.25">
      <c r="B10" s="32" t="str">
        <f>'Data Entry'!A10</f>
        <v>5. Cases Involving Secure Detention</v>
      </c>
      <c r="C10" s="33">
        <f>'Data Entry'!C10</f>
        <v>6</v>
      </c>
      <c r="D10" s="34">
        <f>IF(((AND(C68&gt;0,C10&gt;0))),(C10/(C68)),0)</f>
        <v>23.076923076923077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20</v>
      </c>
      <c r="R10" s="42">
        <f t="shared" si="5"/>
        <v>26</v>
      </c>
      <c r="S10" s="30">
        <f t="shared" si="6"/>
        <v>0</v>
      </c>
      <c r="T10" s="30">
        <f t="shared" si="7"/>
        <v>0</v>
      </c>
      <c r="U10" s="31" t="str">
        <f t="shared" si="8"/>
        <v>- -</v>
      </c>
    </row>
    <row r="11" spans="2:21" ht="18" customHeight="1" x14ac:dyDescent="0.25">
      <c r="B11" s="32" t="str">
        <f>'Data Entry'!A11</f>
        <v>6. Cases Petitioned (Charge Filed)</v>
      </c>
      <c r="C11" s="33">
        <f>'Data Entry'!C11</f>
        <v>9</v>
      </c>
      <c r="D11" s="34">
        <f>IF(((AND(C68&gt;0,C11&gt;0))),(C11/(C68)),0)</f>
        <v>34.615384615384613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17</v>
      </c>
      <c r="R11" s="42">
        <f t="shared" si="5"/>
        <v>26</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166.66666666666669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-6</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60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6</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33.333333333333336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10</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4.1369999999999996</v>
      </c>
      <c r="D42" s="56">
        <f>E6/1000</f>
        <v>0</v>
      </c>
      <c r="E42" s="56">
        <f>MAX(C42:D42)</f>
        <v>4.1369999999999996</v>
      </c>
      <c r="G42" s="1" t="str">
        <f>B42</f>
        <v>per 1000 youth</v>
      </c>
      <c r="L42" s="57">
        <v>1000</v>
      </c>
      <c r="M42" s="57"/>
      <c r="R42" s="49"/>
    </row>
    <row r="43" spans="2:18" ht="15" hidden="1" customHeight="1" x14ac:dyDescent="0.25">
      <c r="B43" s="49" t="s">
        <v>87</v>
      </c>
      <c r="C43" s="56">
        <f>C7/100</f>
        <v>0.14000000000000001</v>
      </c>
      <c r="D43" s="56">
        <f>E7/100</f>
        <v>0</v>
      </c>
      <c r="E43" s="56">
        <f>MAX(C43:D43,0)</f>
        <v>0.14000000000000001</v>
      </c>
      <c r="G43" s="1" t="str">
        <f>B43</f>
        <v>per 100 arrests</v>
      </c>
      <c r="L43" s="57">
        <v>100</v>
      </c>
      <c r="M43" s="57"/>
      <c r="R43" s="49"/>
    </row>
    <row r="44" spans="2:18" ht="15" hidden="1" customHeight="1" x14ac:dyDescent="0.25">
      <c r="B44" s="49" t="s">
        <v>88</v>
      </c>
      <c r="C44" s="56">
        <f>C8/100</f>
        <v>0.26</v>
      </c>
      <c r="D44" s="56">
        <f>E8/100</f>
        <v>0</v>
      </c>
      <c r="E44" s="56">
        <f>MAX(C44:D44,0)</f>
        <v>0.26</v>
      </c>
      <c r="G44" s="1" t="str">
        <f>B44</f>
        <v>per 100 referrals</v>
      </c>
      <c r="L44" s="57">
        <v>100</v>
      </c>
      <c r="M44" s="57"/>
      <c r="R44" s="49"/>
    </row>
    <row r="45" spans="2:18" ht="15" hidden="1" customHeight="1" x14ac:dyDescent="0.25">
      <c r="B45" s="49" t="s">
        <v>89</v>
      </c>
      <c r="C45" s="49">
        <f>C11/100</f>
        <v>0.09</v>
      </c>
      <c r="D45" s="49">
        <f>E11/100</f>
        <v>0</v>
      </c>
      <c r="E45" s="56">
        <f>MAX(C45:D45,0)</f>
        <v>0.09</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4.1369999999999996</v>
      </c>
      <c r="D48" s="56">
        <f>D42</f>
        <v>0</v>
      </c>
      <c r="E48" s="56">
        <f>MAX(C48:D48)</f>
        <v>4.1369999999999996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0.26</v>
      </c>
      <c r="D50" s="49">
        <f t="shared" si="9"/>
        <v>0</v>
      </c>
      <c r="E50" s="49">
        <f>MAX(C50:D50)</f>
        <v>0.26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4.1369999999999996</v>
      </c>
      <c r="D54" s="56">
        <f>D48</f>
        <v>0</v>
      </c>
      <c r="E54" s="56">
        <f>MAX(C54:D54)</f>
        <v>4.1369999999999996</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v>
      </c>
      <c r="E55" s="49">
        <f>MAX(C55:D55)</f>
        <v>0.14000000000000001</v>
      </c>
      <c r="G55" s="1" t="str">
        <f>G49</f>
        <v>per 100 arrests</v>
      </c>
      <c r="L55" s="58">
        <f>IF(($E49&gt;0),L49,L48)</f>
        <v>100</v>
      </c>
      <c r="M55" s="58"/>
    </row>
    <row r="56" spans="2:18" ht="15" hidden="1" customHeight="1" x14ac:dyDescent="0.25">
      <c r="B56" s="49" t="str">
        <f t="shared" si="10"/>
        <v>per 100 referrals</v>
      </c>
      <c r="C56" s="49">
        <f t="shared" si="10"/>
        <v>0.26</v>
      </c>
      <c r="D56" s="49">
        <f t="shared" si="10"/>
        <v>0</v>
      </c>
      <c r="E56" s="49">
        <f>MAX(C56:D56)</f>
        <v>0.26</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4.1369999999999996</v>
      </c>
      <c r="D60" s="56">
        <f>D54</f>
        <v>0</v>
      </c>
      <c r="E60" s="56">
        <f>MAX(C60:D60)</f>
        <v>4.1369999999999996</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v>
      </c>
      <c r="E61" s="49">
        <f>MAX(C61:D61)</f>
        <v>0.14000000000000001</v>
      </c>
      <c r="G61" s="1" t="str">
        <f>G55</f>
        <v>per 100 arrests</v>
      </c>
      <c r="L61" s="58">
        <f>IF(($E55&gt;0),L55,L54)</f>
        <v>100</v>
      </c>
      <c r="M61" s="58"/>
    </row>
    <row r="62" spans="2:18" ht="15" hidden="1" customHeight="1" x14ac:dyDescent="0.25">
      <c r="B62" s="49" t="str">
        <f t="shared" si="11"/>
        <v>per 100 referrals</v>
      </c>
      <c r="C62" s="49">
        <f t="shared" si="11"/>
        <v>0.26</v>
      </c>
      <c r="D62" s="49">
        <f t="shared" si="11"/>
        <v>0</v>
      </c>
      <c r="E62" s="49">
        <f>MAX(C62:D62)</f>
        <v>0.26</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4.1369999999999996</v>
      </c>
      <c r="D66" s="56">
        <f>D60</f>
        <v>0</v>
      </c>
      <c r="E66" s="56">
        <f>MAX(C66:D66)</f>
        <v>4.1369999999999996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v>
      </c>
      <c r="E67" s="49">
        <f>MAX(C67:D67)</f>
        <v>0.14000000000000001</v>
      </c>
      <c r="G67" s="1" t="str">
        <f>G61</f>
        <v>per 100 arrests</v>
      </c>
      <c r="L67" s="58">
        <f>IF(($E61&gt;0),L61,L60)</f>
        <v>100</v>
      </c>
      <c r="M67" s="58">
        <f>IF((B67=G67),1,2)</f>
        <v>1</v>
      </c>
    </row>
    <row r="68" spans="2:13" ht="15" hidden="1" customHeight="1" x14ac:dyDescent="0.25">
      <c r="B68" s="49" t="str">
        <f t="shared" si="12"/>
        <v>per 100 referrals</v>
      </c>
      <c r="C68" s="49">
        <f t="shared" si="12"/>
        <v>0.26</v>
      </c>
      <c r="D68" s="49">
        <f t="shared" si="12"/>
        <v>0</v>
      </c>
      <c r="E68" s="49">
        <f>MAX(C68:D68)</f>
        <v>0.26</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Isabella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4137</v>
      </c>
      <c r="D6" s="34"/>
      <c r="E6" s="33">
        <f>'Data Entry'!H6</f>
        <v>308</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14</v>
      </c>
      <c r="D7" s="34">
        <f>IF((AND(C66&gt;0,C7&gt;0)),(C7/C66),0)</f>
        <v>3.3840947546531308</v>
      </c>
      <c r="E7" s="33">
        <f>'Data Entry'!H7</f>
        <v>6</v>
      </c>
      <c r="F7" s="34">
        <f>IF((AND($E$7&gt;0,$D$66&gt;0)),($E$7/$D$66),0)</f>
        <v>19.480519480519479</v>
      </c>
      <c r="G7" s="39">
        <f t="shared" ref="G7:G15" si="0">IF(L$6=100,"*",IF(M7=FALSE,"--",IF(K7=20,"**",($F7/$D7))))</f>
        <v>5.7564935064935057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6</v>
      </c>
      <c r="O7" s="42">
        <f>E6-E7</f>
        <v>302</v>
      </c>
      <c r="P7" s="42">
        <f t="shared" ref="P7:P15" si="4">C7</f>
        <v>14</v>
      </c>
      <c r="Q7" s="42">
        <f>C6-C7</f>
        <v>4123</v>
      </c>
      <c r="R7" s="42">
        <f t="shared" ref="R7:R15" si="5">SUM(N7:Q7)</f>
        <v>4445</v>
      </c>
      <c r="S7" s="30">
        <f t="shared" ref="S7:S15" si="6">R7*((((N7*Q7)-(O7*P7))^2))</f>
        <v>1869834144500</v>
      </c>
      <c r="T7" s="30">
        <f t="shared" ref="T7:T15" si="7">(N7+O7)*(P7+Q7)*(N7+P7)*(O7+Q7)</f>
        <v>112766346000</v>
      </c>
      <c r="U7" s="31">
        <f t="shared" ref="U7:U15" si="8">IF((S7&gt;0),S7/T7,"- -")</f>
        <v>16.581490939681597</v>
      </c>
    </row>
    <row r="8" spans="2:21" ht="18" customHeight="1" x14ac:dyDescent="0.25">
      <c r="B8" s="32" t="str">
        <f>'Data Entry'!A8</f>
        <v>3. Refer to Juvenile Court</v>
      </c>
      <c r="C8" s="33">
        <f>'Data Entry'!C8</f>
        <v>26</v>
      </c>
      <c r="D8" s="34">
        <f>IF((AND(C67&gt;0,C8&gt;0)),(C8/C67),0)</f>
        <v>185.71428571428569</v>
      </c>
      <c r="E8" s="33">
        <f>'Data Entry'!H8</f>
        <v>5</v>
      </c>
      <c r="F8" s="34">
        <f>IF((AND($E$8&gt;0,$D$67&gt;0)),($E8/$D67),0)</f>
        <v>83.333333333333343</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5</v>
      </c>
      <c r="O8" s="42">
        <f>((D67*L67)-E8)+0.05</f>
        <v>1.05</v>
      </c>
      <c r="P8" s="42">
        <f t="shared" si="4"/>
        <v>26</v>
      </c>
      <c r="Q8" s="42">
        <f>(C$67*L67)-C8</f>
        <v>-11.999999999999998</v>
      </c>
      <c r="R8" s="42">
        <f t="shared" si="5"/>
        <v>20.049999999999997</v>
      </c>
      <c r="S8" s="30">
        <f t="shared" si="6"/>
        <v>152806.86449999997</v>
      </c>
      <c r="T8" s="30">
        <f t="shared" si="7"/>
        <v>-28751.414999999997</v>
      </c>
      <c r="U8" s="31">
        <f t="shared" si="8"/>
        <v>-5.3147597953005086</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26</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6</v>
      </c>
      <c r="D10" s="34">
        <f>IF(((AND(C68&gt;0,C10&gt;0))),(C10/(C68)),0)</f>
        <v>23.076923076923077</v>
      </c>
      <c r="E10" s="33">
        <f>'Data Entry'!H10</f>
        <v>1</v>
      </c>
      <c r="F10" s="34">
        <f>IF(((AND($E$10&gt;0,$D$68&gt;0))),($E$10/($D$68)),0)</f>
        <v>20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4</v>
      </c>
      <c r="P10" s="42">
        <f t="shared" si="4"/>
        <v>6</v>
      </c>
      <c r="Q10" s="42">
        <f>(C$68*L68)-C10</f>
        <v>20</v>
      </c>
      <c r="R10" s="42">
        <f t="shared" si="5"/>
        <v>31</v>
      </c>
      <c r="S10" s="30">
        <f t="shared" si="6"/>
        <v>496</v>
      </c>
      <c r="T10" s="30">
        <f t="shared" si="7"/>
        <v>21840</v>
      </c>
      <c r="U10" s="31">
        <f t="shared" si="8"/>
        <v>2.271062271062271E-2</v>
      </c>
    </row>
    <row r="11" spans="2:21" ht="18" customHeight="1" x14ac:dyDescent="0.25">
      <c r="B11" s="32" t="str">
        <f>'Data Entry'!A11</f>
        <v>6. Cases Petitioned (Charge Filed)</v>
      </c>
      <c r="C11" s="33">
        <f>'Data Entry'!C11</f>
        <v>9</v>
      </c>
      <c r="D11" s="34">
        <f>IF(((AND(C68&gt;0,C11&gt;0))),(C11/(C68)),0)</f>
        <v>34.615384615384613</v>
      </c>
      <c r="E11" s="33">
        <f>'Data Entry'!H11</f>
        <v>3</v>
      </c>
      <c r="F11" s="34">
        <f>IF(((AND($E$11&gt;0,$D$68&gt;0))),($E$11/($D$68)),0)</f>
        <v>60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2</v>
      </c>
      <c r="P11" s="42">
        <f t="shared" si="4"/>
        <v>9</v>
      </c>
      <c r="Q11" s="42">
        <f>(C$68*L68)-C11</f>
        <v>17</v>
      </c>
      <c r="R11" s="42">
        <f t="shared" si="5"/>
        <v>31</v>
      </c>
      <c r="S11" s="30">
        <f t="shared" si="6"/>
        <v>33759</v>
      </c>
      <c r="T11" s="30">
        <f t="shared" si="7"/>
        <v>29640</v>
      </c>
      <c r="U11" s="31">
        <f t="shared" si="8"/>
        <v>1.1389676113360323</v>
      </c>
    </row>
    <row r="12" spans="2:21" ht="18" customHeight="1" x14ac:dyDescent="0.25">
      <c r="B12" s="32" t="str">
        <f>'Data Entry'!A12</f>
        <v>7. Cases Resulting in Delinquent Findings</v>
      </c>
      <c r="C12" s="33">
        <f>'Data Entry'!C12</f>
        <v>15</v>
      </c>
      <c r="D12" s="34">
        <f>IF(((AND(C69&gt;0,C12&gt;0))),(C12/(C69)),0)</f>
        <v>166.66666666666669</v>
      </c>
      <c r="E12" s="33">
        <f>'Data Entry'!H12</f>
        <v>2</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1</v>
      </c>
      <c r="P12" s="42">
        <f t="shared" si="4"/>
        <v>15</v>
      </c>
      <c r="Q12" s="42">
        <f>(C69*L69)-C12</f>
        <v>-6</v>
      </c>
      <c r="R12" s="42">
        <f t="shared" si="5"/>
        <v>12</v>
      </c>
      <c r="S12" s="30">
        <f t="shared" si="6"/>
        <v>8748</v>
      </c>
      <c r="T12" s="30">
        <f t="shared" si="7"/>
        <v>-2295</v>
      </c>
      <c r="U12" s="31">
        <f t="shared" si="8"/>
        <v>-3.8117647058823527</v>
      </c>
    </row>
    <row r="13" spans="2:21" ht="18" customHeight="1" x14ac:dyDescent="0.25">
      <c r="B13" s="32" t="str">
        <f>'Data Entry'!A13</f>
        <v>8. Cases Resulting in Probation Placement</v>
      </c>
      <c r="C13" s="33">
        <f>'Data Entry'!C13</f>
        <v>9</v>
      </c>
      <c r="D13" s="34">
        <f>IF(((AND(C70&gt;0,C13&gt;0))),(C13/(C70)),0)</f>
        <v>60</v>
      </c>
      <c r="E13" s="33">
        <f>'Data Entry'!H13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9</v>
      </c>
      <c r="Q13" s="42">
        <f>(C70*L70)-C13</f>
        <v>6</v>
      </c>
      <c r="R13" s="42">
        <f t="shared" si="5"/>
        <v>17</v>
      </c>
      <c r="S13" s="30">
        <f t="shared" si="6"/>
        <v>2448</v>
      </c>
      <c r="T13" s="30">
        <f t="shared" si="7"/>
        <v>1980</v>
      </c>
      <c r="U13" s="31">
        <f t="shared" si="8"/>
        <v>1.2363636363636363</v>
      </c>
    </row>
    <row r="14" spans="2:21" ht="30.75" customHeight="1" x14ac:dyDescent="0.25">
      <c r="B14" s="32" t="str">
        <f>'Data Entry'!A14</f>
        <v xml:space="preserve">9. Cases Resulting in Confinement in Secure Juvenile Correctional Facilities </v>
      </c>
      <c r="C14" s="33">
        <f>'Data Entry'!C14</f>
        <v>5</v>
      </c>
      <c r="D14" s="34">
        <f>IF(((AND(C70&gt;0,C14&gt;0))), ((C14/(C70))),0)</f>
        <v>33.333333333333336</v>
      </c>
      <c r="E14" s="33">
        <f>'Data Entry'!H14</f>
        <v>1</v>
      </c>
      <c r="F14" s="34">
        <f>IF(((AND($D$70&gt;0,$E$14&gt;0))), (($E$14/($D$70))),0)</f>
        <v>50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1</v>
      </c>
      <c r="P14" s="42">
        <f t="shared" si="4"/>
        <v>5</v>
      </c>
      <c r="Q14" s="42">
        <f>(C70*L70)-C14</f>
        <v>10</v>
      </c>
      <c r="R14" s="42">
        <f t="shared" si="5"/>
        <v>17</v>
      </c>
      <c r="S14" s="30">
        <f t="shared" si="6"/>
        <v>425</v>
      </c>
      <c r="T14" s="30">
        <f t="shared" si="7"/>
        <v>1980</v>
      </c>
      <c r="U14" s="31">
        <f t="shared" si="8"/>
        <v>0.21464646464646464</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9</v>
      </c>
      <c r="R15" s="42">
        <f t="shared" si="5"/>
        <v>12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4.1369999999999996</v>
      </c>
      <c r="D42" s="56">
        <f>E6/1000</f>
        <v>0.308</v>
      </c>
      <c r="E42" s="56">
        <f>MAX(C42:D42)</f>
        <v>4.1369999999999996</v>
      </c>
      <c r="G42" s="1" t="str">
        <f>B42</f>
        <v>per 1000 youth</v>
      </c>
      <c r="L42" s="57">
        <v>1000</v>
      </c>
      <c r="M42" s="57"/>
      <c r="R42" s="49"/>
    </row>
    <row r="43" spans="2:18" ht="15" hidden="1" customHeight="1" x14ac:dyDescent="0.25">
      <c r="B43" s="49" t="s">
        <v>87</v>
      </c>
      <c r="C43" s="56">
        <f>C7/100</f>
        <v>0.14000000000000001</v>
      </c>
      <c r="D43" s="56">
        <f>E7/100</f>
        <v>0.06</v>
      </c>
      <c r="E43" s="56">
        <f>MAX(C43:D43,0)</f>
        <v>0.14000000000000001</v>
      </c>
      <c r="G43" s="1" t="str">
        <f>B43</f>
        <v>per 100 arrests</v>
      </c>
      <c r="L43" s="57">
        <v>100</v>
      </c>
      <c r="M43" s="57"/>
      <c r="R43" s="49"/>
    </row>
    <row r="44" spans="2:18" ht="15" hidden="1" customHeight="1" x14ac:dyDescent="0.25">
      <c r="B44" s="49" t="s">
        <v>88</v>
      </c>
      <c r="C44" s="56">
        <f>C8/100</f>
        <v>0.26</v>
      </c>
      <c r="D44" s="56">
        <f>E8/100</f>
        <v>0.05</v>
      </c>
      <c r="E44" s="56">
        <f>MAX(C44:D44,0)</f>
        <v>0.26</v>
      </c>
      <c r="G44" s="1" t="str">
        <f>B44</f>
        <v>per 100 referrals</v>
      </c>
      <c r="L44" s="57">
        <v>100</v>
      </c>
      <c r="M44" s="57"/>
      <c r="R44" s="49"/>
    </row>
    <row r="45" spans="2:18" ht="15" hidden="1" customHeight="1" x14ac:dyDescent="0.25">
      <c r="B45" s="49" t="s">
        <v>89</v>
      </c>
      <c r="C45" s="49">
        <f>C11/100</f>
        <v>0.09</v>
      </c>
      <c r="D45" s="49">
        <f>E11/100</f>
        <v>0.03</v>
      </c>
      <c r="E45" s="56">
        <f>MAX(C45:D45,0)</f>
        <v>0.09</v>
      </c>
      <c r="G45" s="1" t="str">
        <f>B45</f>
        <v>per 100 youth petitioned</v>
      </c>
      <c r="L45" s="57">
        <v>100</v>
      </c>
      <c r="M45" s="57"/>
      <c r="R45" s="49"/>
    </row>
    <row r="46" spans="2:18" ht="15" hidden="1" customHeight="1" x14ac:dyDescent="0.25">
      <c r="B46" s="49" t="s">
        <v>90</v>
      </c>
      <c r="C46" s="49">
        <f>C12/100</f>
        <v>0.15</v>
      </c>
      <c r="D46" s="49">
        <f>E12/100</f>
        <v>0.02</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4.1369999999999996</v>
      </c>
      <c r="D48" s="56">
        <f>D42</f>
        <v>0.308</v>
      </c>
      <c r="E48" s="56">
        <f>MAX(C48:D48)</f>
        <v>4.1369999999999996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0.14000000000000001</v>
      </c>
      <c r="D49" s="49">
        <f t="shared" si="9"/>
        <v>0.06</v>
      </c>
      <c r="E49" s="49">
        <f>MAX(C49:D49)</f>
        <v>0.14000000000000001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0.26</v>
      </c>
      <c r="D50" s="49">
        <f t="shared" si="9"/>
        <v>0.05</v>
      </c>
      <c r="E50" s="49">
        <f>MAX(C50:D50)</f>
        <v>0.26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0.03</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0.02</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4.1369999999999996</v>
      </c>
      <c r="D54" s="56">
        <f>D48</f>
        <v>0.308</v>
      </c>
      <c r="E54" s="56">
        <f>MAX(C54:D54)</f>
        <v>4.1369999999999996</v>
      </c>
      <c r="G54" s="1" t="str">
        <f>G48</f>
        <v>per 1000 youth</v>
      </c>
      <c r="L54" s="58">
        <f>L48</f>
        <v>1000</v>
      </c>
      <c r="M54" s="58"/>
    </row>
    <row r="55" spans="2:18" ht="15" hidden="1" customHeight="1" x14ac:dyDescent="0.25">
      <c r="B55" s="49" t="str">
        <f t="shared" ref="B55:D56" si="10">IF(($E49&gt;0),B49,B48)</f>
        <v>per 100 arrests</v>
      </c>
      <c r="C55" s="49">
        <f t="shared" si="10"/>
        <v>0.14000000000000001</v>
      </c>
      <c r="D55" s="49">
        <f t="shared" si="10"/>
        <v>0.06</v>
      </c>
      <c r="E55" s="49">
        <f>MAX(C55:D55)</f>
        <v>0.14000000000000001</v>
      </c>
      <c r="G55" s="1" t="str">
        <f>G49</f>
        <v>per 100 arrests</v>
      </c>
      <c r="L55" s="58">
        <f>IF(($E49&gt;0),L49,L48)</f>
        <v>100</v>
      </c>
      <c r="M55" s="58"/>
    </row>
    <row r="56" spans="2:18" ht="15" hidden="1" customHeight="1" x14ac:dyDescent="0.25">
      <c r="B56" s="49" t="str">
        <f t="shared" si="10"/>
        <v>per 100 referrals</v>
      </c>
      <c r="C56" s="49">
        <f t="shared" si="10"/>
        <v>0.26</v>
      </c>
      <c r="D56" s="49">
        <f t="shared" si="10"/>
        <v>0.05</v>
      </c>
      <c r="E56" s="49">
        <f>MAX(C56:D56)</f>
        <v>0.26</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0.03</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0.02</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4.1369999999999996</v>
      </c>
      <c r="D60" s="56">
        <f>D54</f>
        <v>0.308</v>
      </c>
      <c r="E60" s="56">
        <f>MAX(C60:D60)</f>
        <v>4.1369999999999996</v>
      </c>
      <c r="G60" s="1" t="str">
        <f>G54</f>
        <v>per 1000 youth</v>
      </c>
      <c r="L60" s="58">
        <f>L54</f>
        <v>1000</v>
      </c>
      <c r="M60" s="58"/>
    </row>
    <row r="61" spans="2:18" ht="15" hidden="1" customHeight="1" x14ac:dyDescent="0.25">
      <c r="B61" s="49" t="str">
        <f t="shared" ref="B61:D62" si="11">IF(($E55&gt;0),B55,B54)</f>
        <v>per 100 arrests</v>
      </c>
      <c r="C61" s="49">
        <f t="shared" si="11"/>
        <v>0.14000000000000001</v>
      </c>
      <c r="D61" s="49">
        <f t="shared" si="11"/>
        <v>0.06</v>
      </c>
      <c r="E61" s="49">
        <f>MAX(C61:D61)</f>
        <v>0.14000000000000001</v>
      </c>
      <c r="G61" s="1" t="str">
        <f>G55</f>
        <v>per 100 arrests</v>
      </c>
      <c r="L61" s="58">
        <f>IF(($E55&gt;0),L55,L54)</f>
        <v>100</v>
      </c>
      <c r="M61" s="58"/>
    </row>
    <row r="62" spans="2:18" ht="15" hidden="1" customHeight="1" x14ac:dyDescent="0.25">
      <c r="B62" s="49" t="str">
        <f t="shared" si="11"/>
        <v>per 100 referrals</v>
      </c>
      <c r="C62" s="49">
        <f t="shared" si="11"/>
        <v>0.26</v>
      </c>
      <c r="D62" s="49">
        <f t="shared" si="11"/>
        <v>0.05</v>
      </c>
      <c r="E62" s="49">
        <f>MAX(C62:D62)</f>
        <v>0.26</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0.03</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0.02</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4.1369999999999996</v>
      </c>
      <c r="D66" s="56">
        <f>D60</f>
        <v>0.308</v>
      </c>
      <c r="E66" s="56">
        <f>MAX(C66:D66)</f>
        <v>4.1369999999999996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0.14000000000000001</v>
      </c>
      <c r="D67" s="49">
        <f t="shared" si="12"/>
        <v>0.06</v>
      </c>
      <c r="E67" s="49">
        <f>MAX(C67:D67)</f>
        <v>0.14000000000000001</v>
      </c>
      <c r="G67" s="1" t="str">
        <f>G61</f>
        <v>per 100 arrests</v>
      </c>
      <c r="L67" s="58">
        <f>IF(($E61&gt;0),L61,L60)</f>
        <v>100</v>
      </c>
      <c r="M67" s="58">
        <f>IF((B67=G67),1,2)</f>
        <v>1</v>
      </c>
    </row>
    <row r="68" spans="2:13" ht="15" hidden="1" customHeight="1" x14ac:dyDescent="0.25">
      <c r="B68" s="49" t="str">
        <f t="shared" si="12"/>
        <v>per 100 referrals</v>
      </c>
      <c r="C68" s="49">
        <f t="shared" si="12"/>
        <v>0.26</v>
      </c>
      <c r="D68" s="49">
        <f t="shared" si="12"/>
        <v>0.05</v>
      </c>
      <c r="E68" s="49">
        <f>MAX(C68:D68)</f>
        <v>0.26</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0.03</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0.15</v>
      </c>
      <c r="D70" s="49">
        <f>IF(($E64&gt;0),D64,D63)</f>
        <v>0.02</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U47JMPN4QEAR-1806752177-30182</_dlc_DocId>
    <_dlc_DocIdUrl xmlns="ac3811b5-0f3e-49e2-ba69-f2ffa0c782af">
      <Url>https://michiganphi.sharepoint.com/sites/CMDMC/_layouts/15/DocIdRedir.aspx?ID=U47JMPN4QEAR-1806752177-30182</Url>
      <Description>U47JMPN4QEAR-1806752177-30182</Description>
    </_dlc_DocIdUrl>
  </documentManagement>
</p:properties>
</file>

<file path=customXml/itemProps1.xml><?xml version="1.0" encoding="utf-8"?>
<ds:datastoreItem xmlns:ds="http://schemas.openxmlformats.org/officeDocument/2006/customXml" ds:itemID="{9A66EC8D-D9C4-4C02-8110-B0A02DB827C3}"/>
</file>

<file path=customXml/itemProps2.xml><?xml version="1.0" encoding="utf-8"?>
<ds:datastoreItem xmlns:ds="http://schemas.openxmlformats.org/officeDocument/2006/customXml" ds:itemID="{4CC8D2E3-1387-40BF-9F18-6D12527BBA2F}"/>
</file>

<file path=customXml/itemProps3.xml><?xml version="1.0" encoding="utf-8"?>
<ds:datastoreItem xmlns:ds="http://schemas.openxmlformats.org/officeDocument/2006/customXml" ds:itemID="{2883BF72-FD65-4A77-96DA-0B6D93AF1042}"/>
</file>

<file path=customXml/itemProps4.xml><?xml version="1.0" encoding="utf-8"?>
<ds:datastoreItem xmlns:ds="http://schemas.openxmlformats.org/officeDocument/2006/customXml" ds:itemID="{ADA674C4-B054-47E9-A16B-72374D0FFF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ebd41b46-f79d-4857-ba8d-e61dcad43747</vt:lpwstr>
  </property>
</Properties>
</file>