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0" documentId="8_{8E4C704A-0700-4CF2-9B9E-24942E73A604}" xr6:coauthVersionLast="47" xr6:coauthVersionMax="47" xr10:uidLastSave="{DF43857A-4AA2-48D5-87D4-546A264EDDD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c r="G54" i="2"/>
  <c r="G60" i="2"/>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F27" i="3" s="1"/>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F27"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5"/>
  <c r="M66" i="5"/>
  <c r="F27" i="2"/>
  <c r="M66" i="2"/>
  <c r="F27" i="6"/>
  <c r="M66" i="6"/>
  <c r="M66" i="3"/>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64" i="5" s="1"/>
  <c r="E58" i="8"/>
  <c r="L64" i="5"/>
  <c r="D64" i="5"/>
  <c r="L64" i="3"/>
  <c r="B56" i="8"/>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L64" i="8"/>
  <c r="B64" i="8"/>
  <c r="D64" i="8"/>
  <c r="E64" i="8" s="1"/>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C69" i="7"/>
  <c r="D12" i="7" s="1"/>
  <c r="D63" i="8"/>
  <c r="E63" i="3"/>
  <c r="C69" i="3" s="1"/>
  <c r="D12" i="3" s="1"/>
  <c r="L69" i="7"/>
  <c r="D70" i="6"/>
  <c r="F14" i="6" s="1"/>
  <c r="L63" i="8"/>
  <c r="L70" i="8" s="1"/>
  <c r="C63" i="8"/>
  <c r="C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D13" i="6"/>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Q15" i="7" l="1"/>
  <c r="D69" i="3"/>
  <c r="E69" i="3" s="1"/>
  <c r="Q12" i="7"/>
  <c r="B69" i="3"/>
  <c r="M69" i="3" s="1"/>
  <c r="L69" i="3"/>
  <c r="Q12" i="3" s="1"/>
  <c r="E63" i="8"/>
  <c r="D69" i="8" s="1"/>
  <c r="F15" i="8" s="1"/>
  <c r="Q13" i="8"/>
  <c r="O13" i="3"/>
  <c r="F14" i="3"/>
  <c r="F13" i="6"/>
  <c r="O14" i="6"/>
  <c r="D13" i="3"/>
  <c r="B69" i="6"/>
  <c r="M69" i="6" s="1"/>
  <c r="E69" i="7"/>
  <c r="C69" i="6"/>
  <c r="D12" i="6" s="1"/>
  <c r="O13" i="6"/>
  <c r="E70" i="6"/>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2" i="8" l="1"/>
  <c r="R15" i="7"/>
  <c r="S15" i="7" s="1"/>
  <c r="U15" i="7" s="1"/>
  <c r="J15" i="7" s="1"/>
  <c r="O15" i="3"/>
  <c r="F15" i="3"/>
  <c r="F12" i="3"/>
  <c r="K12" i="7"/>
  <c r="R13" i="8"/>
  <c r="S13" i="8" s="1"/>
  <c r="U13" i="8" s="1"/>
  <c r="J13" i="8" s="1"/>
  <c r="M13" i="8" s="1"/>
  <c r="G13" i="8" s="1"/>
  <c r="K14" i="16" s="1"/>
  <c r="L69" i="8"/>
  <c r="O15" i="8" s="1"/>
  <c r="C69" i="8"/>
  <c r="B69" i="8"/>
  <c r="M69" i="8" s="1"/>
  <c r="F35" i="6"/>
  <c r="T12" i="7"/>
  <c r="F32" i="6"/>
  <c r="K13" i="6"/>
  <c r="K15" i="7"/>
  <c r="L15" i="7" s="1"/>
  <c r="S16" i="16" s="1"/>
  <c r="K14" i="6"/>
  <c r="R14" i="3"/>
  <c r="S14" i="3" s="1"/>
  <c r="U14" i="3" s="1"/>
  <c r="J14" i="3" s="1"/>
  <c r="M14" i="3" s="1"/>
  <c r="G14" i="3" s="1"/>
  <c r="I15" i="16" s="1"/>
  <c r="K13" i="3"/>
  <c r="R14" i="8"/>
  <c r="S14" i="8" s="1"/>
  <c r="R14" i="6"/>
  <c r="S14" i="6" s="1"/>
  <c r="U14" i="6" s="1"/>
  <c r="J14" i="6" s="1"/>
  <c r="M14" i="6" s="1"/>
  <c r="G14" i="6" s="1"/>
  <c r="M15" i="13" s="1"/>
  <c r="T14" i="6"/>
  <c r="T13" i="6"/>
  <c r="R12" i="7"/>
  <c r="S12" i="7" s="1"/>
  <c r="U12" i="7" s="1"/>
  <c r="J12" i="7" s="1"/>
  <c r="O15" i="6"/>
  <c r="R13" i="6"/>
  <c r="S13" i="6" s="1"/>
  <c r="U13" i="6" s="1"/>
  <c r="J13" i="6" s="1"/>
  <c r="M13" i="6" s="1"/>
  <c r="G13" i="6" s="1"/>
  <c r="M14" i="13" s="1"/>
  <c r="Q12" i="6"/>
  <c r="Q15" i="6"/>
  <c r="O12" i="6"/>
  <c r="E69" i="6"/>
  <c r="D15" i="6"/>
  <c r="T13" i="8"/>
  <c r="T13" i="3"/>
  <c r="K14" i="3"/>
  <c r="T14" i="3"/>
  <c r="R13" i="3"/>
  <c r="S13" i="3" s="1"/>
  <c r="U13" i="3" s="1"/>
  <c r="J13" i="3" s="1"/>
  <c r="T15" i="7"/>
  <c r="F15" i="6"/>
  <c r="L13" i="4"/>
  <c r="O14" i="16" s="1"/>
  <c r="L11" i="4"/>
  <c r="O12" i="16" s="1"/>
  <c r="K8" i="7"/>
  <c r="O13" i="2"/>
  <c r="F35" i="8"/>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I13" i="9" l="1"/>
  <c r="L12" i="7"/>
  <c r="S13" i="16" s="1"/>
  <c r="Q12" i="8"/>
  <c r="O12" i="8"/>
  <c r="K12" i="8" s="1"/>
  <c r="Q15" i="8"/>
  <c r="R15" i="8" s="1"/>
  <c r="S15" i="8" s="1"/>
  <c r="D12" i="8"/>
  <c r="L13" i="8"/>
  <c r="T14" i="16" s="1"/>
  <c r="Q14" i="13"/>
  <c r="E69" i="8"/>
  <c r="F32" i="8"/>
  <c r="L14" i="3"/>
  <c r="P15" i="16" s="1"/>
  <c r="M12" i="7"/>
  <c r="T15" i="6"/>
  <c r="K15" i="6"/>
  <c r="K12" i="6"/>
  <c r="R15" i="6"/>
  <c r="S15" i="6" s="1"/>
  <c r="U15" i="6" s="1"/>
  <c r="J15" i="6" s="1"/>
  <c r="M15" i="6" s="1"/>
  <c r="G15" i="6" s="1"/>
  <c r="I15" i="13"/>
  <c r="E14" i="9"/>
  <c r="L13" i="3"/>
  <c r="P14" i="16" s="1"/>
  <c r="U14" i="8"/>
  <c r="J14" i="8" s="1"/>
  <c r="N30" i="8" s="1"/>
  <c r="L13" i="6"/>
  <c r="R14" i="16" s="1"/>
  <c r="R12" i="6"/>
  <c r="S12" i="6" s="1"/>
  <c r="U12" i="6" s="1"/>
  <c r="J12" i="6" s="1"/>
  <c r="M12" i="6" s="1"/>
  <c r="G12" i="6" s="1"/>
  <c r="G13" i="9"/>
  <c r="T12" i="6"/>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V11" i="13"/>
  <c r="G14" i="9"/>
  <c r="T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G12" i="13"/>
  <c r="G12" i="16"/>
  <c r="N9" i="9"/>
  <c r="P10" i="16"/>
  <c r="M14" i="7"/>
  <c r="N30" i="7"/>
  <c r="L14" i="7"/>
  <c r="S15" i="16" s="1"/>
  <c r="L8" i="7"/>
  <c r="S9" i="16" s="1"/>
  <c r="O13" i="9"/>
  <c r="M9" i="9"/>
  <c r="M10" i="9"/>
  <c r="O14" i="9"/>
  <c r="V10" i="13"/>
  <c r="V15"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T15" i="8" l="1"/>
  <c r="Z14" i="13"/>
  <c r="R13" i="9"/>
  <c r="P13" i="9"/>
  <c r="I14" i="13"/>
  <c r="L15" i="6"/>
  <c r="R16" i="16" s="1"/>
  <c r="X14" i="13"/>
  <c r="L12" i="6"/>
  <c r="R13" i="16" s="1"/>
  <c r="V14" i="13"/>
  <c r="I14" i="16"/>
  <c r="N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5" i="9"/>
  <c r="X16" i="13"/>
  <c r="P12" i="9"/>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<sst xmlns="http://schemas.openxmlformats.org/spreadsheetml/2006/main" count="654" uniqueCount="141">
  <si>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</si>
  <si>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</si>
  <si>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</si>
  <si>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</si>
  <si>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</si>
  <si>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</si>
  <si>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</si>
  <si>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</si>
  <si>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</si>
  <si>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</si>
  <si>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</si>
  <si>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</si>
  <si>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</si>
  <si>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</si>
  <si>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</si>
  <si>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</si>
  <si>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</si>
  <si>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</si>
  <si>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</si>
  <si>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</si>
  <si>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</si>
  <si>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</si>
  <si>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</si>
  <si>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</si>
  <si>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</si>
  <si>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</si>
  <si>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</si>
  <si>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</si>
  <si>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</si>
  <si>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</si>
  <si>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</si>
  <si>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</si>
  <si>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</si>
  <si>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</si>
  <si>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</si>
  <si>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</si>
  <si>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</si>
  <si>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</si>
  <si>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</si>
  <si>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</si>
  <si>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</si>
  <si>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</si>
  <si>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</si>
  <si>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</si>
  <si>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</si>
  <si>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</si>
  <si>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</si>
  <si>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</si>
  <si>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</si>
  <si>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</si>
  <si>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</si>
  <si>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</si>
  <si>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</si>
  <si>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</si>
  <si>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</si>
  <si>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</si>
  <si>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</si>
  <si>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</si>
  <si>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</si>
  <si>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</si>
  <si>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</si>
  <si>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</si>
  <si>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</si>
  <si>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</si>
  <si>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</si>
  <si>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</si>
  <si>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</si>
  <si>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</si>
  <si>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</si>
  <si>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</si>
  <si>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</si>
  <si>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</si>
  <si>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</si>
  <si>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</si>
  <si>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</si>
  <si>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</si>
  <si>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</si>
  <si>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</si>
  <si>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</si>
  <si>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</si>
  <si>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</si>
  <si>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</si>
  <si>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</si>
  <si>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</si>
  <si>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</si>
  <si>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</si>
  <si>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</si>
  <si>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</si>
  <si>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</si>
  <si>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</si>
  <si>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</si>
  <si>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</si>
  <si>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</si>
  <si>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</si>
  <si>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</si>
  <si>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</si>
  <si>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</si>
  <si>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</si>
  <si>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</si>
  <si>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</si>
  <si>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</si>
  <si>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</si>
  <si>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</si>
  <si>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</si>
  <si>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</si>
  <si>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</si>
  <si>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</si>
  <si>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</si>
  <si>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</si>
  <si>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</si>
  <si>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</si>
  <si>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</si>
  <si>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</si>
  <si>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</si>
  <si>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</si>
  <si>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</si>
  <si>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</si>
  <si>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</si>
  <si>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</si>
  <si>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</si>
  <si>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</si>
  <si>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</si>
  <si>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</si>
  <si>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</si>
  <si>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</si>
  <si>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</si>
  <si>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</si>
  <si>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</si>
  <si>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</si>
  <si>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</si>
  <si>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</si>
  <si>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</si>
  <si>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</si>
  <si>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</si>
  <si>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</si>
  <si>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</si>
  <si>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Iron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</si>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</sst>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Iron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N=7</c:v>
                </c:pt>
                <c:pt idx="4">
                  <c:v>Detentions, total N=0</c:v>
                </c:pt>
                <c:pt idx="5">
                  <c:v>Referrals, total N=17</c:v>
                </c:pt>
                <c:pt idx="6">
                  <c:v>Arrests, total N=13</c:v>
                </c:pt>
                <c:pt idx="7">
                  <c:v>Population, total N=878</c:v>
                </c:pt>
              </c:strCache>
            </c:strRef>
          </c:cat>
          <c:val>
            <c:numRef>
              <c:f>'Stacked 100%'!$B$7:$B$14</c:f>
              <c:numCache>
                <c:formatCode>0%</c:formatCode>
                <c:ptCount val="8"/>
                <c:pt idx="0">
                  <c:v>0</c:v>
                </c:pt>
                <c:pt idx="1">
                  <c:v>0</c:v>
                </c:pt>
                <c:pt idx="2">
                  <c:v>0.2</c:v>
                </c:pt>
                <c:pt idx="3">
                  <c:v>0</c:v>
                </c:pt>
                <c:pt idx="4">
                  <c:v>0</c:v>
                </c:pt>
                <c:pt idx="5">
                  <c:v>5.8823529411764705E-2</c:v>
                </c:pt>
                <c:pt idx="6">
                  <c:v>0</c:v>
                </c:pt>
                <c:pt idx="7">
                  <c:v>1.366742596810934E-2</c:v>
                </c:pt>
              </c:numCache>
            </c:numRef>
          </c:val>
          <c:extLst>
            <c:ext xmlns:c16="http://schemas.microsoft.com/office/drawing/2014/chart" uri="{C3380CC4-5D6E-409C-BE32-E72D297353CC}">
              <c16:uniqueId val="{00000000-FAD1-4FBC-941F-B3F8E7352BD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N=7</c:v>
                </c:pt>
                <c:pt idx="4">
                  <c:v>Detentions, total N=0</c:v>
                </c:pt>
                <c:pt idx="5">
                  <c:v>Referrals, total N=17</c:v>
                </c:pt>
                <c:pt idx="6">
                  <c:v>Arrests, total N=13</c:v>
                </c:pt>
                <c:pt idx="7">
                  <c:v>Population, total N=878</c:v>
                </c:pt>
              </c:strCache>
            </c:strRef>
          </c:cat>
          <c:val>
            <c:numRef>
              <c:f>'Stacked 100%'!$C$7:$C$14</c:f>
              <c:numCache>
                <c:formatCode>0%</c:formatCode>
                <c:ptCount val="8"/>
                <c:pt idx="0">
                  <c:v>0</c:v>
                </c:pt>
                <c:pt idx="1">
                  <c:v>0</c:v>
                </c:pt>
                <c:pt idx="2">
                  <c:v>0</c:v>
                </c:pt>
                <c:pt idx="3">
                  <c:v>0</c:v>
                </c:pt>
                <c:pt idx="4">
                  <c:v>0</c:v>
                </c:pt>
                <c:pt idx="5">
                  <c:v>0</c:v>
                </c:pt>
                <c:pt idx="6">
                  <c:v>0</c:v>
                </c:pt>
                <c:pt idx="7">
                  <c:v>5.5808656036446469E-2</c:v>
                </c:pt>
              </c:numCache>
            </c:numRef>
          </c:val>
          <c:extLst>
            <c:ext xmlns:c16="http://schemas.microsoft.com/office/drawing/2014/chart" uri="{C3380CC4-5D6E-409C-BE32-E72D297353CC}">
              <c16:uniqueId val="{00000001-FAD1-4FBC-941F-B3F8E7352BD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N=5</c:v>
                </c:pt>
                <c:pt idx="3">
                  <c:v>Petitions, total N=7</c:v>
                </c:pt>
                <c:pt idx="4">
                  <c:v>Detentions, total N=0</c:v>
                </c:pt>
                <c:pt idx="5">
                  <c:v>Referrals, total N=17</c:v>
                </c:pt>
                <c:pt idx="6">
                  <c:v>Arrests, total N=13</c:v>
                </c:pt>
                <c:pt idx="7">
                  <c:v>Population, total N=878</c:v>
                </c:pt>
              </c:strCache>
            </c:strRef>
          </c:cat>
          <c:val>
            <c:numRef>
              <c:f>'Stacked 100%'!$H$7:$H$14</c:f>
              <c:numCache>
                <c:formatCode>0%</c:formatCode>
                <c:ptCount val="8"/>
                <c:pt idx="0">
                  <c:v>0</c:v>
                </c:pt>
                <c:pt idx="1">
                  <c:v>0</c:v>
                </c:pt>
                <c:pt idx="2">
                  <c:v>0</c:v>
                </c:pt>
                <c:pt idx="3">
                  <c:v>0</c:v>
                </c:pt>
                <c:pt idx="4">
                  <c:v>0</c:v>
                </c:pt>
                <c:pt idx="5">
                  <c:v>0</c:v>
                </c:pt>
                <c:pt idx="6">
                  <c:v>0</c:v>
                </c:pt>
                <c:pt idx="7">
                  <c:v>3.1133088765624918E-5</c:v>
                </c:pt>
              </c:numCache>
            </c:numRef>
          </c:val>
          <c:extLst>
            <c:ext xmlns:c16="http://schemas.microsoft.com/office/drawing/2014/chart" uri="{C3380CC4-5D6E-409C-BE32-E72D297353CC}">
              <c16:uniqueId val="{00000002-FAD1-4FBC-941F-B3F8E7352BD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N=5</c:v>
                </c:pt>
                <c:pt idx="3">
                  <c:v>Petitions, total N=7</c:v>
                </c:pt>
                <c:pt idx="4">
                  <c:v>Detentions, total N=0</c:v>
                </c:pt>
                <c:pt idx="5">
                  <c:v>Referrals, total N=17</c:v>
                </c:pt>
                <c:pt idx="6">
                  <c:v>Arrests, total N=13</c:v>
                </c:pt>
                <c:pt idx="7">
                  <c:v>Population, total N=878</c:v>
                </c:pt>
              </c:strCache>
            </c:strRef>
          </c:cat>
          <c:val>
            <c:numRef>
              <c:f>'Stacked 100%'!$I$7:$I$14</c:f>
              <c:numCache>
                <c:formatCode>0%</c:formatCode>
                <c:ptCount val="8"/>
                <c:pt idx="0">
                  <c:v>0</c:v>
                </c:pt>
                <c:pt idx="1">
                  <c:v>0</c:v>
                </c:pt>
                <c:pt idx="2">
                  <c:v>0</c:v>
                </c:pt>
                <c:pt idx="3">
                  <c:v>0</c:v>
                </c:pt>
                <c:pt idx="4">
                  <c:v>0</c:v>
                </c:pt>
                <c:pt idx="5">
                  <c:v>0.11764705882352941</c:v>
                </c:pt>
                <c:pt idx="6">
                  <c:v>1</c:v>
                </c:pt>
                <c:pt idx="7">
                  <c:v>0.90318906605922555</c:v>
                </c:pt>
              </c:numCache>
            </c:numRef>
          </c:val>
          <c:extLst>
            <c:ext xmlns:c16="http://schemas.microsoft.com/office/drawing/2014/chart" uri="{C3380CC4-5D6E-409C-BE32-E72D297353CC}">
              <c16:uniqueId val="{00000003-FAD1-4FBC-941F-B3F8E7352BD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N=5</c:v>
                </c:pt>
                <c:pt idx="3">
                  <c:v>Petitions, total N=7</c:v>
                </c:pt>
                <c:pt idx="4">
                  <c:v>Detentions, total N=0</c:v>
                </c:pt>
                <c:pt idx="5">
                  <c:v>Referrals, total N=17</c:v>
                </c:pt>
                <c:pt idx="6">
                  <c:v>Arrests, total N=13</c:v>
                </c:pt>
                <c:pt idx="7">
                  <c:v>Population, total N=878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D1-4FBC-941F-B3F8E7352BD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878</v>
      </c>
      <c r="C6" s="11">
        <v>793</v>
      </c>
      <c r="D6" s="11">
        <v>12</v>
      </c>
      <c r="E6" s="11">
        <v>49</v>
      </c>
      <c r="F6" s="11">
        <v>6</v>
      </c>
      <c r="G6" s="11"/>
      <c r="H6" s="11">
        <v>18</v>
      </c>
      <c r="I6" s="11"/>
      <c r="J6" s="91">
        <f>SUM(D6:I6)</f>
        <v>85</v>
      </c>
      <c r="K6" s="92"/>
    </row>
    <row r="7" spans="1:11" ht="15.75" customHeight="1" thickBot="1">
      <c r="A7" s="10" t="s">
        <v>8</v>
      </c>
      <c r="B7" s="11">
        <f t="shared" ref="B7:B15" si="0">SUM(C7:I7)+K7</f>
        <v>13</v>
      </c>
      <c r="C7" s="11">
        <v>13</v>
      </c>
      <c r="D7" s="11"/>
      <c r="E7" s="11"/>
      <c r="F7" s="11"/>
      <c r="G7" s="11"/>
      <c r="H7" s="11"/>
      <c r="I7" s="11"/>
      <c r="J7" s="91">
        <f t="shared" ref="J7:J15" si="1">SUM(D7:I7)</f>
        <v>0</v>
      </c>
      <c r="K7" s="92"/>
    </row>
    <row r="8" spans="1:11" ht="15.75" customHeight="1" thickBot="1">
      <c r="A8" s="10" t="s">
        <v>9</v>
      </c>
      <c r="B8" s="11">
        <f t="shared" si="0"/>
        <v>17</v>
      </c>
      <c r="C8" s="11">
        <v>2</v>
      </c>
      <c r="D8" s="11">
        <v>1</v>
      </c>
      <c r="E8" s="11"/>
      <c r="F8" s="11"/>
      <c r="G8" s="11"/>
      <c r="H8" s="11"/>
      <c r="I8" s="11"/>
      <c r="J8" s="91">
        <f t="shared" si="1"/>
        <v>1</v>
      </c>
      <c r="K8" s="92">
        <v>14</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7</v>
      </c>
      <c r="C11" s="11"/>
      <c r="D11" s="11"/>
      <c r="E11" s="11"/>
      <c r="F11" s="11"/>
      <c r="G11" s="11"/>
      <c r="H11" s="11"/>
      <c r="I11" s="11"/>
      <c r="J11" s="91">
        <f t="shared" si="1"/>
        <v>0</v>
      </c>
      <c r="K11" s="92">
        <v>7</v>
      </c>
    </row>
    <row r="12" spans="1:11" ht="15.75" customHeight="1" thickBot="1">
      <c r="A12" s="10" t="s">
        <v>13</v>
      </c>
      <c r="B12" s="11">
        <f t="shared" si="0"/>
        <v>5</v>
      </c>
      <c r="C12" s="11"/>
      <c r="D12" s="11">
        <v>1</v>
      </c>
      <c r="E12" s="11"/>
      <c r="F12" s="11"/>
      <c r="G12" s="11"/>
      <c r="H12" s="11"/>
      <c r="I12" s="11"/>
      <c r="J12" s="91">
        <f t="shared" si="1"/>
        <v>1</v>
      </c>
      <c r="K12" s="92">
        <v>4</v>
      </c>
    </row>
    <row r="13" spans="1:11" ht="15.75" customHeight="1" thickBot="1">
      <c r="A13" s="10" t="s">
        <v>133</v>
      </c>
      <c r="B13" s="11">
        <f t="shared" si="0"/>
        <v>2</v>
      </c>
      <c r="C13" s="11"/>
      <c r="D13" s="11"/>
      <c r="E13" s="11"/>
      <c r="F13" s="11"/>
      <c r="G13" s="11"/>
      <c r="H13" s="11"/>
      <c r="I13" s="11"/>
      <c r="J13" s="91">
        <f t="shared" si="1"/>
        <v>0</v>
      </c>
      <c r="K13" s="92">
        <v>2</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780</v>
      </c>
      <c r="R7" s="42">
        <f t="shared" ref="R7:R15" si="5">SUM(N7:Q7)</f>
        <v>793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15.384615384615383</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11</v>
      </c>
      <c r="R8" s="42">
        <f t="shared" si="5"/>
        <v>13.05</v>
      </c>
      <c r="S8" s="30">
        <f t="shared" si="6"/>
        <v>0.13050000000000003</v>
      </c>
      <c r="T8" s="30">
        <f t="shared" si="7"/>
        <v>14.365000000000002</v>
      </c>
      <c r="U8" s="31">
        <f t="shared" si="8"/>
        <v>9.0845805777932491E-3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0</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0</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0</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0</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0</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Entry'!J6</f>
        <v>85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85</v>
      </c>
      <c r="P7" s="42">
        <f t="shared" ref="P7:P15" si="4">C7</f>
        <v>13</v>
      </c>
      <c r="Q7" s="42">
        <f>C6-C7</f>
        <v>780</v>
      </c>
      <c r="R7" s="42">
        <f t="shared" ref="R7:R15" si="5">SUM(N7:Q7)</f>
        <v>878</v>
      </c>
      <c r="S7" s="30">
        <f t="shared" ref="S7:S15" si="6">R7*((((N7*Q7)-(O7*P7))^2))</f>
        <v>1072059950</v>
      </c>
      <c r="T7" s="30">
        <f t="shared" ref="T7:T15" si="7">(N7+O7)*(P7+Q7)*(N7+P7)*(O7+Q7)</f>
        <v>757969225</v>
      </c>
      <c r="U7" s="31">
        <f t="shared" ref="U7:U15" si="8">IF((S7&gt;0),S7/T7,"- -")</f>
        <v>1.4143845352032598</v>
      </c>
    </row>
    <row r="8" spans="2:21" ht="18" customHeight="1">
      <c r="B8" s="32" t="str">
        <f>'Data Entry'!A8</f>
        <v>3. Refer to Juvenile Court</v>
      </c>
      <c r="C8" s="33">
        <f>'Data Entry'!C8</f>
        <v>2</v>
      </c>
      <c r="D8" s="34">
        <f>IF((AND(C67&gt;0,C8&gt;0)),(C8/C67),0)</f>
        <v>15.384615384615383</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2</v>
      </c>
      <c r="Q8" s="42">
        <f>(C$67*L67)-C8</f>
        <v>11</v>
      </c>
      <c r="R8" s="42">
        <f t="shared" si="5"/>
        <v>13.05</v>
      </c>
      <c r="S8" s="30">
        <f t="shared" si="6"/>
        <v>2171.6505000000002</v>
      </c>
      <c r="T8" s="30">
        <f t="shared" si="7"/>
        <v>19.597500000000018</v>
      </c>
      <c r="U8" s="31">
        <f t="shared" si="8"/>
        <v>110.8126291618828</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0</v>
      </c>
      <c r="Q12" s="42">
        <f>(C69*L69)-C12</f>
        <v>2</v>
      </c>
      <c r="R12" s="42">
        <f t="shared" si="5"/>
        <v>3</v>
      </c>
      <c r="S12" s="30">
        <f t="shared" si="6"/>
        <v>12</v>
      </c>
      <c r="T12" s="30">
        <f t="shared" si="7"/>
        <v>4</v>
      </c>
      <c r="U12" s="31">
        <f t="shared" si="8"/>
        <v>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8.5000000000000006E-2</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0.01</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8.5000000000000006E-2</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0.01</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8.5000000000000006E-2</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0.01</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8.5000000000000006E-2</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0.01</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8.5000000000000006E-2</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0.01</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0.01</v>
      </c>
      <c r="E69" s="49">
        <f>MAX(C69:D69)</f>
        <v>0.02</v>
      </c>
      <c r="G69" s="1" t="str">
        <f>G63</f>
        <v>per 100 youth petitioned</v>
      </c>
      <c r="L69" s="58">
        <f>IF(($E63&gt;0),L63,L62)</f>
        <v>100</v>
      </c>
      <c r="M69" s="58">
        <f>IF((B69=G69),1,2)</f>
        <v>2</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Iron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878</v>
      </c>
      <c r="D3" s="57">
        <f>'Data Entry'!C6</f>
        <v>793</v>
      </c>
      <c r="E3" s="57">
        <f>'Data Entry'!D6</f>
        <v>12</v>
      </c>
      <c r="F3" s="57">
        <f>'Data Entry'!E6</f>
        <v>49</v>
      </c>
      <c r="G3" s="57">
        <f>'Data Entry'!F6</f>
        <v>6</v>
      </c>
      <c r="H3" s="57">
        <f>'Data Entry'!G6</f>
        <v>0</v>
      </c>
      <c r="I3" s="57">
        <f>'Data Entry'!H6</f>
        <v>18</v>
      </c>
      <c r="J3" s="57">
        <f>'Data Entry'!I6</f>
        <v>0</v>
      </c>
      <c r="K3" s="57">
        <f>'Data Entry'!J6</f>
        <v>85</v>
      </c>
    </row>
    <row r="4" spans="2:11" ht="15" customHeight="1">
      <c r="B4" s="16" t="s">
        <v>8</v>
      </c>
      <c r="C4" s="1">
        <f>IF((C$3&gt;0),(1000*('Data Entry'!B7/'Data Entry'!B$6)), 0)</f>
        <v>14.806378132118452</v>
      </c>
      <c r="D4" s="1">
        <f>IF((D$3&gt;0),(1000*('Data Entry'!C7/'Data Entry'!C$6)), 0)</f>
        <v>16.393442622950822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19.362186788154897</v>
      </c>
      <c r="D5" s="1">
        <f>IF((D$3&gt;0),(1000*('Data Entry'!C8/'Data Entry'!C$6)), 0)</f>
        <v>2.5220680958385877</v>
      </c>
      <c r="E5" s="1">
        <f>IF((E$3&gt;0),(1000*('Data Entry'!D8/'Data Entry'!D$6)), 0)</f>
        <v>83.333333333333329</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11.76470588235294</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7.9726651480637818</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5.6947608200455582</v>
      </c>
      <c r="D9" s="1">
        <f>IF((D$3&gt;0),(1000*('Data Entry'!C12/'Data Entry'!C$6)), 0)</f>
        <v>0</v>
      </c>
      <c r="E9" s="1">
        <f>IF((E$3&gt;0),(1000*('Data Entry'!D12/'Data Entry'!D$6)), 0)</f>
        <v>83.333333333333329</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11.76470588235294</v>
      </c>
    </row>
    <row r="10" spans="2:11" ht="15" customHeight="1">
      <c r="B10" s="16" t="s">
        <v>14</v>
      </c>
      <c r="C10" s="1">
        <f>IF((C$3&gt;0),(1000*('Data Entry'!B13/'Data Entry'!B$6)), 0)</f>
        <v>2.2779043280182232</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Iron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33.041666666666664</v>
      </c>
      <c r="E20" s="72" t="str">
        <f t="shared" si="2"/>
        <v>--</v>
      </c>
      <c r="F20" s="72" t="str">
        <f t="shared" si="2"/>
        <v>--</v>
      </c>
      <c r="G20" s="72" t="str">
        <f t="shared" si="2"/>
        <v>--</v>
      </c>
      <c r="H20" s="72" t="str">
        <f t="shared" si="2"/>
        <v>--</v>
      </c>
      <c r="I20" s="72" t="str">
        <f t="shared" si="2"/>
        <v>--</v>
      </c>
      <c r="J20" s="73">
        <f t="shared" si="2"/>
        <v>4.6647058823529406</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Iron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793</v>
      </c>
      <c r="D7" s="104">
        <f>'Data Entry'!D6</f>
        <v>12</v>
      </c>
      <c r="E7" s="105"/>
      <c r="F7" s="106">
        <f>'Data Entry'!E6</f>
        <v>49</v>
      </c>
      <c r="G7" s="105"/>
      <c r="H7" s="106">
        <f>'Data Entry'!F6</f>
        <v>6</v>
      </c>
      <c r="I7" s="105"/>
      <c r="J7" s="106">
        <f>'Data Entry'!G6</f>
        <v>0</v>
      </c>
      <c r="K7" s="105"/>
      <c r="L7" s="106">
        <f>'Data Entry'!H6</f>
        <v>18</v>
      </c>
      <c r="M7" s="105"/>
      <c r="N7" s="106">
        <f>'Data Entry'!I6</f>
        <v>0</v>
      </c>
      <c r="O7" s="105"/>
      <c r="P7" s="106">
        <f>'Data Entry'!J6</f>
        <v>85</v>
      </c>
      <c r="Q7" s="107"/>
    </row>
    <row r="8" spans="2:26" s="1" customFormat="1" ht="15" customHeight="1">
      <c r="B8" s="142" t="s">
        <v>8</v>
      </c>
      <c r="C8" s="103">
        <f>'Data Entry'!C7</f>
        <v>13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2</v>
      </c>
      <c r="D9" s="108">
        <f>'Data Entry'!D8</f>
        <v>1</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Iron</v>
      </c>
    </row>
    <row r="6" spans="1:12">
      <c r="A6" s="135" t="str">
        <f>CONCATENATE("Percentage of Minorities at Stages of the Juvenile Justice System, ", A5, " 2022")</f>
        <v>Percentage of Minorities at Stages of the Juvenile Justice System, County: Iron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9.3294117647058812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9.3294117647058812</v>
      </c>
    </row>
    <row r="9" spans="1:12">
      <c r="A9" s="128" t="str">
        <f>CONCATENATE("Delinquent Findings, total N=", 'Data Entry'!B12)</f>
        <v>Delinquent Findings, total N=5</v>
      </c>
      <c r="B9" s="150">
        <f>'Data Entry'!D12/'Data Entry'!B12</f>
        <v>0.2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N=5</v>
      </c>
      <c r="L9">
        <f>I14/(SUM(B14:G14))</f>
        <v>9.3294117647058812</v>
      </c>
    </row>
    <row r="10" spans="1:12">
      <c r="A10" s="128" t="str">
        <f>CONCATENATE("Petitions, total N=", 'Data Entry'!B11)</f>
        <v>Petitions, total N=7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N=7</v>
      </c>
      <c r="L10">
        <f>I14/(SUM(B14:G14))</f>
        <v>9.3294117647058812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9.3294117647058812</v>
      </c>
    </row>
    <row r="12" spans="1:12">
      <c r="A12" s="128" t="str">
        <f>CONCATENATE("Referrals, total N=", 'Data Entry'!B8)</f>
        <v>Referrals, total N=17</v>
      </c>
      <c r="B12" s="150">
        <f>'Data Entry'!D8/'Data Entry'!B8</f>
        <v>5.8823529411764705E-2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0.11764705882352941</v>
      </c>
      <c r="K12" s="96" t="str">
        <f t="shared" si="0"/>
        <v>Referrals, total N=17</v>
      </c>
      <c r="L12">
        <f>I14/(SUM(B14:G14))</f>
        <v>9.3294117647058812</v>
      </c>
    </row>
    <row r="13" spans="1:12">
      <c r="A13" s="128" t="str">
        <f>CONCATENATE("Arrests, total N=", 'Data Entry'!B7)</f>
        <v>Arrests, total N=13</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N=13</v>
      </c>
      <c r="L13">
        <f>I14/(SUM(B14:G14))</f>
        <v>9.3294117647058812</v>
      </c>
    </row>
    <row r="14" spans="1:12">
      <c r="A14" s="128" t="str">
        <f>CONCATENATE("Population, total N=", 'Data Entry'!B6)</f>
        <v>Population, total N=878</v>
      </c>
      <c r="B14" s="150">
        <f>'Data Entry'!D6/'Data Entry'!B6</f>
        <v>1.366742596810934E-2</v>
      </c>
      <c r="C14" s="150">
        <f>'Data Entry'!E6/'Data Entry'!B6</f>
        <v>5.5808656036446469E-2</v>
      </c>
      <c r="D14" s="150">
        <f>'Data Entry'!F6/'Data Entry'!B6</f>
        <v>6.8337129840546698E-3</v>
      </c>
      <c r="E14" s="150">
        <f>'Data Entry'!G6/'Data Entry'!B6</f>
        <v>0</v>
      </c>
      <c r="F14" s="150">
        <f>'Data Entry'!H6/'Data Entry'!B6</f>
        <v>2.0501138952164009E-2</v>
      </c>
      <c r="G14" s="150">
        <f>'Data Entry'!I6/'Data Entry'!B6</f>
        <v>0</v>
      </c>
      <c r="H14" s="150">
        <f>SUM(D14:G14)/'Data Entry'!B6</f>
        <v>3.1133088765624918E-5</v>
      </c>
      <c r="I14" s="150">
        <f>'Data Entry'!C6/'Data Entry'!B6</f>
        <v>0.90318906605922555</v>
      </c>
      <c r="K14" s="96" t="str">
        <f t="shared" si="0"/>
        <v>Population, total N=878</v>
      </c>
      <c r="L14">
        <f>I14/(SUM(B14:G14))</f>
        <v>9.3294117647058812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Iron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793</v>
      </c>
      <c r="D7" s="104">
        <f>'Data Entry'!D6</f>
        <v>12</v>
      </c>
      <c r="E7" s="105"/>
      <c r="F7" s="106">
        <f>'Data Entry'!E6</f>
        <v>49</v>
      </c>
      <c r="G7" s="105"/>
      <c r="H7" s="106">
        <f>'Data Entry'!F6</f>
        <v>6</v>
      </c>
      <c r="I7" s="105"/>
      <c r="J7" s="106">
        <f>'Data Entry'!J6</f>
        <v>85</v>
      </c>
      <c r="K7" s="107"/>
    </row>
    <row r="8" spans="2:30" s="1" customFormat="1" ht="15" customHeight="1">
      <c r="B8" s="121" t="s">
        <v>8</v>
      </c>
      <c r="C8" s="103">
        <f>'Data Entry'!C7</f>
        <v>13</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2</v>
      </c>
      <c r="D9" s="108">
        <f>'Data Entry'!D8</f>
        <v>1</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Entry'!D6</f>
        <v>12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12</v>
      </c>
      <c r="P7" s="42">
        <f t="shared" ref="P7:P15" si="2">C7</f>
        <v>13</v>
      </c>
      <c r="Q7" s="42">
        <f>C6-C7</f>
        <v>780</v>
      </c>
      <c r="R7" s="42">
        <f t="shared" ref="R7:R15" si="3">SUM(N7:Q7)</f>
        <v>805</v>
      </c>
      <c r="S7" s="30">
        <f t="shared" ref="S7:S15" si="4">R7*((((N7*Q7)-(O7*P7))^2))</f>
        <v>19590480</v>
      </c>
      <c r="T7" s="30">
        <f t="shared" ref="T7:T15" si="5">(N7+O7)*(P7+Q7)*(N7+P7)*(O7+Q7)</f>
        <v>97976736</v>
      </c>
      <c r="U7" s="31">
        <f t="shared" ref="U7:U15" si="6">IF((S7&gt;0),S7/T7,"- -")</f>
        <v>0.19995032290114256</v>
      </c>
    </row>
    <row r="8" spans="2:21" ht="18" customHeight="1">
      <c r="B8" s="32" t="str">
        <f>'Data Entry'!A8</f>
        <v>3. Refer to Juvenile Court</v>
      </c>
      <c r="C8" s="33">
        <f>'Data Entry'!C8</f>
        <v>2</v>
      </c>
      <c r="D8" s="34">
        <f>IF((AND(C67&gt;0,C8&gt;0)),(C8/C67),0)</f>
        <v>15.384615384615383</v>
      </c>
      <c r="E8" s="33">
        <f>'Data Entry'!D8</f>
        <v>1</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-0.95</v>
      </c>
      <c r="P8" s="42">
        <f t="shared" si="2"/>
        <v>2</v>
      </c>
      <c r="Q8" s="42">
        <f>(C$67*L67)-C8</f>
        <v>11</v>
      </c>
      <c r="R8" s="42">
        <f t="shared" si="3"/>
        <v>13.05</v>
      </c>
      <c r="S8" s="30">
        <f t="shared" si="4"/>
        <v>2171.6505000000002</v>
      </c>
      <c r="T8" s="30">
        <f t="shared" si="5"/>
        <v>19.597500000000018</v>
      </c>
      <c r="U8" s="31">
        <f t="shared" si="6"/>
        <v>110.8126291618828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2</v>
      </c>
      <c r="R9" s="42">
        <f t="shared" si="3"/>
        <v>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2</v>
      </c>
      <c r="R10" s="42">
        <f t="shared" si="3"/>
        <v>3</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2</v>
      </c>
      <c r="R11" s="42">
        <f t="shared" si="3"/>
        <v>3</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0</v>
      </c>
      <c r="Q12" s="42">
        <f>(C69*L69)-C12</f>
        <v>2</v>
      </c>
      <c r="R12" s="42">
        <f t="shared" si="3"/>
        <v>3</v>
      </c>
      <c r="S12" s="30">
        <f t="shared" si="4"/>
        <v>12</v>
      </c>
      <c r="T12" s="30">
        <f t="shared" si="5"/>
        <v>4</v>
      </c>
      <c r="U12" s="31">
        <f t="shared" si="6"/>
        <v>3</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0</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0</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1.2E-2</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0.01</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1.2E-2</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0.01</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0.01</v>
      </c>
      <c r="E51" s="49">
        <f>MAX(C51:D51)</f>
        <v>0.02</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1.2E-2</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0.01</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0.01</v>
      </c>
      <c r="E57" s="49">
        <f>MAX(C57:D57)</f>
        <v>0.02</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1.2E-2</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0.01</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0.01</v>
      </c>
      <c r="E63" s="49">
        <f>MAX(C63:D63)</f>
        <v>0.02</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1.2E-2</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0.01</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0.01</v>
      </c>
      <c r="E69" s="49">
        <f>MAX(C69:D69)</f>
        <v>0.02</v>
      </c>
      <c r="G69" s="1" t="str">
        <f>G63</f>
        <v>per 100 youth petitioned</v>
      </c>
      <c r="L69" s="58">
        <f>IF(($E63&gt;0),L63,L62)</f>
        <v>100</v>
      </c>
      <c r="M69" s="58">
        <f>IF((B69=G69),1,2)</f>
        <v>2</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13</v>
      </c>
      <c r="Q7" s="42">
        <f>C6-C7</f>
        <v>780</v>
      </c>
      <c r="R7" s="42">
        <f t="shared" ref="R7:R15" si="5">SUM(N7:Q7)</f>
        <v>799</v>
      </c>
      <c r="S7" s="30">
        <f t="shared" ref="S7:S15" si="6">R7*((((N7*Q7)-(O7*P7))^2))</f>
        <v>4861116</v>
      </c>
      <c r="T7" s="30">
        <f t="shared" ref="T7:T15" si="7">(N7+O7)*(P7+Q7)*(N7+P7)*(O7+Q7)</f>
        <v>48617244</v>
      </c>
      <c r="U7" s="31">
        <f t="shared" ref="U7:U15" si="8">IF((S7&gt;0),S7/T7,"- -")</f>
        <v>9.9987485921661873E-2</v>
      </c>
    </row>
    <row r="8" spans="2:21" ht="18" customHeight="1">
      <c r="B8" s="32" t="str">
        <f>'Data Entry'!A8</f>
        <v>3. Refer to Juvenile Court</v>
      </c>
      <c r="C8" s="33">
        <f>'Data Entry'!C8</f>
        <v>2</v>
      </c>
      <c r="D8" s="34">
        <f>IF((AND(C67&gt;0,C8&gt;0)),(C8/C67),0)</f>
        <v>15.384615384615383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11</v>
      </c>
      <c r="R8" s="42">
        <f t="shared" si="5"/>
        <v>13.05</v>
      </c>
      <c r="S8" s="30">
        <f t="shared" si="6"/>
        <v>0.13050000000000003</v>
      </c>
      <c r="T8" s="30">
        <f t="shared" si="7"/>
        <v>14.365000000000002</v>
      </c>
      <c r="U8" s="31">
        <f t="shared" si="8"/>
        <v>9.0845805777932491E-3</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6.0000000000000001E-3</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6.0000000000000001E-3</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6.0000000000000001E-3</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6.0000000000000001E-3</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6.0000000000000001E-3</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Entry'!E6</f>
        <v>49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49</v>
      </c>
      <c r="P7" s="42">
        <f t="shared" ref="P7:P15" si="4">C7</f>
        <v>13</v>
      </c>
      <c r="Q7" s="42">
        <f>C6-C7</f>
        <v>780</v>
      </c>
      <c r="R7" s="42">
        <f t="shared" ref="R7:R15" si="5">SUM(N7:Q7)</f>
        <v>842</v>
      </c>
      <c r="S7" s="30">
        <f t="shared" ref="S7:S15" si="6">R7*((((N7*Q7)-(O7*P7))^2))</f>
        <v>341657498</v>
      </c>
      <c r="T7" s="30">
        <f t="shared" ref="T7:T15" si="7">(N7+O7)*(P7+Q7)*(N7+P7)*(O7+Q7)</f>
        <v>418761889</v>
      </c>
      <c r="U7" s="31">
        <f t="shared" ref="U7:U15" si="8">IF((S7&gt;0),S7/T7,"- -")</f>
        <v>0.81587533864620621</v>
      </c>
    </row>
    <row r="8" spans="2:21" ht="18" customHeight="1">
      <c r="B8" s="32" t="str">
        <f>'Data Entry'!A8</f>
        <v>3. Refer to Juvenile Court</v>
      </c>
      <c r="C8" s="33">
        <f>'Data Entry'!C8</f>
        <v>2</v>
      </c>
      <c r="D8" s="34">
        <f>IF((AND(C67&gt;0,C8&gt;0)),(C8/C67),0)</f>
        <v>15.384615384615383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11</v>
      </c>
      <c r="R8" s="42">
        <f t="shared" si="5"/>
        <v>13.05</v>
      </c>
      <c r="S8" s="30">
        <f t="shared" si="6"/>
        <v>0.13050000000000003</v>
      </c>
      <c r="T8" s="30">
        <f t="shared" si="7"/>
        <v>14.365000000000002</v>
      </c>
      <c r="U8" s="31">
        <f t="shared" si="8"/>
        <v>9.0845805777932491E-3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4.9000000000000002E-2</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4.9000000000000002E-2</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4.9000000000000002E-2</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4.9000000000000002E-2</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4.9000000000000002E-2</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780</v>
      </c>
      <c r="R7" s="42">
        <f t="shared" ref="R7:R15" si="5">SUM(N7:Q7)</f>
        <v>793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15.384615384615383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11</v>
      </c>
      <c r="R8" s="42">
        <f t="shared" si="5"/>
        <v>13.05</v>
      </c>
      <c r="S8" s="30">
        <f t="shared" si="6"/>
        <v>0.13050000000000003</v>
      </c>
      <c r="T8" s="30">
        <f t="shared" si="7"/>
        <v>14.365000000000002</v>
      </c>
      <c r="U8" s="31">
        <f t="shared" si="8"/>
        <v>9.0845805777932491E-3</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0</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0</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0</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0</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0</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793</v>
      </c>
      <c r="D6" s="34"/>
      <c r="E6" s="33">
        <f>'Data Entry'!H6</f>
        <v>18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16.393442622950818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18</v>
      </c>
      <c r="P7" s="42">
        <f t="shared" ref="P7:P15" si="4">C7</f>
        <v>13</v>
      </c>
      <c r="Q7" s="42">
        <f>C6-C7</f>
        <v>780</v>
      </c>
      <c r="R7" s="42">
        <f t="shared" ref="R7:R15" si="5">SUM(N7:Q7)</f>
        <v>811</v>
      </c>
      <c r="S7" s="30">
        <f t="shared" ref="S7:S15" si="6">R7*((((N7*Q7)-(O7*P7))^2))</f>
        <v>44407116</v>
      </c>
      <c r="T7" s="30">
        <f t="shared" ref="T7:T15" si="7">(N7+O7)*(P7+Q7)*(N7+P7)*(O7+Q7)</f>
        <v>148078476</v>
      </c>
      <c r="U7" s="31">
        <f t="shared" ref="U7:U15" si="8">IF((S7&gt;0),S7/T7,"- -")</f>
        <v>0.29988906692961914</v>
      </c>
    </row>
    <row r="8" spans="2:21" ht="18" customHeight="1">
      <c r="B8" s="32" t="str">
        <f>'Data Entry'!A8</f>
        <v>3. Refer to Juvenile Court</v>
      </c>
      <c r="C8" s="33">
        <f>'Data Entry'!C8</f>
        <v>2</v>
      </c>
      <c r="D8" s="34">
        <f>IF((AND(C67&gt;0,C8&gt;0)),(C8/C67),0)</f>
        <v>15.384615384615383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v>
      </c>
      <c r="Q8" s="42">
        <f>(C$67*L67)-C8</f>
        <v>11</v>
      </c>
      <c r="R8" s="42">
        <f t="shared" si="5"/>
        <v>13.05</v>
      </c>
      <c r="S8" s="30">
        <f t="shared" si="6"/>
        <v>0.13050000000000003</v>
      </c>
      <c r="T8" s="30">
        <f t="shared" si="7"/>
        <v>14.365000000000002</v>
      </c>
      <c r="U8" s="31">
        <f t="shared" si="8"/>
        <v>9.0845805777932491E-3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0.79300000000000004</v>
      </c>
      <c r="D42" s="56">
        <f>E6/1000</f>
        <v>1.7999999999999999E-2</v>
      </c>
      <c r="E42" s="56">
        <f>MAX(C42:D42)</f>
        <v>0.79300000000000004</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0.79300000000000004</v>
      </c>
      <c r="D48" s="56">
        <f>D42</f>
        <v>1.7999999999999999E-2</v>
      </c>
      <c r="E48" s="56">
        <f>MAX(C48:D48)</f>
        <v>0.79300000000000004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0.02</v>
      </c>
      <c r="D51" s="49">
        <f>IF(($E45&gt;0),D45,D44)</f>
        <v>0</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0.79300000000000004</v>
      </c>
      <c r="D54" s="56">
        <f>D48</f>
        <v>1.7999999999999999E-2</v>
      </c>
      <c r="E54" s="56">
        <f>MAX(C54:D54)</f>
        <v>0.79300000000000004</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arrests</v>
      </c>
      <c r="C57" s="49">
        <f>IF(($E51&gt;0),C51,C50)</f>
        <v>0.02</v>
      </c>
      <c r="D57" s="49">
        <f>IF(($E51&gt;0),D51,D50)</f>
        <v>0</v>
      </c>
      <c r="E57" s="49">
        <f>MAX(C57:D57)</f>
        <v>0.02</v>
      </c>
      <c r="G57" s="1" t="str">
        <f>G51</f>
        <v>per 100 youth petitioned</v>
      </c>
      <c r="L57" s="58">
        <f>IF(($E51&gt;0),L51,L50)</f>
        <v>100</v>
      </c>
      <c r="M57" s="58"/>
    </row>
    <row r="58" spans="2:18" ht="15" hidden="1" customHeight="1">
      <c r="B58" s="49" t="str">
        <f>IF(($E52&gt;0),B52,B51)</f>
        <v>per 100 arrests</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0.79300000000000004</v>
      </c>
      <c r="D60" s="56">
        <f>D54</f>
        <v>1.7999999999999999E-2</v>
      </c>
      <c r="E60" s="56">
        <f>MAX(C60:D60)</f>
        <v>0.79300000000000004</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arrests</v>
      </c>
      <c r="C63" s="49">
        <f>IF(($E57&gt;0),C57,C56)</f>
        <v>0.02</v>
      </c>
      <c r="D63" s="49">
        <f>IF(($E57&gt;0),D57,D56)</f>
        <v>0</v>
      </c>
      <c r="E63" s="49">
        <f>MAX(C63:D63)</f>
        <v>0.02</v>
      </c>
      <c r="G63" s="1" t="str">
        <f>G57</f>
        <v>per 100 youth petitioned</v>
      </c>
      <c r="L63" s="58">
        <f>IF(($E57&gt;0),L57,L56)</f>
        <v>100</v>
      </c>
      <c r="M63" s="58"/>
    </row>
    <row r="64" spans="2:18" ht="15" hidden="1" customHeight="1">
      <c r="B64" s="49" t="str">
        <f>IF(($E58&gt;0),B58,B57)</f>
        <v>per 100 arrests</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0.79300000000000004</v>
      </c>
      <c r="D66" s="56">
        <f>D60</f>
        <v>1.7999999999999999E-2</v>
      </c>
      <c r="E66" s="56">
        <f>MAX(C66:D66)</f>
        <v>0.79300000000000004</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arrests</v>
      </c>
      <c r="C69" s="49">
        <f>IF(($E63&gt;0),C63,C62)</f>
        <v>0.02</v>
      </c>
      <c r="D69" s="49">
        <f>IF(($E63&gt;0),D63,D62)</f>
        <v>0</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0.02</v>
      </c>
      <c r="D70" s="49">
        <f>IF(($E64&gt;0),D64,D63)</f>
        <v>0</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U47JMPN4QEAR-1806752177-30464</_dlc_DocId>
    <_dlc_DocIdUrl xmlns="ac3811b5-0f3e-49e2-ba69-f2ffa0c782af">
      <Url>https://michiganphi.sharepoint.com/sites/CMDMC/_layouts/15/DocIdRedir.aspx?ID=U47JMPN4QEAR-1806752177-30464</Url>
      <Description>U47JMPN4QEAR-1806752177-30464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09EED7-4993-49DD-B8B6-11CEAC4FB51F}"/>
</file>

<file path=customXml/itemProps2.xml><?xml version="1.0" encoding="utf-8"?>
<ds:datastoreItem xmlns:ds="http://schemas.openxmlformats.org/officeDocument/2006/customXml" ds:itemID="{7FF322A4-F576-49BF-A4B9-788D8225595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1C579F56-7494-4C75-9764-94E35E4E9D95}">
  <ds:schemaRefs>
    <ds:schemaRef ds:uri="http://schemas.microsoft.com/sharepoint/v3/contenttype/forms"/>
  </ds:schemaRefs>
</ds:datastoreItem>
</file>

<file path=customXml/itemProps4.xml><?xml version="1.0" encoding="utf-8"?>
<ds:datastoreItem xmlns:ds="http://schemas.openxmlformats.org/officeDocument/2006/customXml" ds:itemID="{7F5FEC71-D079-4677-B430-DCF631C79E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93312b5f-68d4-4b8c-a5f2-8bf0bce8fd10</vt:lpwstr>
  </property>
</Properties>
</file>