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9A82E818-A828-49B8-983A-BD4096DBB131}" xr6:coauthVersionLast="47" xr6:coauthVersionMax="47" xr10:uidLastSave="{DBF7C285-92AA-4FF4-94B7-AAAC1D067F5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48" i="5"/>
  <c r="G54" i="5" s="1"/>
  <c r="G60" i="5" s="1"/>
  <c r="G66" i="5" s="1"/>
  <c r="L48" i="5"/>
  <c r="G51" i="5"/>
  <c r="G57" i="5" s="1"/>
  <c r="G63" i="5" s="1"/>
  <c r="G69" i="5" s="1"/>
  <c r="G52" i="5"/>
  <c r="G58" i="5" s="1"/>
  <c r="G64" i="5" s="1"/>
  <c r="G70"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3"/>
  <c r="M66" i="3"/>
  <c r="F27" i="6"/>
  <c r="M66" i="6"/>
  <c r="F27" i="2"/>
  <c r="M66" i="2"/>
  <c r="M66" i="8"/>
  <c r="F27" i="8"/>
  <c r="M66" i="7"/>
  <c r="F27" i="7"/>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B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49" i="7"/>
  <c r="C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8" i="5"/>
  <c r="C54" i="5"/>
  <c r="C54" i="6"/>
  <c r="E48" i="6"/>
  <c r="B51" i="6"/>
  <c r="D51" i="6"/>
  <c r="C51" i="6"/>
  <c r="L51" i="6"/>
  <c r="D51" i="2" l="1"/>
  <c r="E49" i="7"/>
  <c r="C55" i="7" s="1"/>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D58" i="8"/>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5" i="5"/>
  <c r="D61" i="5" s="1"/>
  <c r="E58" i="8"/>
  <c r="L64" i="8" s="1"/>
  <c r="B56" i="8"/>
  <c r="C64" i="5"/>
  <c r="L56" i="8"/>
  <c r="D64" i="5"/>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C64" i="8"/>
  <c r="B64" i="8"/>
  <c r="E64" i="5"/>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D70" i="5" l="1"/>
  <c r="F14" i="5" s="1"/>
  <c r="E64" i="8"/>
  <c r="B70" i="8" s="1"/>
  <c r="M70" i="8" s="1"/>
  <c r="B70" i="5"/>
  <c r="F33" i="5" s="1"/>
  <c r="C70" i="5"/>
  <c r="D14" i="5" s="1"/>
  <c r="L70" i="5"/>
  <c r="D70" i="6"/>
  <c r="F13" i="6" s="1"/>
  <c r="D63" i="8"/>
  <c r="L69" i="7"/>
  <c r="E63" i="3"/>
  <c r="C69" i="3" s="1"/>
  <c r="D15" i="3" s="1"/>
  <c r="C69" i="7"/>
  <c r="D12" i="7" s="1"/>
  <c r="C63" i="8"/>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F34" i="5"/>
  <c r="M70" i="5"/>
  <c r="O13" i="5"/>
  <c r="L70" i="8"/>
  <c r="E70" i="5"/>
  <c r="C70" i="8"/>
  <c r="D14" i="8" s="1"/>
  <c r="Q13" i="5"/>
  <c r="Q14" i="5"/>
  <c r="D13" i="5"/>
  <c r="F13" i="5"/>
  <c r="O14" i="5"/>
  <c r="E70" i="6"/>
  <c r="F14" i="6"/>
  <c r="D12" i="3"/>
  <c r="E63" i="8"/>
  <c r="D69" i="8" s="1"/>
  <c r="F15" i="8" s="1"/>
  <c r="L69" i="3"/>
  <c r="Q12" i="3" s="1"/>
  <c r="B69" i="3"/>
  <c r="M69" i="3" s="1"/>
  <c r="D69" i="3"/>
  <c r="E69" i="3" s="1"/>
  <c r="B69" i="6"/>
  <c r="M69" i="6" s="1"/>
  <c r="O14" i="6"/>
  <c r="Q12" i="7"/>
  <c r="O13" i="6"/>
  <c r="D15" i="7"/>
  <c r="Q15" i="7"/>
  <c r="E70" i="3"/>
  <c r="D13" i="6"/>
  <c r="D13" i="3"/>
  <c r="F14" i="3"/>
  <c r="O13" i="3"/>
  <c r="E69" i="7"/>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U10" i="3" s="1"/>
  <c r="J10" i="3" s="1"/>
  <c r="M10" i="3" s="1"/>
  <c r="G10" i="3" s="1"/>
  <c r="I11" i="16" s="1"/>
  <c r="F8" i="2"/>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F34" i="8"/>
  <c r="F33" i="8"/>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5" l="1"/>
  <c r="O13" i="8"/>
  <c r="Q14" i="8"/>
  <c r="D13" i="8"/>
  <c r="E70" i="8"/>
  <c r="K14" i="5"/>
  <c r="T13" i="5"/>
  <c r="F15" i="3"/>
  <c r="R13" i="5"/>
  <c r="S13" i="5" s="1"/>
  <c r="U13" i="5" s="1"/>
  <c r="J13" i="5" s="1"/>
  <c r="M13" i="5" s="1"/>
  <c r="Q13" i="8"/>
  <c r="T13" i="8" s="1"/>
  <c r="O14" i="8"/>
  <c r="R14" i="8" s="1"/>
  <c r="S14" i="8" s="1"/>
  <c r="T14" i="5"/>
  <c r="R14" i="5"/>
  <c r="S14" i="5" s="1"/>
  <c r="U14" i="5" s="1"/>
  <c r="J14" i="5" s="1"/>
  <c r="M14" i="5" s="1"/>
  <c r="K13" i="3"/>
  <c r="F35" i="6"/>
  <c r="F12" i="3"/>
  <c r="K14" i="6"/>
  <c r="T13" i="6"/>
  <c r="O15" i="3"/>
  <c r="R14" i="3"/>
  <c r="S14" i="3" s="1"/>
  <c r="F12" i="8"/>
  <c r="B69" i="8"/>
  <c r="M69" i="8" s="1"/>
  <c r="C69" i="8"/>
  <c r="D12" i="8" s="1"/>
  <c r="Q15" i="3"/>
  <c r="O12" i="3"/>
  <c r="R12" i="3" s="1"/>
  <c r="S12" i="3" s="1"/>
  <c r="T15" i="7"/>
  <c r="F32" i="3"/>
  <c r="L69" i="8"/>
  <c r="O15" i="8" s="1"/>
  <c r="F35" i="3"/>
  <c r="T12" i="7"/>
  <c r="U14" i="4"/>
  <c r="J14" i="4" s="1"/>
  <c r="M14" i="4" s="1"/>
  <c r="G14" i="4" s="1"/>
  <c r="G15" i="16" s="1"/>
  <c r="F32" i="6"/>
  <c r="R14" i="6"/>
  <c r="S14" i="6" s="1"/>
  <c r="K12" i="7"/>
  <c r="D15" i="6"/>
  <c r="U13" i="4"/>
  <c r="J13" i="4" s="1"/>
  <c r="M13" i="4" s="1"/>
  <c r="G13" i="4" s="1"/>
  <c r="G14" i="16" s="1"/>
  <c r="T14" i="6"/>
  <c r="K13" i="6"/>
  <c r="O12" i="6"/>
  <c r="R13" i="6"/>
  <c r="S13" i="6" s="1"/>
  <c r="U13" i="6" s="1"/>
  <c r="J13" i="6" s="1"/>
  <c r="M13" i="6" s="1"/>
  <c r="G13" i="6" s="1"/>
  <c r="G13" i="9" s="1"/>
  <c r="R12" i="7"/>
  <c r="S12" i="7" s="1"/>
  <c r="U10" i="4"/>
  <c r="J10" i="4" s="1"/>
  <c r="M10" i="4" s="1"/>
  <c r="G10" i="4" s="1"/>
  <c r="G11" i="16" s="1"/>
  <c r="U9" i="4"/>
  <c r="J9" i="4" s="1"/>
  <c r="M9" i="4" s="1"/>
  <c r="G9" i="4" s="1"/>
  <c r="G10" i="16" s="1"/>
  <c r="R15" i="7"/>
  <c r="S15" i="7" s="1"/>
  <c r="U15" i="7" s="1"/>
  <c r="J15" i="7" s="1"/>
  <c r="M15" i="7" s="1"/>
  <c r="E69" i="6"/>
  <c r="T13" i="3"/>
  <c r="K14" i="3"/>
  <c r="T14" i="3"/>
  <c r="K15" i="7"/>
  <c r="R13" i="3"/>
  <c r="S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R13" i="7"/>
  <c r="S13" i="7" s="1"/>
  <c r="Q13" i="2"/>
  <c r="U9" i="3"/>
  <c r="J9" i="3" s="1"/>
  <c r="L9" i="3"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3" l="1"/>
  <c r="J14" i="3" s="1"/>
  <c r="M14" i="3" s="1"/>
  <c r="G14" i="3" s="1"/>
  <c r="I15" i="16" s="1"/>
  <c r="U13" i="3"/>
  <c r="J13" i="3" s="1"/>
  <c r="M13" i="3" s="1"/>
  <c r="G13" i="3" s="1"/>
  <c r="I14" i="16" s="1"/>
  <c r="N30" i="5"/>
  <c r="L14" i="5"/>
  <c r="Q15" i="16" s="1"/>
  <c r="L13" i="5"/>
  <c r="Q14" i="16" s="1"/>
  <c r="R13" i="8"/>
  <c r="S13" i="8" s="1"/>
  <c r="U13" i="8" s="1"/>
  <c r="J13" i="8" s="1"/>
  <c r="M13" i="8" s="1"/>
  <c r="K13" i="8"/>
  <c r="T14" i="8"/>
  <c r="U14" i="8" s="1"/>
  <c r="J14" i="8" s="1"/>
  <c r="N30" i="8" s="1"/>
  <c r="K14" i="8"/>
  <c r="K15" i="3"/>
  <c r="R15" i="3"/>
  <c r="S15" i="3" s="1"/>
  <c r="U15" i="3" s="1"/>
  <c r="J15" i="3" s="1"/>
  <c r="M15" i="3" s="1"/>
  <c r="G15" i="3" s="1"/>
  <c r="I16" i="16" s="1"/>
  <c r="F32" i="8"/>
  <c r="T12" i="3"/>
  <c r="U12" i="3" s="1"/>
  <c r="J12" i="3" s="1"/>
  <c r="M12" i="3" s="1"/>
  <c r="G12" i="3" s="1"/>
  <c r="I13" i="16" s="1"/>
  <c r="K12" i="3"/>
  <c r="T15" i="3"/>
  <c r="D15" i="8"/>
  <c r="E69" i="8"/>
  <c r="F35" i="8"/>
  <c r="L14" i="4"/>
  <c r="O15" i="16" s="1"/>
  <c r="N30" i="4"/>
  <c r="Q15" i="8"/>
  <c r="R15" i="8" s="1"/>
  <c r="S15" i="8" s="1"/>
  <c r="U15" i="8" s="1"/>
  <c r="J15" i="8" s="1"/>
  <c r="Q12" i="8"/>
  <c r="O12" i="8"/>
  <c r="U12" i="7"/>
  <c r="J12" i="7" s="1"/>
  <c r="M12" i="7" s="1"/>
  <c r="T12" i="6"/>
  <c r="D9" i="9"/>
  <c r="L9" i="4"/>
  <c r="O10" i="16" s="1"/>
  <c r="G10" i="13"/>
  <c r="M14" i="13"/>
  <c r="L13" i="4"/>
  <c r="O14" i="16" s="1"/>
  <c r="U14" i="6"/>
  <c r="J14" i="6" s="1"/>
  <c r="M14" i="6" s="1"/>
  <c r="G14" i="6" s="1"/>
  <c r="M15" i="13" s="1"/>
  <c r="L10" i="4"/>
  <c r="O11" i="16" s="1"/>
  <c r="D10" i="9"/>
  <c r="U13" i="7"/>
  <c r="J13" i="7" s="1"/>
  <c r="M13" i="7" s="1"/>
  <c r="L13" i="6"/>
  <c r="R14" i="16" s="1"/>
  <c r="R12" i="6"/>
  <c r="S12" i="6" s="1"/>
  <c r="U12" i="6" s="1"/>
  <c r="J12" i="6" s="1"/>
  <c r="M12" i="6" s="1"/>
  <c r="G12" i="6" s="1"/>
  <c r="K12" i="6"/>
  <c r="K15" i="6"/>
  <c r="L15" i="7"/>
  <c r="S16" i="16" s="1"/>
  <c r="G11" i="13"/>
  <c r="R15" i="6"/>
  <c r="S15" i="6" s="1"/>
  <c r="U15" i="6" s="1"/>
  <c r="J15" i="6" s="1"/>
  <c r="T15" i="6"/>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D13" i="9"/>
  <c r="G14" i="13"/>
  <c r="K9" i="7"/>
  <c r="T14" i="2"/>
  <c r="V12" i="13"/>
  <c r="N11" i="9"/>
  <c r="T15" i="5"/>
  <c r="W14" i="13"/>
  <c r="M9" i="3"/>
  <c r="G9" i="3" s="1"/>
  <c r="I10" i="13" s="1"/>
  <c r="I14" i="13"/>
  <c r="G12" i="13"/>
  <c r="G12" i="16"/>
  <c r="N9" i="9"/>
  <c r="P10" i="16"/>
  <c r="M14" i="7"/>
  <c r="N30" i="7"/>
  <c r="L14" i="7"/>
  <c r="S15" i="16" s="1"/>
  <c r="L8" i="7"/>
  <c r="S9" i="16" s="1"/>
  <c r="O14" i="9"/>
  <c r="V10"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O13" i="9" l="1"/>
  <c r="L13" i="3"/>
  <c r="P14" i="16" s="1"/>
  <c r="L12" i="3"/>
  <c r="P13" i="16" s="1"/>
  <c r="G13" i="8"/>
  <c r="K14" i="16" s="1"/>
  <c r="E14" i="9"/>
  <c r="I15" i="13"/>
  <c r="L14" i="3"/>
  <c r="P15" i="16" s="1"/>
  <c r="W15" i="13"/>
  <c r="N30" i="3"/>
  <c r="L15" i="3"/>
  <c r="P16" i="16" s="1"/>
  <c r="I16" i="13"/>
  <c r="E15" i="9"/>
  <c r="U15" i="13"/>
  <c r="L12" i="7"/>
  <c r="S13" i="16" s="1"/>
  <c r="K12" i="8"/>
  <c r="M13" i="9"/>
  <c r="R12" i="8"/>
  <c r="S12" i="8" s="1"/>
  <c r="L15" i="6"/>
  <c r="R16" i="16" s="1"/>
  <c r="Q15" i="9"/>
  <c r="T12" i="8"/>
  <c r="U11" i="13"/>
  <c r="K15" i="8"/>
  <c r="L15" i="8" s="1"/>
  <c r="T16" i="16" s="1"/>
  <c r="P13" i="9"/>
  <c r="T15" i="8"/>
  <c r="M9" i="9"/>
  <c r="U10" i="13"/>
  <c r="N30" i="6"/>
  <c r="U14" i="13"/>
  <c r="G14" i="9"/>
  <c r="L13" i="7"/>
  <c r="S14" i="16" s="1"/>
  <c r="L14" i="6"/>
  <c r="R15" i="16" s="1"/>
  <c r="L13" i="8"/>
  <c r="T14" i="16" s="1"/>
  <c r="M10" i="9"/>
  <c r="X14" i="13"/>
  <c r="U13" i="2"/>
  <c r="J13" i="2" s="1"/>
  <c r="M13" i="2" s="1"/>
  <c r="G13" i="2" s="1"/>
  <c r="E14" i="16" s="1"/>
  <c r="Q14" i="13"/>
  <c r="U10" i="7"/>
  <c r="J10" i="7" s="1"/>
  <c r="M10" i="7" s="1"/>
  <c r="I13" i="9"/>
  <c r="U14" i="2"/>
  <c r="J14" i="2" s="1"/>
  <c r="M14" i="2" s="1"/>
  <c r="G14" i="2" s="1"/>
  <c r="E15" i="16" s="1"/>
  <c r="L12" i="6"/>
  <c r="R13" i="16" s="1"/>
  <c r="U11" i="7"/>
  <c r="J11" i="7" s="1"/>
  <c r="L11" i="7" s="1"/>
  <c r="S12" i="16" s="1"/>
  <c r="Y16" i="13"/>
  <c r="M14" i="8"/>
  <c r="G14" i="8" s="1"/>
  <c r="K15" i="16" s="1"/>
  <c r="L14" i="8"/>
  <c r="T15" i="16" s="1"/>
  <c r="M15" i="6"/>
  <c r="G15" i="6" s="1"/>
  <c r="M16" i="13" s="1"/>
  <c r="L8" i="6"/>
  <c r="R9" i="16" s="1"/>
  <c r="L15" i="5"/>
  <c r="Q16" i="16" s="1"/>
  <c r="T9" i="13"/>
  <c r="L8" i="9"/>
  <c r="G8" i="9"/>
  <c r="Q14" i="9"/>
  <c r="Y15" i="13"/>
  <c r="E9" i="13"/>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4" i="13" l="1"/>
  <c r="N13" i="9"/>
  <c r="N14" i="9"/>
  <c r="V13" i="13"/>
  <c r="N12" i="9"/>
  <c r="N15" i="9"/>
  <c r="V15" i="13"/>
  <c r="V16" i="13"/>
  <c r="Q12" i="9"/>
  <c r="Y13" i="13"/>
  <c r="U12" i="8"/>
  <c r="J12" i="8" s="1"/>
  <c r="M12" i="8" s="1"/>
  <c r="G12" i="8" s="1"/>
  <c r="K13" i="16" s="1"/>
  <c r="P15" i="9"/>
  <c r="X16" i="13"/>
  <c r="X15" i="13"/>
  <c r="P14" i="9"/>
  <c r="Q13" i="9"/>
  <c r="Y14" i="13"/>
  <c r="L13" i="2"/>
  <c r="N14" i="16" s="1"/>
  <c r="Z14" i="13"/>
  <c r="C14" i="9"/>
  <c r="R13" i="9"/>
  <c r="G15" i="9"/>
  <c r="E14" i="13"/>
  <c r="L10" i="7"/>
  <c r="S11" i="16" s="1"/>
  <c r="E15" i="13"/>
  <c r="N30" i="2"/>
  <c r="L14" i="2"/>
  <c r="N15" i="16" s="1"/>
  <c r="Q15" i="13"/>
  <c r="C13" i="9"/>
  <c r="I14" i="9"/>
  <c r="R14" i="9"/>
  <c r="X13" i="13"/>
  <c r="P12" i="9"/>
  <c r="M11" i="7"/>
  <c r="Z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2" i="8" l="1"/>
  <c r="L13" i="9"/>
  <c r="T14" i="13"/>
  <c r="I12" i="9"/>
  <c r="Q13" i="13"/>
  <c r="Q10" i="9"/>
  <c r="Y11" i="13"/>
  <c r="L14" i="9"/>
  <c r="T15" i="13"/>
  <c r="R9" i="9"/>
  <c r="Z10" i="13"/>
  <c r="R10" i="9"/>
  <c r="Z11" i="13"/>
  <c r="I11" i="9"/>
  <c r="Q12" i="13"/>
  <c r="I10" i="9"/>
  <c r="Q11" i="13"/>
  <c r="R11" i="9"/>
  <c r="Z12" i="13"/>
  <c r="T13" i="16" l="1"/>
  <c r="R12" i="9"/>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<sst xmlns="http://schemas.openxmlformats.org/spreadsheetml/2006/main" count="654" uniqueCount="141">
  <si>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</si>
  <si>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</si>
  <si>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</si>
  <si>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</si>
  <si>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</si>
  <si>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</si>
  <si>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</si>
  <si>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</si>
  <si>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</si>
  <si>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</si>
  <si>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</si>
  <si>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</si>
  <si>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</si>
  <si>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</si>
  <si>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</si>
  <si>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</si>
  <si>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</si>
  <si>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</si>
  <si>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</si>
  <si>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</si>
  <si>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</si>
  <si>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</si>
  <si>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</si>
  <si>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</si>
  <si>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</si>
  <si>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</si>
  <si>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</si>
  <si>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</si>
  <si>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</si>
  <si>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</si>
  <si>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</si>
  <si>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</si>
  <si>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</si>
  <si>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</si>
  <si>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</si>
  <si>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</si>
  <si>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</si>
  <si>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</si>
  <si>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</si>
  <si>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</si>
  <si>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</si>
  <si>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</si>
  <si>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</si>
  <si>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</si>
  <si>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</si>
  <si>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</si>
  <si>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</si>
  <si>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</si>
  <si>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</si>
  <si>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</si>
  <si>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</si>
  <si>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</si>
  <si>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</si>
  <si>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</si>
  <si>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</si>
  <si>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</si>
  <si>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</si>
  <si>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</si>
  <si>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</si>
  <si>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</si>
  <si>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</si>
  <si>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</si>
  <si>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</si>
  <si>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</si>
  <si>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</si>
  <si>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</si>
  <si>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</si>
  <si>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</si>
  <si>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</si>
  <si>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</si>
  <si>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</si>
  <si>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</si>
  <si>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</si>
  <si>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</si>
  <si>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</si>
  <si>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</si>
  <si>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</si>
  <si>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</si>
  <si>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</si>
  <si>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</si>
  <si>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</si>
  <si>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</si>
  <si>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</si>
  <si>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</si>
  <si>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</si>
  <si>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</si>
  <si>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</si>
  <si>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</si>
  <si>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</si>
  <si>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</si>
  <si>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</si>
  <si>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</si>
  <si>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</si>
  <si>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</si>
  <si>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</si>
  <si>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</si>
  <si>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</si>
  <si>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</si>
  <si>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</si>
  <si>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</si>
  <si>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</si>
  <si>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</si>
  <si>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</si>
  <si>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</si>
  <si>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</si>
  <si>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</si>
  <si>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</si>
  <si>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</si>
  <si>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</si>
  <si>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</si>
  <si>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</si>
  <si>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</si>
  <si>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</si>
  <si>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</si>
  <si>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</si>
  <si>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</si>
  <si>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</si>
  <si>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</si>
  <si>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</si>
  <si>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</si>
  <si>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</si>
  <si>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</si>
  <si>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</si>
  <si>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</si>
  <si>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</si>
  <si>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</si>
  <si>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</si>
  <si>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</si>
  <si>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</si>
  <si>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</si>
  <si>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</si>
  <si>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</si>
  <si>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</si>
  <si>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</si>
  <si>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</si>
  <si>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</si>
  <si>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Ionia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</si>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</sst>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Ionia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N=22</c:v>
                </c:pt>
                <c:pt idx="3">
                  <c:v>Petitions, total N=25</c:v>
                </c:pt>
                <c:pt idx="4">
                  <c:v>Detentions, total N=2</c:v>
                </c:pt>
                <c:pt idx="5">
                  <c:v>Referrals, total N=101</c:v>
                </c:pt>
                <c:pt idx="6">
                  <c:v>Arrests, total N=84</c:v>
                </c:pt>
                <c:pt idx="7">
                  <c:v>Population, total N=6641</c:v>
                </c:pt>
              </c:strCache>
            </c:strRef>
          </c:cat>
          <c:val>
            <c:numRef>
              <c:f>'Stacked 100%'!$B$7:$B$14</c:f>
              <c:numCache>
                <c:formatCode>0%</c:formatCode>
                <c:ptCount val="8"/>
                <c:pt idx="0">
                  <c:v>0</c:v>
                </c:pt>
                <c:pt idx="1">
                  <c:v>0</c:v>
                </c:pt>
                <c:pt idx="2">
                  <c:v>0</c:v>
                </c:pt>
                <c:pt idx="3">
                  <c:v>0</c:v>
                </c:pt>
                <c:pt idx="4">
                  <c:v>0</c:v>
                </c:pt>
                <c:pt idx="5">
                  <c:v>1.9801980198019802E-2</c:v>
                </c:pt>
                <c:pt idx="6">
                  <c:v>8.3333333333333329E-2</c:v>
                </c:pt>
                <c:pt idx="7">
                  <c:v>2.1081162475530792E-2</c:v>
                </c:pt>
              </c:numCache>
            </c:numRef>
          </c:val>
          <c:extLst>
            <c:ext xmlns:c16="http://schemas.microsoft.com/office/drawing/2014/chart" uri="{C3380CC4-5D6E-409C-BE32-E72D297353CC}">
              <c16:uniqueId val="{00000000-AC45-46FF-BD43-37B0BB83857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N=22</c:v>
                </c:pt>
                <c:pt idx="3">
                  <c:v>Petitions, total N=25</c:v>
                </c:pt>
                <c:pt idx="4">
                  <c:v>Detentions, total N=2</c:v>
                </c:pt>
                <c:pt idx="5">
                  <c:v>Referrals, total N=101</c:v>
                </c:pt>
                <c:pt idx="6">
                  <c:v>Arrests, total N=84</c:v>
                </c:pt>
                <c:pt idx="7">
                  <c:v>Population, total N=6641</c:v>
                </c:pt>
              </c:strCache>
            </c:strRef>
          </c:cat>
          <c:val>
            <c:numRef>
              <c:f>'Stacked 100%'!$C$7:$C$14</c:f>
              <c:numCache>
                <c:formatCode>0%</c:formatCode>
                <c:ptCount val="8"/>
                <c:pt idx="0">
                  <c:v>0</c:v>
                </c:pt>
                <c:pt idx="1">
                  <c:v>0</c:v>
                </c:pt>
                <c:pt idx="2">
                  <c:v>4.5454545454545456E-2</c:v>
                </c:pt>
                <c:pt idx="3">
                  <c:v>0.04</c:v>
                </c:pt>
                <c:pt idx="4">
                  <c:v>0</c:v>
                </c:pt>
                <c:pt idx="5">
                  <c:v>1.9801980198019802E-2</c:v>
                </c:pt>
                <c:pt idx="6">
                  <c:v>0</c:v>
                </c:pt>
                <c:pt idx="7">
                  <c:v>8.3571751242282791E-2</c:v>
                </c:pt>
              </c:numCache>
            </c:numRef>
          </c:val>
          <c:extLst>
            <c:ext xmlns:c16="http://schemas.microsoft.com/office/drawing/2014/chart" uri="{C3380CC4-5D6E-409C-BE32-E72D297353CC}">
              <c16:uniqueId val="{00000001-AC45-46FF-BD43-37B0BB83857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N=22</c:v>
                </c:pt>
                <c:pt idx="3">
                  <c:v>Petitions, total N=25</c:v>
                </c:pt>
                <c:pt idx="4">
                  <c:v>Detentions, total N=2</c:v>
                </c:pt>
                <c:pt idx="5">
                  <c:v>Referrals, total N=101</c:v>
                </c:pt>
                <c:pt idx="6">
                  <c:v>Arrests, total N=84</c:v>
                </c:pt>
                <c:pt idx="7">
                  <c:v>Population, total N=6641</c:v>
                </c:pt>
              </c:strCache>
            </c:strRef>
          </c:cat>
          <c:val>
            <c:numRef>
              <c:f>'Stacked 100%'!$H$7:$H$14</c:f>
              <c:numCache>
                <c:formatCode>0%</c:formatCode>
                <c:ptCount val="8"/>
                <c:pt idx="0">
                  <c:v>0</c:v>
                </c:pt>
                <c:pt idx="1">
                  <c:v>0.04</c:v>
                </c:pt>
                <c:pt idx="2">
                  <c:v>6.1983471074380158E-3</c:v>
                </c:pt>
                <c:pt idx="3">
                  <c:v>8.0000000000000002E-3</c:v>
                </c:pt>
                <c:pt idx="4">
                  <c:v>0.25</c:v>
                </c:pt>
                <c:pt idx="5">
                  <c:v>2.8428585432800704E-3</c:v>
                </c:pt>
                <c:pt idx="6">
                  <c:v>0</c:v>
                </c:pt>
                <c:pt idx="7">
                  <c:v>1.7912661986866573E-6</c:v>
                </c:pt>
              </c:numCache>
            </c:numRef>
          </c:val>
          <c:extLst>
            <c:ext xmlns:c16="http://schemas.microsoft.com/office/drawing/2014/chart" uri="{C3380CC4-5D6E-409C-BE32-E72D297353CC}">
              <c16:uniqueId val="{00000002-AC45-46FF-BD43-37B0BB83857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N=22</c:v>
                </c:pt>
                <c:pt idx="3">
                  <c:v>Petitions, total N=25</c:v>
                </c:pt>
                <c:pt idx="4">
                  <c:v>Detentions, total N=2</c:v>
                </c:pt>
                <c:pt idx="5">
                  <c:v>Referrals, total N=101</c:v>
                </c:pt>
                <c:pt idx="6">
                  <c:v>Arrests, total N=84</c:v>
                </c:pt>
                <c:pt idx="7">
                  <c:v>Population, total N=6641</c:v>
                </c:pt>
              </c:strCache>
            </c:strRef>
          </c:cat>
          <c:val>
            <c:numRef>
              <c:f>'Stacked 100%'!$I$7:$I$14</c:f>
              <c:numCache>
                <c:formatCode>0%</c:formatCode>
                <c:ptCount val="8"/>
                <c:pt idx="0">
                  <c:v>0</c:v>
                </c:pt>
                <c:pt idx="1">
                  <c:v>0.8</c:v>
                </c:pt>
                <c:pt idx="2">
                  <c:v>0.81818181818181823</c:v>
                </c:pt>
                <c:pt idx="3">
                  <c:v>0.76</c:v>
                </c:pt>
                <c:pt idx="4">
                  <c:v>0.5</c:v>
                </c:pt>
                <c:pt idx="5">
                  <c:v>0.67326732673267331</c:v>
                </c:pt>
                <c:pt idx="6">
                  <c:v>0.86904761904761907</c:v>
                </c:pt>
                <c:pt idx="7">
                  <c:v>0.88345128745670831</c:v>
                </c:pt>
              </c:numCache>
            </c:numRef>
          </c:val>
          <c:extLst>
            <c:ext xmlns:c16="http://schemas.microsoft.com/office/drawing/2014/chart" uri="{C3380CC4-5D6E-409C-BE32-E72D297353CC}">
              <c16:uniqueId val="{00000003-AC45-46FF-BD43-37B0BB83857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N=22</c:v>
                </c:pt>
                <c:pt idx="3">
                  <c:v>Petitions, total N=25</c:v>
                </c:pt>
                <c:pt idx="4">
                  <c:v>Detentions, total N=2</c:v>
                </c:pt>
                <c:pt idx="5">
                  <c:v>Referrals, total N=101</c:v>
                </c:pt>
                <c:pt idx="6">
                  <c:v>Arrests, total N=84</c:v>
                </c:pt>
                <c:pt idx="7">
                  <c:v>Population, total N=6641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C45-46FF-BD43-37B0BB83857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6641</v>
      </c>
      <c r="C6" s="11">
        <v>5867</v>
      </c>
      <c r="D6" s="11">
        <v>140</v>
      </c>
      <c r="E6" s="11">
        <v>555</v>
      </c>
      <c r="F6" s="11">
        <v>49</v>
      </c>
      <c r="G6" s="11"/>
      <c r="H6" s="11">
        <v>30</v>
      </c>
      <c r="I6" s="11"/>
      <c r="J6" s="91">
        <f>SUM(D6:I6)</f>
        <v>774</v>
      </c>
      <c r="K6" s="92"/>
    </row>
    <row r="7" spans="1:11" ht="15.75" customHeight="1" thickBot="1">
      <c r="A7" s="10" t="s">
        <v>8</v>
      </c>
      <c r="B7" s="11">
        <f t="shared" ref="B7:B15" si="0">SUM(C7:I7)+K7</f>
        <v>84</v>
      </c>
      <c r="C7" s="11">
        <v>73</v>
      </c>
      <c r="D7" s="11">
        <v>7</v>
      </c>
      <c r="E7" s="11">
        <v>0</v>
      </c>
      <c r="F7" s="11">
        <v>0</v>
      </c>
      <c r="G7" s="11">
        <v>0</v>
      </c>
      <c r="H7" s="11">
        <v>0</v>
      </c>
      <c r="I7" s="11"/>
      <c r="J7" s="91">
        <f t="shared" ref="J7:J15" si="1">SUM(D7:I7)</f>
        <v>7</v>
      </c>
      <c r="K7" s="92">
        <v>4</v>
      </c>
    </row>
    <row r="8" spans="1:11" ht="15.75" customHeight="1" thickBot="1">
      <c r="A8" s="10" t="s">
        <v>9</v>
      </c>
      <c r="B8" s="11">
        <f t="shared" si="0"/>
        <v>101</v>
      </c>
      <c r="C8" s="11">
        <v>68</v>
      </c>
      <c r="D8" s="11">
        <v>2</v>
      </c>
      <c r="E8" s="11">
        <v>2</v>
      </c>
      <c r="F8" s="11"/>
      <c r="G8" s="11"/>
      <c r="H8" s="11"/>
      <c r="I8" s="11">
        <v>29</v>
      </c>
      <c r="J8" s="91">
        <f t="shared" si="1"/>
        <v>33</v>
      </c>
      <c r="K8" s="92"/>
    </row>
    <row r="9" spans="1:11" ht="15.75" customHeight="1" thickBot="1">
      <c r="A9" s="10" t="s">
        <v>10</v>
      </c>
      <c r="B9" s="11">
        <f t="shared" si="0"/>
        <v>8</v>
      </c>
      <c r="C9" s="11">
        <v>7</v>
      </c>
      <c r="D9" s="11"/>
      <c r="E9" s="11"/>
      <c r="F9" s="11"/>
      <c r="G9" s="11"/>
      <c r="H9" s="11"/>
      <c r="I9" s="11">
        <v>1</v>
      </c>
      <c r="J9" s="91">
        <f t="shared" si="1"/>
        <v>1</v>
      </c>
      <c r="K9" s="92"/>
    </row>
    <row r="10" spans="1:11" ht="15.75" customHeight="1" thickBot="1">
      <c r="A10" s="10" t="s">
        <v>11</v>
      </c>
      <c r="B10" s="11">
        <f t="shared" si="0"/>
        <v>2</v>
      </c>
      <c r="C10" s="11">
        <v>1</v>
      </c>
      <c r="D10" s="11"/>
      <c r="E10" s="11"/>
      <c r="F10" s="11"/>
      <c r="G10" s="11"/>
      <c r="H10" s="11"/>
      <c r="I10" s="11">
        <v>1</v>
      </c>
      <c r="J10" s="91">
        <f t="shared" si="1"/>
        <v>1</v>
      </c>
      <c r="K10" s="92"/>
    </row>
    <row r="11" spans="1:11" ht="15.75" customHeight="1" thickBot="1">
      <c r="A11" s="10" t="s">
        <v>12</v>
      </c>
      <c r="B11" s="11">
        <f t="shared" si="0"/>
        <v>25</v>
      </c>
      <c r="C11" s="11">
        <v>19</v>
      </c>
      <c r="D11" s="11"/>
      <c r="E11" s="11">
        <v>1</v>
      </c>
      <c r="F11" s="11"/>
      <c r="G11" s="11"/>
      <c r="H11" s="11"/>
      <c r="I11" s="11">
        <v>5</v>
      </c>
      <c r="J11" s="91">
        <f t="shared" si="1"/>
        <v>6</v>
      </c>
      <c r="K11" s="92"/>
    </row>
    <row r="12" spans="1:11" ht="15.75" customHeight="1" thickBot="1">
      <c r="A12" s="10" t="s">
        <v>13</v>
      </c>
      <c r="B12" s="11">
        <f t="shared" si="0"/>
        <v>22</v>
      </c>
      <c r="C12" s="11">
        <v>18</v>
      </c>
      <c r="D12" s="11"/>
      <c r="E12" s="11">
        <v>1</v>
      </c>
      <c r="F12" s="11"/>
      <c r="G12" s="11"/>
      <c r="H12" s="11"/>
      <c r="I12" s="11">
        <v>3</v>
      </c>
      <c r="J12" s="91">
        <f t="shared" si="1"/>
        <v>4</v>
      </c>
      <c r="K12" s="92"/>
    </row>
    <row r="13" spans="1:11" ht="15.75" customHeight="1" thickBot="1">
      <c r="A13" s="10" t="s">
        <v>133</v>
      </c>
      <c r="B13" s="11">
        <f t="shared" si="0"/>
        <v>21</v>
      </c>
      <c r="C13" s="11">
        <v>16</v>
      </c>
      <c r="D13" s="11"/>
      <c r="E13" s="11">
        <v>1</v>
      </c>
      <c r="F13" s="11"/>
      <c r="G13" s="11"/>
      <c r="H13" s="11"/>
      <c r="I13" s="11">
        <v>4</v>
      </c>
      <c r="J13" s="91">
        <f t="shared" si="1"/>
        <v>5</v>
      </c>
      <c r="K13" s="92"/>
    </row>
    <row r="14" spans="1:11" ht="26.25" customHeight="1" thickBot="1">
      <c r="A14" s="10" t="s">
        <v>123</v>
      </c>
      <c r="B14" s="11">
        <f t="shared" si="0"/>
        <v>5</v>
      </c>
      <c r="C14" s="11">
        <v>4</v>
      </c>
      <c r="D14" s="11"/>
      <c r="E14" s="11"/>
      <c r="F14" s="11"/>
      <c r="G14" s="11"/>
      <c r="H14" s="11"/>
      <c r="I14" s="11">
        <v>1</v>
      </c>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73</v>
      </c>
      <c r="Q7" s="42">
        <f>C6-C7</f>
        <v>5794</v>
      </c>
      <c r="R7" s="42">
        <f t="shared" ref="R7:R15" si="5">SUM(N7:Q7)</f>
        <v>5867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68</v>
      </c>
      <c r="D8" s="34">
        <f>IF((AND(C67&gt;0,C8&gt;0)),(C8/C67),0)</f>
        <v>93.150684931506845</v>
      </c>
      <c r="E8" s="33">
        <f>'Data Entry'!I8</f>
        <v>29</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29</v>
      </c>
      <c r="O8" s="42">
        <f>((D67*L67)-E8)+0.05</f>
        <v>-28.95</v>
      </c>
      <c r="P8" s="42">
        <f t="shared" si="4"/>
        <v>68</v>
      </c>
      <c r="Q8" s="42">
        <f>(C$67*L67)-C8</f>
        <v>5</v>
      </c>
      <c r="R8" s="42">
        <f t="shared" si="5"/>
        <v>73.05</v>
      </c>
      <c r="S8" s="30">
        <f t="shared" si="6"/>
        <v>326336627.32800001</v>
      </c>
      <c r="T8" s="30">
        <f t="shared" si="7"/>
        <v>-8479.4975000001195</v>
      </c>
      <c r="U8" s="31">
        <f t="shared" si="8"/>
        <v>-38485.37337595717</v>
      </c>
    </row>
    <row r="9" spans="2:21" ht="18" customHeight="1">
      <c r="B9" s="32" t="str">
        <f>'Data Entry'!A9</f>
        <v xml:space="preserve">4. Cases Diverted </v>
      </c>
      <c r="C9" s="33">
        <f>'Data Entry'!C9</f>
        <v>7</v>
      </c>
      <c r="D9" s="34">
        <f>IF((AND(C68&gt;0,C9&gt;0)),((C9/C68)),0)</f>
        <v>10.294117647058822</v>
      </c>
      <c r="E9" s="33">
        <f>'Data Entry'!I9</f>
        <v>1</v>
      </c>
      <c r="F9" s="34">
        <f>IF((AND($E$9&gt;0,$D$68&gt;0)),(($E$9/$D$68)),0)</f>
        <v>3.4482758620689657</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27.999999999999996</v>
      </c>
      <c r="P9" s="42">
        <f t="shared" si="4"/>
        <v>7</v>
      </c>
      <c r="Q9" s="42">
        <f>(C$68*L68)-C9</f>
        <v>61</v>
      </c>
      <c r="R9" s="42">
        <f t="shared" si="5"/>
        <v>97</v>
      </c>
      <c r="S9" s="30">
        <f t="shared" si="6"/>
        <v>1767824.9999999993</v>
      </c>
      <c r="T9" s="30">
        <f t="shared" si="7"/>
        <v>1404063.9999999998</v>
      </c>
      <c r="U9" s="31">
        <f t="shared" si="8"/>
        <v>1.2590772215511541</v>
      </c>
    </row>
    <row r="10" spans="2:21" ht="18" customHeight="1">
      <c r="B10" s="32" t="str">
        <f>'Data Entry'!A10</f>
        <v>5. Cases Involving Secure Detention</v>
      </c>
      <c r="C10" s="33">
        <f>'Data Entry'!C10</f>
        <v>1</v>
      </c>
      <c r="D10" s="34">
        <f>IF(((AND(C68&gt;0,C10&gt;0))),(C10/(C68)),0)</f>
        <v>1.4705882352941175</v>
      </c>
      <c r="E10" s="33">
        <f>'Data Entry'!I10</f>
        <v>1</v>
      </c>
      <c r="F10" s="34">
        <f>IF(((AND($E$10&gt;0,$D$68&gt;0))),($E$10/($D$68)),0)</f>
        <v>3.4482758620689657</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27.999999999999996</v>
      </c>
      <c r="P10" s="42">
        <f t="shared" si="4"/>
        <v>1</v>
      </c>
      <c r="Q10" s="42">
        <f>(C$68*L68)-C10</f>
        <v>67</v>
      </c>
      <c r="R10" s="42">
        <f t="shared" si="5"/>
        <v>97</v>
      </c>
      <c r="S10" s="30">
        <f t="shared" si="6"/>
        <v>147537</v>
      </c>
      <c r="T10" s="30">
        <f t="shared" si="7"/>
        <v>374679.99999999994</v>
      </c>
      <c r="U10" s="31">
        <f t="shared" si="8"/>
        <v>0.39376801537311845</v>
      </c>
    </row>
    <row r="11" spans="2:21" ht="18" customHeight="1">
      <c r="B11" s="32" t="str">
        <f>'Data Entry'!A11</f>
        <v>6. Cases Petitioned (Charge Filed)</v>
      </c>
      <c r="C11" s="33">
        <f>'Data Entry'!C11</f>
        <v>19</v>
      </c>
      <c r="D11" s="34">
        <f>IF(((AND(C68&gt;0,C11&gt;0))),(C11/(C68)),0)</f>
        <v>27.941176470588232</v>
      </c>
      <c r="E11" s="33">
        <f>'Data Entry'!I11</f>
        <v>5</v>
      </c>
      <c r="F11" s="34">
        <f>IF(((AND($E$11&gt;0,$D$68&gt;0))),($E$11/($D$68)),0)</f>
        <v>17.241379310344829</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5</v>
      </c>
      <c r="O11" s="42">
        <f>(D$68*L68)-E11</f>
        <v>23.999999999999996</v>
      </c>
      <c r="P11" s="42">
        <f t="shared" si="4"/>
        <v>19</v>
      </c>
      <c r="Q11" s="42">
        <f>(C$68*L68)-C11</f>
        <v>49</v>
      </c>
      <c r="R11" s="42">
        <f t="shared" si="5"/>
        <v>97</v>
      </c>
      <c r="S11" s="30">
        <f t="shared" si="6"/>
        <v>4318536.9999999981</v>
      </c>
      <c r="T11" s="30">
        <f t="shared" si="7"/>
        <v>3454943.9999999995</v>
      </c>
      <c r="U11" s="31">
        <f t="shared" si="8"/>
        <v>1.249958610038252</v>
      </c>
    </row>
    <row r="12" spans="2:21" ht="18" customHeight="1">
      <c r="B12" s="32" t="str">
        <f>'Data Entry'!A12</f>
        <v>7. Cases Resulting in Delinquent Findings</v>
      </c>
      <c r="C12" s="33">
        <f>'Data Entry'!C12</f>
        <v>18</v>
      </c>
      <c r="D12" s="34">
        <f>IF(((AND(C69&gt;0,C12&gt;0))),(C12/(C69)),0)</f>
        <v>94.73684210526315</v>
      </c>
      <c r="E12" s="33">
        <f>'Data Entry'!I12</f>
        <v>3</v>
      </c>
      <c r="F12" s="34">
        <f>IF(((AND($D$69&gt;0,$E$12&gt;0))),(E12/(D69)),0)</f>
        <v>60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3</v>
      </c>
      <c r="O12" s="42">
        <f>(D69*L69)-E12</f>
        <v>2</v>
      </c>
      <c r="P12" s="42">
        <f t="shared" si="4"/>
        <v>18</v>
      </c>
      <c r="Q12" s="42">
        <f>(C69*L69)-C12</f>
        <v>1</v>
      </c>
      <c r="R12" s="42">
        <f t="shared" si="5"/>
        <v>24</v>
      </c>
      <c r="S12" s="30">
        <f t="shared" si="6"/>
        <v>26136</v>
      </c>
      <c r="T12" s="30">
        <f t="shared" si="7"/>
        <v>5985</v>
      </c>
      <c r="U12" s="31">
        <f t="shared" si="8"/>
        <v>4.3669172932330831</v>
      </c>
    </row>
    <row r="13" spans="2:21" ht="18" customHeight="1">
      <c r="B13" s="32" t="str">
        <f>'Data Entry'!A13</f>
        <v>8. Cases Resulting in Probation Placement</v>
      </c>
      <c r="C13" s="33">
        <f>'Data Entry'!C13</f>
        <v>16</v>
      </c>
      <c r="D13" s="34">
        <f>IF(((AND(C70&gt;0,C13&gt;0))),(C13/(C70)),0)</f>
        <v>88.888888888888886</v>
      </c>
      <c r="E13" s="33">
        <f>'Data Entry'!I13</f>
        <v>4</v>
      </c>
      <c r="F13" s="34">
        <f>IF(((AND($D$70&gt;0,$E$13&gt;0))),($E$13/($D$70)),0)</f>
        <v>133.33333333333334</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4</v>
      </c>
      <c r="O13" s="42">
        <f>(D70*L70)-E13</f>
        <v>-1</v>
      </c>
      <c r="P13" s="42">
        <f t="shared" si="4"/>
        <v>16</v>
      </c>
      <c r="Q13" s="42">
        <f>(C70*L70)-C13</f>
        <v>2</v>
      </c>
      <c r="R13" s="42">
        <f t="shared" si="5"/>
        <v>21</v>
      </c>
      <c r="S13" s="30">
        <f t="shared" si="6"/>
        <v>12096</v>
      </c>
      <c r="T13" s="30">
        <f t="shared" si="7"/>
        <v>1080</v>
      </c>
      <c r="U13" s="31">
        <f t="shared" si="8"/>
        <v>11.2</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Entry'!I14</f>
        <v>1</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2</v>
      </c>
      <c r="P14" s="42">
        <f t="shared" si="4"/>
        <v>4</v>
      </c>
      <c r="Q14" s="42">
        <f>(C70*L70)-C14</f>
        <v>14</v>
      </c>
      <c r="R14" s="42">
        <f t="shared" si="5"/>
        <v>21</v>
      </c>
      <c r="S14" s="30">
        <f t="shared" si="6"/>
        <v>756</v>
      </c>
      <c r="T14" s="30">
        <f t="shared" si="7"/>
        <v>4320</v>
      </c>
      <c r="U14" s="31">
        <f t="shared" si="8"/>
        <v>0.17499999999999999</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19</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0</v>
      </c>
      <c r="E42" s="56">
        <f>MAX(C42:D42)</f>
        <v>5.867</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0.68</v>
      </c>
      <c r="D44" s="56">
        <f>E8/100</f>
        <v>0.28999999999999998</v>
      </c>
      <c r="E44" s="56">
        <f>MAX(C44:D44,0)</f>
        <v>0.68</v>
      </c>
      <c r="G44" s="1" t="str">
        <f>B44</f>
        <v>per 100 referrals</v>
      </c>
      <c r="L44" s="57">
        <v>100</v>
      </c>
      <c r="M44" s="57"/>
      <c r="R44" s="49"/>
    </row>
    <row r="45" spans="2:18" ht="15" hidden="1" customHeight="1">
      <c r="B45" s="49" t="s">
        <v>89</v>
      </c>
      <c r="C45" s="49">
        <f>C11/100</f>
        <v>0.19</v>
      </c>
      <c r="D45" s="49">
        <f>E11/100</f>
        <v>0.05</v>
      </c>
      <c r="E45" s="56">
        <f>MAX(C45:D45,0)</f>
        <v>0.19</v>
      </c>
      <c r="G45" s="1" t="str">
        <f>B45</f>
        <v>per 100 youth petitioned</v>
      </c>
      <c r="L45" s="57">
        <v>100</v>
      </c>
      <c r="M45" s="57"/>
      <c r="R45" s="49"/>
    </row>
    <row r="46" spans="2:18" ht="15" hidden="1" customHeight="1">
      <c r="B46" s="49" t="s">
        <v>90</v>
      </c>
      <c r="C46" s="49">
        <f>C12/100</f>
        <v>0.18</v>
      </c>
      <c r="D46" s="49">
        <f>E12/100</f>
        <v>0.03</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0</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0.28999999999999998</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0.05</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0.03</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0</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0.28999999999999998</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0.05</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0.03</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0</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0.28999999999999998</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0.05</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0.03</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0</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0.28999999999999998</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0.05</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0.03</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Entry'!J6</f>
        <v>774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Entry'!J7</f>
        <v>7</v>
      </c>
      <c r="F7" s="34">
        <f>IF((AND($E$7&gt;0,$D$66&gt;0)),($E$7/$D$66),0)</f>
        <v>9.0439276485788103</v>
      </c>
      <c r="G7" s="39">
        <f t="shared" ref="G7:G15" si="0">IF(L$6=100,"*",IF(M7=FALSE,"--",IF(K7=20,"**",($F7/$D7))))</f>
        <v>0.72685922622208055</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767</v>
      </c>
      <c r="P7" s="42">
        <f t="shared" ref="P7:P15" si="4">C7</f>
        <v>73</v>
      </c>
      <c r="Q7" s="42">
        <f>C6-C7</f>
        <v>5794</v>
      </c>
      <c r="R7" s="42">
        <f t="shared" ref="R7:R15" si="5">SUM(N7:Q7)</f>
        <v>6641</v>
      </c>
      <c r="S7" s="30">
        <f t="shared" ref="S7:S15" si="6">R7*((((N7*Q7)-(O7*P7))^2))</f>
        <v>1581736704449</v>
      </c>
      <c r="T7" s="30">
        <f t="shared" ref="T7:T15" si="7">(N7+O7)*(P7+Q7)*(N7+P7)*(O7+Q7)</f>
        <v>2383510523040</v>
      </c>
      <c r="U7" s="31">
        <f t="shared" ref="U7:U15" si="8">IF((S7&gt;0),S7/T7,"- -")</f>
        <v>0.6636164133362441</v>
      </c>
    </row>
    <row r="8" spans="2:21" ht="18" customHeight="1">
      <c r="B8" s="32" t="str">
        <f>'Data Entry'!A8</f>
        <v>3. Refer to Juvenile Court</v>
      </c>
      <c r="C8" s="33">
        <f>'Data Entry'!C8</f>
        <v>68</v>
      </c>
      <c r="D8" s="34">
        <f>IF((AND(C67&gt;0,C8&gt;0)),(C8/C67),0)</f>
        <v>93.150684931506845</v>
      </c>
      <c r="E8" s="33">
        <f>'Data Entry'!J8</f>
        <v>33</v>
      </c>
      <c r="F8" s="34">
        <f>IF((AND($E$8&gt;0,$D$67&gt;0)),($E8/$D67),0)</f>
        <v>471.42857142857139</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33</v>
      </c>
      <c r="O8" s="42">
        <f>((D67*L67)-E8)+0.05</f>
        <v>-25.95</v>
      </c>
      <c r="P8" s="42">
        <f t="shared" si="4"/>
        <v>68</v>
      </c>
      <c r="Q8" s="42">
        <f>(C$67*L67)-C8</f>
        <v>5</v>
      </c>
      <c r="R8" s="42">
        <f t="shared" si="5"/>
        <v>80.05</v>
      </c>
      <c r="S8" s="30">
        <f t="shared" si="6"/>
        <v>298054660.60799998</v>
      </c>
      <c r="T8" s="30">
        <f t="shared" si="7"/>
        <v>-1088973.6675000002</v>
      </c>
      <c r="U8" s="31">
        <f t="shared" si="8"/>
        <v>-273.70235801225186</v>
      </c>
    </row>
    <row r="9" spans="2:21" ht="18" customHeight="1">
      <c r="B9" s="32" t="str">
        <f>'Data Entry'!A9</f>
        <v xml:space="preserve">4. Cases Diverted </v>
      </c>
      <c r="C9" s="33">
        <f>'Data Entry'!C9</f>
        <v>7</v>
      </c>
      <c r="D9" s="34">
        <f>IF((AND(C68&gt;0,C9&gt;0)),((C9/C68)),0)</f>
        <v>10.294117647058822</v>
      </c>
      <c r="E9" s="33">
        <f>'Data Entry'!J9</f>
        <v>1</v>
      </c>
      <c r="F9" s="34">
        <f>IF((AND($E$9&gt;0,$D$68&gt;0)),(($E$9/$D$68)),0)</f>
        <v>3.0303030303030303</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32</v>
      </c>
      <c r="P9" s="42">
        <f t="shared" si="4"/>
        <v>7</v>
      </c>
      <c r="Q9" s="42">
        <f>(C$68*L68)-C9</f>
        <v>61</v>
      </c>
      <c r="R9" s="42">
        <f t="shared" si="5"/>
        <v>101</v>
      </c>
      <c r="S9" s="30">
        <f t="shared" si="6"/>
        <v>2683469</v>
      </c>
      <c r="T9" s="30">
        <f t="shared" si="7"/>
        <v>1669536</v>
      </c>
      <c r="U9" s="31">
        <f t="shared" si="8"/>
        <v>1.607314247791003</v>
      </c>
    </row>
    <row r="10" spans="2:21" ht="18" customHeight="1">
      <c r="B10" s="32" t="str">
        <f>'Data Entry'!A10</f>
        <v>5. Cases Involving Secure Detention</v>
      </c>
      <c r="C10" s="33">
        <f>'Data Entry'!C10</f>
        <v>1</v>
      </c>
      <c r="D10" s="34">
        <f>IF(((AND(C68&gt;0,C10&gt;0))),(C10/(C68)),0)</f>
        <v>1.4705882352941175</v>
      </c>
      <c r="E10" s="33">
        <f>'Data Entry'!J10</f>
        <v>1</v>
      </c>
      <c r="F10" s="34">
        <f>IF(((AND($E$10&gt;0,$D$68&gt;0))),($E$10/($D$68)),0)</f>
        <v>3.0303030303030303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32</v>
      </c>
      <c r="P10" s="42">
        <f t="shared" si="4"/>
        <v>1</v>
      </c>
      <c r="Q10" s="42">
        <f>(C$68*L68)-C10</f>
        <v>67</v>
      </c>
      <c r="R10" s="42">
        <f t="shared" si="5"/>
        <v>101</v>
      </c>
      <c r="S10" s="30">
        <f t="shared" si="6"/>
        <v>123725</v>
      </c>
      <c r="T10" s="30">
        <f t="shared" si="7"/>
        <v>444312</v>
      </c>
      <c r="U10" s="31">
        <f t="shared" si="8"/>
        <v>0.27846423234123768</v>
      </c>
    </row>
    <row r="11" spans="2:21" ht="18" customHeight="1">
      <c r="B11" s="32" t="str">
        <f>'Data Entry'!A11</f>
        <v>6. Cases Petitioned (Charge Filed)</v>
      </c>
      <c r="C11" s="33">
        <f>'Data Entry'!C11</f>
        <v>19</v>
      </c>
      <c r="D11" s="34">
        <f>IF(((AND(C68&gt;0,C11&gt;0))),(C11/(C68)),0)</f>
        <v>27.941176470588232</v>
      </c>
      <c r="E11" s="33">
        <f>'Data Entry'!J11</f>
        <v>6</v>
      </c>
      <c r="F11" s="34">
        <f>IF(((AND($E$11&gt;0,$D$68&gt;0))),($E$11/($D$68)),0)</f>
        <v>18.18181818181818</v>
      </c>
      <c r="G11" s="39">
        <f t="shared" si="0"/>
        <v>0.65071770334928225</v>
      </c>
      <c r="H11" s="40"/>
      <c r="I11" s="41"/>
      <c r="J11" s="40">
        <f>IF((ABS($U11)&gt;Defaults!D$7),1,2)</f>
        <v>2</v>
      </c>
      <c r="K11" s="39">
        <f>IF((AND(N11&gt;Defaults!B$12,(N11+O11)&gt;Defaults!B$13, P11 &gt; Defaults!B$12, (P11+Q11) &gt; Defaults!B$13)),1,20)</f>
        <v>1</v>
      </c>
      <c r="L11" s="1">
        <f t="shared" si="1"/>
        <v>2</v>
      </c>
      <c r="M11" s="1" t="b">
        <f t="shared" si="2"/>
        <v>1</v>
      </c>
      <c r="N11" s="42">
        <f t="shared" si="3"/>
        <v>6</v>
      </c>
      <c r="O11" s="42">
        <f>(D$68*L68)-E11</f>
        <v>27</v>
      </c>
      <c r="P11" s="42">
        <f t="shared" si="4"/>
        <v>19</v>
      </c>
      <c r="Q11" s="42">
        <f>(C$68*L68)-C11</f>
        <v>49</v>
      </c>
      <c r="R11" s="42">
        <f t="shared" si="5"/>
        <v>101</v>
      </c>
      <c r="S11" s="30">
        <f t="shared" si="6"/>
        <v>4844061</v>
      </c>
      <c r="T11" s="30">
        <f t="shared" si="7"/>
        <v>4263600</v>
      </c>
      <c r="U11" s="31">
        <f t="shared" si="8"/>
        <v>1.1361433999437096</v>
      </c>
    </row>
    <row r="12" spans="2:21" ht="18" customHeight="1">
      <c r="B12" s="32" t="str">
        <f>'Data Entry'!A12</f>
        <v>7. Cases Resulting in Delinquent Findings</v>
      </c>
      <c r="C12" s="33">
        <f>'Data Entry'!C12</f>
        <v>18</v>
      </c>
      <c r="D12" s="34">
        <f>IF(((AND(C69&gt;0,C12&gt;0))),(C12/(C69)),0)</f>
        <v>94.73684210526315</v>
      </c>
      <c r="E12" s="33">
        <f>'Data Entry'!J12</f>
        <v>4</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2</v>
      </c>
      <c r="P12" s="42">
        <f t="shared" si="4"/>
        <v>18</v>
      </c>
      <c r="Q12" s="42">
        <f>(C69*L69)-C12</f>
        <v>1</v>
      </c>
      <c r="R12" s="42">
        <f t="shared" si="5"/>
        <v>25</v>
      </c>
      <c r="S12" s="30">
        <f t="shared" si="6"/>
        <v>25600</v>
      </c>
      <c r="T12" s="30">
        <f t="shared" si="7"/>
        <v>7524</v>
      </c>
      <c r="U12" s="31">
        <f t="shared" si="8"/>
        <v>3.4024455077086655</v>
      </c>
    </row>
    <row r="13" spans="2:21" ht="18" customHeight="1">
      <c r="B13" s="32" t="str">
        <f>'Data Entry'!A13</f>
        <v>8. Cases Resulting in Probation Placement</v>
      </c>
      <c r="C13" s="33">
        <f>'Data Entry'!C13</f>
        <v>16</v>
      </c>
      <c r="D13" s="34">
        <f>IF(((AND(C70&gt;0,C13&gt;0))),(C13/(C70)),0)</f>
        <v>88.888888888888886</v>
      </c>
      <c r="E13" s="33">
        <f>'Data Entry'!J13</f>
        <v>5</v>
      </c>
      <c r="F13" s="34">
        <f>IF(((AND($D$70&gt;0,$E$13&gt;0))),($E$13/($D$70)),0)</f>
        <v>125</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5</v>
      </c>
      <c r="O13" s="42">
        <f>(D70*L70)-E13</f>
        <v>-1</v>
      </c>
      <c r="P13" s="42">
        <f t="shared" si="4"/>
        <v>16</v>
      </c>
      <c r="Q13" s="42">
        <f>(C70*L70)-C13</f>
        <v>2</v>
      </c>
      <c r="R13" s="42">
        <f t="shared" si="5"/>
        <v>22</v>
      </c>
      <c r="S13" s="30">
        <f t="shared" si="6"/>
        <v>14872</v>
      </c>
      <c r="T13" s="30">
        <f t="shared" si="7"/>
        <v>1512</v>
      </c>
      <c r="U13" s="31">
        <f t="shared" si="8"/>
        <v>9.8359788359788354</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Entry'!J14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3</v>
      </c>
      <c r="P14" s="42">
        <f t="shared" si="4"/>
        <v>4</v>
      </c>
      <c r="Q14" s="42">
        <f>(C70*L70)-C14</f>
        <v>14</v>
      </c>
      <c r="R14" s="42">
        <f t="shared" si="5"/>
        <v>22</v>
      </c>
      <c r="S14" s="30">
        <f t="shared" si="6"/>
        <v>88</v>
      </c>
      <c r="T14" s="30">
        <f t="shared" si="7"/>
        <v>6120</v>
      </c>
      <c r="U14" s="31">
        <f t="shared" si="8"/>
        <v>1.4379084967320261E-2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19</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0.77400000000000002</v>
      </c>
      <c r="E42" s="56">
        <f>MAX(C42:D42)</f>
        <v>5.867</v>
      </c>
      <c r="G42" s="1" t="str">
        <f>B42</f>
        <v>per 1000 youth</v>
      </c>
      <c r="L42" s="57">
        <v>1000</v>
      </c>
      <c r="M42" s="57"/>
      <c r="R42" s="49"/>
    </row>
    <row r="43" spans="2:18" ht="15" hidden="1" customHeight="1">
      <c r="B43" s="49" t="s">
        <v>87</v>
      </c>
      <c r="C43" s="56">
        <f>C7/100</f>
        <v>0.73</v>
      </c>
      <c r="D43" s="56">
        <f>E7/100</f>
        <v>7.0000000000000007E-2</v>
      </c>
      <c r="E43" s="56">
        <f>MAX(C43:D43,0)</f>
        <v>0.73</v>
      </c>
      <c r="G43" s="1" t="str">
        <f>B43</f>
        <v>per 100 arrests</v>
      </c>
      <c r="L43" s="57">
        <v>100</v>
      </c>
      <c r="M43" s="57"/>
      <c r="R43" s="49"/>
    </row>
    <row r="44" spans="2:18" ht="15" hidden="1" customHeight="1">
      <c r="B44" s="49" t="s">
        <v>88</v>
      </c>
      <c r="C44" s="56">
        <f>C8/100</f>
        <v>0.68</v>
      </c>
      <c r="D44" s="56">
        <f>E8/100</f>
        <v>0.33</v>
      </c>
      <c r="E44" s="56">
        <f>MAX(C44:D44,0)</f>
        <v>0.68</v>
      </c>
      <c r="G44" s="1" t="str">
        <f>B44</f>
        <v>per 100 referrals</v>
      </c>
      <c r="L44" s="57">
        <v>100</v>
      </c>
      <c r="M44" s="57"/>
      <c r="R44" s="49"/>
    </row>
    <row r="45" spans="2:18" ht="15" hidden="1" customHeight="1">
      <c r="B45" s="49" t="s">
        <v>89</v>
      </c>
      <c r="C45" s="49">
        <f>C11/100</f>
        <v>0.19</v>
      </c>
      <c r="D45" s="49">
        <f>E11/100</f>
        <v>0.06</v>
      </c>
      <c r="E45" s="56">
        <f>MAX(C45:D45,0)</f>
        <v>0.19</v>
      </c>
      <c r="G45" s="1" t="str">
        <f>B45</f>
        <v>per 100 youth petitioned</v>
      </c>
      <c r="L45" s="57">
        <v>100</v>
      </c>
      <c r="M45" s="57"/>
      <c r="R45" s="49"/>
    </row>
    <row r="46" spans="2:18" ht="15" hidden="1" customHeight="1">
      <c r="B46" s="49" t="s">
        <v>90</v>
      </c>
      <c r="C46" s="49">
        <f>C12/100</f>
        <v>0.18</v>
      </c>
      <c r="D46" s="49">
        <f>E12/100</f>
        <v>0.04</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0.77400000000000002</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7.0000000000000007E-2</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0.33</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0.06</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0.04</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0.77400000000000002</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7.0000000000000007E-2</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0.33</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0.06</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0.04</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0.77400000000000002</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7.0000000000000007E-2</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0.33</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0.06</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0.04</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0.77400000000000002</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7.0000000000000007E-2</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0.33</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0.06</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0.04</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Ionia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4.0184931506849306</v>
      </c>
      <c r="D7" s="72" t="str">
        <f>Hispanic!G7</f>
        <v>**</v>
      </c>
      <c r="E7" s="72" t="str">
        <f>Asian!G7</f>
        <v>*</v>
      </c>
      <c r="F7" s="72" t="str">
        <f>Hawaiian!G7</f>
        <v>*</v>
      </c>
      <c r="G7" s="72" t="str">
        <f>'Am Indian'!G7</f>
        <v>*</v>
      </c>
      <c r="H7" s="72" t="str">
        <f>'Other - Mixed'!G7</f>
        <v>*</v>
      </c>
      <c r="I7" s="73">
        <f>'All Minorities'!G7</f>
        <v>0.72685922622208055</v>
      </c>
      <c r="L7" s="1">
        <f>'Black or African-American'!L7</f>
        <v>1</v>
      </c>
      <c r="M7" s="1">
        <f>Hispanic!L7</f>
        <v>20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0.65071770334928225</v>
      </c>
      <c r="L11" s="1">
        <f>'Black or African-American'!L11</f>
        <v>40</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f>'Other - Mixed'!L12</f>
        <v>119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f>Hispanic!L13</f>
        <v>40</v>
      </c>
      <c r="N13" s="1" t="e">
        <f>Asian!L13</f>
        <v>#VALUE!</v>
      </c>
      <c r="O13" s="1" t="e">
        <f>Hawaiian!L13</f>
        <v>#VALUE!</v>
      </c>
      <c r="P13" s="1" t="e">
        <f>'Am Indian'!L13</f>
        <v>#VALUE!</v>
      </c>
      <c r="Q13" s="1">
        <f>'Other - Mixed'!L13</f>
        <v>119</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6641</v>
      </c>
      <c r="D3" s="57">
        <f>'Data Entry'!C6</f>
        <v>5867</v>
      </c>
      <c r="E3" s="57">
        <f>'Data Entry'!D6</f>
        <v>140</v>
      </c>
      <c r="F3" s="57">
        <f>'Data Entry'!E6</f>
        <v>555</v>
      </c>
      <c r="G3" s="57">
        <f>'Data Entry'!F6</f>
        <v>49</v>
      </c>
      <c r="H3" s="57">
        <f>'Data Entry'!G6</f>
        <v>0</v>
      </c>
      <c r="I3" s="57">
        <f>'Data Entry'!H6</f>
        <v>30</v>
      </c>
      <c r="J3" s="57">
        <f>'Data Entry'!I6</f>
        <v>0</v>
      </c>
      <c r="K3" s="57">
        <f>'Data Entry'!J6</f>
        <v>774</v>
      </c>
    </row>
    <row r="4" spans="2:11" ht="15" customHeight="1">
      <c r="B4" s="16" t="s">
        <v>8</v>
      </c>
      <c r="C4" s="1">
        <f>IF((C$3&gt;0),(1000*('Data Entry'!B7/'Data Entry'!B$6)), 0)</f>
        <v>12.648697485318477</v>
      </c>
      <c r="D4" s="1">
        <f>IF((D$3&gt;0),(1000*('Data Entry'!C7/'Data Entry'!C$6)), 0)</f>
        <v>12.44247485938299</v>
      </c>
      <c r="E4" s="1">
        <f>IF((E$3&gt;0),(1000*('Data Entry'!D7/'Data Entry'!D$6)), 0)</f>
        <v>50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9.0439276485788103</v>
      </c>
    </row>
    <row r="5" spans="2:11" ht="15" customHeight="1">
      <c r="B5" s="16" t="s">
        <v>9</v>
      </c>
      <c r="C5" s="1">
        <f>IF((C$3&gt;0),(1000*('Data Entry'!B8/'Data Entry'!B$6)), 0)</f>
        <v>15.208552928775788</v>
      </c>
      <c r="D5" s="1">
        <f>IF((D$3&gt;0),(1000*('Data Entry'!C8/'Data Entry'!C$6)), 0)</f>
        <v>11.590250553945799</v>
      </c>
      <c r="E5" s="1">
        <f>IF((E$3&gt;0),(1000*('Data Entry'!D8/'Data Entry'!D$6)), 0)</f>
        <v>14.285714285714285</v>
      </c>
      <c r="F5" s="1">
        <f>IF((F$3&gt;0),(1000*('Data Entry'!E8/'Data Entry'!E$6)), 0)</f>
        <v>3.6036036036036037</v>
      </c>
      <c r="G5" s="1">
        <f>IF((G$3&gt;0),(1000*('Data Entry'!F8/'Data Entry'!F$6)), 0)</f>
        <v>0</v>
      </c>
      <c r="H5" s="1">
        <f>IF((H$3&gt;0),(1000*('Data Entry'!G8/'Data Entry'!G$6)), 0)</f>
        <v>0</v>
      </c>
      <c r="I5" s="1">
        <f>IF((I$3&gt;0),(1000*('Data Entry'!H8/'Data Entry'!H$6)), 0)</f>
        <v>0</v>
      </c>
      <c r="J5" s="1">
        <f>IF((J$3&gt;0),(1000*('Data Entry'!I8/'Data Entry'!I$6)), 0)</f>
        <v>0</v>
      </c>
      <c r="K5" s="1">
        <f>IF((K$3&gt;0),(1000*('Data Entry'!J8/'Data Entry'!J$6)), 0)</f>
        <v>42.63565891472868</v>
      </c>
    </row>
    <row r="6" spans="2:11" ht="15" customHeight="1">
      <c r="B6" s="16" t="s">
        <v>10</v>
      </c>
      <c r="C6" s="1">
        <f>IF((C$3&gt;0),(1000*('Data Entry'!B9/'Data Entry'!B$6)), 0)</f>
        <v>1.2046378557446169</v>
      </c>
      <c r="D6" s="1">
        <f>IF((D$3&gt;0),(1000*('Data Entry'!C9/'Data Entry'!C$6)), 0)</f>
        <v>1.1931140276120675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1.2919896640826873</v>
      </c>
    </row>
    <row r="7" spans="2:11" ht="15" customHeight="1">
      <c r="B7" s="16" t="s">
        <v>11</v>
      </c>
      <c r="C7" s="1">
        <f>IF((C$3&gt;0),(1000*('Data Entry'!B10/'Data Entry'!B$6)), 0)</f>
        <v>0.30115946393615423</v>
      </c>
      <c r="D7" s="1">
        <f>IF((D$3&gt;0),(1000*('Data Entry'!C10/'Data Entry'!C$6)), 0)</f>
        <v>0.1704448610874382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1.2919896640826873</v>
      </c>
    </row>
    <row r="8" spans="2:11" ht="15" customHeight="1">
      <c r="B8" s="16" t="s">
        <v>95</v>
      </c>
      <c r="C8" s="1">
        <f>IF((C$3&gt;0),(1000*('Data Entry'!B11/'Data Entry'!B$6)), 0)</f>
        <v>3.7644932992019275</v>
      </c>
      <c r="D8" s="1">
        <f>IF((D$3&gt;0),(1000*('Data Entry'!C11/'Data Entry'!C$6)), 0)</f>
        <v>3.2384523606613262</v>
      </c>
      <c r="E8" s="1">
        <f>IF((E$3&gt;0),(1000*('Data Entry'!D11/'Data Entry'!D$6)), 0)</f>
        <v>0</v>
      </c>
      <c r="F8" s="1">
        <f>IF((F$3&gt;0),(1000*('Data Entry'!E11/'Data Entry'!E$6)), 0)</f>
        <v>1.8018018018018018</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7.7519379844961236</v>
      </c>
    </row>
    <row r="9" spans="2:11" ht="15" customHeight="1">
      <c r="B9" s="16" t="s">
        <v>13</v>
      </c>
      <c r="C9" s="1">
        <f>IF((C$3&gt;0),(1000*('Data Entry'!B12/'Data Entry'!B$6)), 0)</f>
        <v>3.3127541032976962</v>
      </c>
      <c r="D9" s="1">
        <f>IF((D$3&gt;0),(1000*('Data Entry'!C12/'Data Entry'!C$6)), 0)</f>
        <v>3.0680074995738877</v>
      </c>
      <c r="E9" s="1">
        <f>IF((E$3&gt;0),(1000*('Data Entry'!D12/'Data Entry'!D$6)), 0)</f>
        <v>0</v>
      </c>
      <c r="F9" s="1">
        <f>IF((F$3&gt;0),(1000*('Data Entry'!E12/'Data Entry'!E$6)), 0)</f>
        <v>1.8018018018018018</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5.1679586563307494</v>
      </c>
    </row>
    <row r="10" spans="2:11" ht="15" customHeight="1">
      <c r="B10" s="16" t="s">
        <v>14</v>
      </c>
      <c r="C10" s="1">
        <f>IF((C$3&gt;0),(1000*('Data Entry'!B13/'Data Entry'!B$6)), 0)</f>
        <v>3.1621743713296193</v>
      </c>
      <c r="D10" s="1">
        <f>IF((D$3&gt;0),(1000*('Data Entry'!C13/'Data Entry'!C$6)), 0)</f>
        <v>2.7271177773990112</v>
      </c>
      <c r="E10" s="1">
        <f>IF((E$3&gt;0),(1000*('Data Entry'!D13/'Data Entry'!D$6)), 0)</f>
        <v>0</v>
      </c>
      <c r="F10" s="1">
        <f>IF((F$3&gt;0),(1000*('Data Entry'!E13/'Data Entry'!E$6)), 0)</f>
        <v>1.8018018018018018</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6.459948320413436</v>
      </c>
    </row>
    <row r="11" spans="2:11" ht="25.5" customHeight="1">
      <c r="B11" s="16" t="s">
        <v>15</v>
      </c>
      <c r="C11" s="1">
        <f>IF((C$3&gt;0),(1000*('Data Entry'!B14/'Data Entry'!B$6)), 0)</f>
        <v>0.75289865984038551</v>
      </c>
      <c r="D11" s="1">
        <f>IF((D$3&gt;0),(1000*('Data Entry'!C14/'Data Entry'!C$6)), 0)</f>
        <v>0.68177944434975279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1.2919896640826873</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Ionia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4.0184931506849315</v>
      </c>
      <c r="E19" s="72" t="str">
        <f t="shared" si="1"/>
        <v>--</v>
      </c>
      <c r="F19" s="72" t="str">
        <f t="shared" si="1"/>
        <v>--</v>
      </c>
      <c r="G19" s="72" t="str">
        <f t="shared" si="1"/>
        <v>--</v>
      </c>
      <c r="H19" s="72" t="str">
        <f t="shared" si="1"/>
        <v>--</v>
      </c>
      <c r="I19" s="72" t="str">
        <f t="shared" si="1"/>
        <v>--</v>
      </c>
      <c r="J19" s="73">
        <f t="shared" si="1"/>
        <v>0.72685922622208055</v>
      </c>
    </row>
    <row r="20" spans="2:10" ht="15" customHeight="1">
      <c r="B20" s="71" t="s">
        <v>9</v>
      </c>
      <c r="C20" s="72">
        <f t="shared" ref="C20:J27" si="2">IF(AND(($D5&gt;0),(D5&gt;0)), (D5/$D5),"--")</f>
        <v>1</v>
      </c>
      <c r="D20" s="72">
        <f t="shared" si="2"/>
        <v>1.2325630252100839</v>
      </c>
      <c r="E20" s="72">
        <f t="shared" si="2"/>
        <v>0.31091679915209325</v>
      </c>
      <c r="F20" s="72" t="str">
        <f t="shared" si="2"/>
        <v>--</v>
      </c>
      <c r="G20" s="72" t="str">
        <f t="shared" si="2"/>
        <v>--</v>
      </c>
      <c r="H20" s="72" t="str">
        <f t="shared" si="2"/>
        <v>--</v>
      </c>
      <c r="I20" s="72" t="str">
        <f t="shared" si="2"/>
        <v>--</v>
      </c>
      <c r="J20" s="73">
        <f t="shared" si="2"/>
        <v>3.6785795713634286</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f t="shared" si="2"/>
        <v>1.0828719084533038</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f t="shared" si="2"/>
        <v>7.5801033591731271</v>
      </c>
    </row>
    <row r="23" spans="2:10" ht="15" customHeight="1">
      <c r="B23" s="71" t="s">
        <v>95</v>
      </c>
      <c r="C23" s="72">
        <f t="shared" si="2"/>
        <v>1</v>
      </c>
      <c r="D23" s="72" t="str">
        <f t="shared" si="2"/>
        <v>--</v>
      </c>
      <c r="E23" s="72">
        <f t="shared" si="2"/>
        <v>0.55637743006164053</v>
      </c>
      <c r="F23" s="72" t="str">
        <f t="shared" si="2"/>
        <v>--</v>
      </c>
      <c r="G23" s="72" t="str">
        <f t="shared" si="2"/>
        <v>--</v>
      </c>
      <c r="H23" s="72" t="str">
        <f t="shared" si="2"/>
        <v>--</v>
      </c>
      <c r="I23" s="72" t="str">
        <f t="shared" si="2"/>
        <v>--</v>
      </c>
      <c r="J23" s="73">
        <f t="shared" si="2"/>
        <v>2.3937168502651978</v>
      </c>
    </row>
    <row r="24" spans="2:10" ht="15" customHeight="1">
      <c r="B24" s="71" t="s">
        <v>13</v>
      </c>
      <c r="C24" s="72">
        <f t="shared" si="2"/>
        <v>1</v>
      </c>
      <c r="D24" s="72" t="str">
        <f t="shared" si="2"/>
        <v>--</v>
      </c>
      <c r="E24" s="72">
        <f t="shared" si="2"/>
        <v>0.5872872872872873</v>
      </c>
      <c r="F24" s="72" t="str">
        <f t="shared" si="2"/>
        <v>--</v>
      </c>
      <c r="G24" s="72" t="str">
        <f t="shared" si="2"/>
        <v>--</v>
      </c>
      <c r="H24" s="72" t="str">
        <f t="shared" si="2"/>
        <v>--</v>
      </c>
      <c r="I24" s="72" t="str">
        <f t="shared" si="2"/>
        <v>--</v>
      </c>
      <c r="J24" s="73">
        <f t="shared" si="2"/>
        <v>1.6844674131495838</v>
      </c>
    </row>
    <row r="25" spans="2:10" ht="15" customHeight="1">
      <c r="B25" s="71" t="s">
        <v>14</v>
      </c>
      <c r="C25" s="72">
        <f t="shared" si="2"/>
        <v>1</v>
      </c>
      <c r="D25" s="72" t="str">
        <f t="shared" si="2"/>
        <v>--</v>
      </c>
      <c r="E25" s="72">
        <f t="shared" si="2"/>
        <v>0.66069819819819831</v>
      </c>
      <c r="F25" s="72" t="str">
        <f t="shared" si="2"/>
        <v>--</v>
      </c>
      <c r="G25" s="72" t="str">
        <f t="shared" si="2"/>
        <v>--</v>
      </c>
      <c r="H25" s="72" t="str">
        <f t="shared" si="2"/>
        <v>--</v>
      </c>
      <c r="I25" s="72" t="str">
        <f t="shared" si="2"/>
        <v>--</v>
      </c>
      <c r="J25" s="73">
        <f t="shared" si="2"/>
        <v>2.3687822997416021</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1.8950258397932818</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Ionia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5867</v>
      </c>
      <c r="D7" s="104">
        <f>'Data Entry'!D6</f>
        <v>140</v>
      </c>
      <c r="E7" s="105"/>
      <c r="F7" s="106">
        <f>'Data Entry'!E6</f>
        <v>555</v>
      </c>
      <c r="G7" s="105"/>
      <c r="H7" s="106">
        <f>'Data Entry'!F6</f>
        <v>49</v>
      </c>
      <c r="I7" s="105"/>
      <c r="J7" s="106">
        <f>'Data Entry'!G6</f>
        <v>0</v>
      </c>
      <c r="K7" s="105"/>
      <c r="L7" s="106">
        <f>'Data Entry'!H6</f>
        <v>30</v>
      </c>
      <c r="M7" s="105"/>
      <c r="N7" s="106">
        <f>'Data Entry'!I6</f>
        <v>0</v>
      </c>
      <c r="O7" s="105"/>
      <c r="P7" s="106">
        <f>'Data Entry'!J6</f>
        <v>774</v>
      </c>
      <c r="Q7" s="107"/>
    </row>
    <row r="8" spans="2:26" s="1" customFormat="1" ht="15" customHeight="1">
      <c r="B8" s="142" t="s">
        <v>8</v>
      </c>
      <c r="C8" s="103">
        <f>'Data Entry'!C7</f>
        <v>73</v>
      </c>
      <c r="D8" s="104">
        <f>'Data Entry'!D7</f>
        <v>7</v>
      </c>
      <c r="E8" s="105">
        <f>'Black or African-American'!$G7</f>
        <v>4.0184931506849306</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v>
      </c>
      <c r="Q8" s="107">
        <f>'All Minorities'!G7</f>
        <v>0.72685922622208055</v>
      </c>
      <c r="R8"/>
      <c r="T8" s="1">
        <f>'Black or African-American'!L7</f>
        <v>1</v>
      </c>
      <c r="U8" s="1">
        <f>Hispanic!L7</f>
        <v>20</v>
      </c>
      <c r="V8" s="1">
        <f>Asian!L7</f>
        <v>139</v>
      </c>
      <c r="W8" s="1" t="e">
        <f>Hawaiian!L7</f>
        <v>#VALUE!</v>
      </c>
      <c r="X8" s="1">
        <f>'Am Indian'!L7</f>
        <v>139</v>
      </c>
      <c r="Y8" s="1" t="e">
        <f>'Other - Mixed'!L7</f>
        <v>#VALUE!</v>
      </c>
      <c r="Z8" s="1">
        <f>'All Minorities'!L7</f>
        <v>2</v>
      </c>
    </row>
    <row r="9" spans="2:26" s="1" customFormat="1" ht="15" customHeight="1">
      <c r="B9" s="142" t="s">
        <v>134</v>
      </c>
      <c r="C9" s="103">
        <f>'Data Entry'!C8</f>
        <v>68</v>
      </c>
      <c r="D9" s="108">
        <f>'Data Entry'!D8</f>
        <v>2</v>
      </c>
      <c r="E9" s="109" t="str">
        <f>'Black or African-American'!$G8</f>
        <v>**</v>
      </c>
      <c r="F9" s="110">
        <f>'Data Entry'!E8</f>
        <v>2</v>
      </c>
      <c r="G9" s="109" t="str">
        <f>Hispanic!G8</f>
        <v>**</v>
      </c>
      <c r="H9" s="110">
        <f>'Data Entry'!F8</f>
        <v>0</v>
      </c>
      <c r="I9" s="109" t="str">
        <f>Asian!G8</f>
        <v>*</v>
      </c>
      <c r="J9" s="110">
        <f>'Data Entry'!G8</f>
        <v>0</v>
      </c>
      <c r="K9" s="109" t="str">
        <f>Hawaiian!G8</f>
        <v>*</v>
      </c>
      <c r="L9" s="110">
        <f>'Data Entry'!H8</f>
        <v>0</v>
      </c>
      <c r="M9" s="109" t="str">
        <f>'Am Indian'!G8</f>
        <v>*</v>
      </c>
      <c r="N9" s="110">
        <f>'Data Entry'!I8</f>
        <v>29</v>
      </c>
      <c r="O9" s="109" t="str">
        <f>'Other - Mixed'!G8</f>
        <v>*</v>
      </c>
      <c r="P9" s="110">
        <f>'Data Entry'!J8</f>
        <v>33</v>
      </c>
      <c r="Q9" s="111" t="str">
        <f>'All Minorities'!G8</f>
        <v>**</v>
      </c>
      <c r="R9"/>
      <c r="T9" s="1">
        <f>'Black or African-American'!L8</f>
        <v>20</v>
      </c>
      <c r="U9" s="1">
        <f>Hispanic!L8</f>
        <v>20</v>
      </c>
      <c r="V9" s="1">
        <f>Asian!L8</f>
        <v>139</v>
      </c>
      <c r="W9" s="1">
        <f>Hawaiian!L8</f>
        <v>139</v>
      </c>
      <c r="X9" s="1">
        <f>'Am Indian'!L8</f>
        <v>139</v>
      </c>
      <c r="Y9" s="1">
        <f>'Other - Mixed'!L8</f>
        <v>119</v>
      </c>
      <c r="Z9" s="1">
        <f>'All Minorities'!L8</f>
        <v>20</v>
      </c>
    </row>
    <row r="10" spans="2:26" s="1" customFormat="1" ht="15" customHeight="1">
      <c r="B10" s="142" t="s">
        <v>10</v>
      </c>
      <c r="C10" s="103">
        <f>'Data Entry'!C9</f>
        <v>7</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1</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1</v>
      </c>
      <c r="O11" s="109" t="str">
        <f>'Other - Mixed'!G10</f>
        <v>*</v>
      </c>
      <c r="P11" s="110">
        <f>'Data Entry'!J10</f>
        <v>1</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19</v>
      </c>
      <c r="D12" s="112">
        <f>'Data Entry'!D11</f>
        <v>0</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5</v>
      </c>
      <c r="O12" s="113" t="str">
        <f>'Other - Mixed'!G11</f>
        <v>*</v>
      </c>
      <c r="P12" s="114">
        <f>'Data Entry'!J11</f>
        <v>6</v>
      </c>
      <c r="Q12" s="115">
        <f>'All Minorities'!G11</f>
        <v>0.65071770334928225</v>
      </c>
      <c r="R12"/>
      <c r="T12" s="1">
        <f>'Black or African-American'!L11</f>
        <v>40</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18</v>
      </c>
      <c r="D13" s="108">
        <f>'Data Entry'!D12</f>
        <v>0</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3</v>
      </c>
      <c r="O13" s="109" t="str">
        <f>'Other - Mixed'!G12</f>
        <v>*</v>
      </c>
      <c r="P13" s="110">
        <f>'Data Entry'!J12</f>
        <v>4</v>
      </c>
      <c r="Q13" s="111" t="str">
        <f>'All Minorities'!G12</f>
        <v>**</v>
      </c>
      <c r="R13"/>
      <c r="T13" s="1" t="e">
        <f>'Black or African-American'!L12</f>
        <v>#VALUE!</v>
      </c>
      <c r="U13" s="1">
        <f>Hispanic!L12</f>
        <v>40</v>
      </c>
      <c r="V13" s="1" t="e">
        <f>Asian!L12</f>
        <v>#VALUE!</v>
      </c>
      <c r="W13" s="1" t="e">
        <f>Hawaiian!L12</f>
        <v>#VALUE!</v>
      </c>
      <c r="X13" s="1" t="e">
        <f>'Am Indian'!L12</f>
        <v>#VALUE!</v>
      </c>
      <c r="Y13" s="1">
        <f>'Other - Mixed'!L12</f>
        <v>119</v>
      </c>
      <c r="Z13" s="1">
        <f>'All Minorities'!L12</f>
        <v>40</v>
      </c>
    </row>
    <row r="14" spans="2:26" s="1" customFormat="1" ht="15" customHeight="1">
      <c r="B14" s="142" t="s">
        <v>133</v>
      </c>
      <c r="C14" s="103">
        <f>'Data Entry'!C13</f>
        <v>16</v>
      </c>
      <c r="D14" s="112">
        <f>'Data Entry'!D13</f>
        <v>0</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4</v>
      </c>
      <c r="O14" s="113" t="str">
        <f>'Other - Mixed'!G13</f>
        <v>*</v>
      </c>
      <c r="P14" s="114">
        <f>'Data Entry'!J13</f>
        <v>5</v>
      </c>
      <c r="Q14" s="115" t="str">
        <f>'All Minorities'!G13</f>
        <v>**</v>
      </c>
      <c r="R14"/>
      <c r="T14" s="1" t="e">
        <f>'Black or African-American'!L13</f>
        <v>#VALUE!</v>
      </c>
      <c r="U14" s="1">
        <f>Hispanic!L13</f>
        <v>40</v>
      </c>
      <c r="V14" s="1" t="e">
        <f>Asian!L13</f>
        <v>#VALUE!</v>
      </c>
      <c r="W14" s="1" t="e">
        <f>Hawaiian!L13</f>
        <v>#VALUE!</v>
      </c>
      <c r="X14" s="1" t="e">
        <f>'Am Indian'!L13</f>
        <v>#VALUE!</v>
      </c>
      <c r="Y14" s="1">
        <f>'Other - Mixed'!L13</f>
        <v>119</v>
      </c>
      <c r="Z14" s="1">
        <f>'All Minorities'!L13</f>
        <v>20</v>
      </c>
    </row>
    <row r="15" spans="2:26" s="1" customFormat="1" ht="33">
      <c r="B15" s="144"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1</v>
      </c>
      <c r="O15" s="109" t="str">
        <f>'Other - Mixed'!G14</f>
        <v>*</v>
      </c>
      <c r="P15" s="110">
        <f>'Data Entry'!J14</f>
        <v>1</v>
      </c>
      <c r="Q15" s="111" t="str">
        <f>'All Minorities'!G14</f>
        <v>**</v>
      </c>
      <c r="R15"/>
      <c r="T15" s="1" t="e">
        <f>'Black or African-American'!L14</f>
        <v>#VALUE!</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Ionia</v>
      </c>
    </row>
    <row r="6" spans="1:12">
      <c r="A6" s="135" t="str">
        <f>CONCATENATE("Percentage of Minorities at Stages of the Juvenile Justice System, ", A5, " 2024")</f>
        <v>Percentage of Minorities at Stages of the Juvenile Justice System, County: Ionia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7.5801033591731262</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0.2</v>
      </c>
      <c r="H8" s="150">
        <f>SUM(D8:G8)/'Data Entry'!B14</f>
        <v>0.04</v>
      </c>
      <c r="I8" s="150">
        <f>'Data Entry'!C14/'Data Entry'!B14</f>
        <v>0.8</v>
      </c>
      <c r="K8" s="96" t="str">
        <f>A8</f>
        <v>Confinement, total N=5</v>
      </c>
      <c r="L8">
        <f>I14/(SUM(B14:G14))</f>
        <v>7.5801033591731262</v>
      </c>
    </row>
    <row r="9" spans="1:12">
      <c r="A9" s="128" t="str">
        <f>CONCATENATE("Delinquent Findings, total N=", 'Data Entry'!B12)</f>
        <v>Delinquent Findings, total N=22</v>
      </c>
      <c r="B9" s="150">
        <f>'Data Entry'!D12/'Data Entry'!B12</f>
        <v>0</v>
      </c>
      <c r="C9" s="150">
        <f>'Data Entry'!E12/'Data Entry'!B12</f>
        <v>4.5454545454545456E-2</v>
      </c>
      <c r="D9" s="150">
        <f>'Data Entry'!F12/'Data Entry'!B12</f>
        <v>0</v>
      </c>
      <c r="E9" s="150">
        <f>'Data Entry'!G12/'Data Entry'!B12</f>
        <v>0</v>
      </c>
      <c r="F9" s="150">
        <f>'Data Entry'!H12/'Data Entry'!B12</f>
        <v>0</v>
      </c>
      <c r="G9" s="150">
        <f>'Data Entry'!I12/'Data Entry'!B12</f>
        <v>0.13636363636363635</v>
      </c>
      <c r="H9" s="150">
        <f>SUM(D9:G9)/'Data Entry'!B12</f>
        <v>6.1983471074380158E-3</v>
      </c>
      <c r="I9" s="150">
        <f>'Data Entry'!C12/'Data Entry'!B12</f>
        <v>0.81818181818181823</v>
      </c>
      <c r="K9" s="96" t="str">
        <f t="shared" si="0"/>
        <v>Delinquent Findings, total N=22</v>
      </c>
      <c r="L9">
        <f>I14/(SUM(B14:G14))</f>
        <v>7.5801033591731262</v>
      </c>
    </row>
    <row r="10" spans="1:12">
      <c r="A10" s="128" t="str">
        <f>CONCATENATE("Petitions, total N=", 'Data Entry'!B11)</f>
        <v>Petitions, total N=25</v>
      </c>
      <c r="B10" s="150">
        <f>'Data Entry'!D11/'Data Entry'!B11</f>
        <v>0</v>
      </c>
      <c r="C10" s="150">
        <f>'Data Entry'!E11/'Data Entry'!B11</f>
        <v>0.04</v>
      </c>
      <c r="D10" s="150">
        <f>'Data Entry'!F11/'Data Entry'!B11</f>
        <v>0</v>
      </c>
      <c r="E10" s="150">
        <f>'Data Entry'!G11/'Data Entry'!B11</f>
        <v>0</v>
      </c>
      <c r="F10" s="150">
        <f>'Data Entry'!H11/'Data Entry'!B11</f>
        <v>0</v>
      </c>
      <c r="G10" s="150">
        <f>'Data Entry'!I11/'Data Entry'!B11</f>
        <v>0.2</v>
      </c>
      <c r="H10" s="150">
        <f>SUM(D10:G10)/'Data Entry'!B11</f>
        <v>8.0000000000000002E-3</v>
      </c>
      <c r="I10" s="150">
        <f>'Data Entry'!C11/'Data Entry'!B11</f>
        <v>0.76</v>
      </c>
      <c r="K10" s="96" t="str">
        <f t="shared" si="0"/>
        <v>Petitions, total N=25</v>
      </c>
      <c r="L10">
        <f>I14/(SUM(B14:G14))</f>
        <v>7.5801033591731262</v>
      </c>
    </row>
    <row r="11" spans="1:1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0.5</v>
      </c>
      <c r="H11" s="150">
        <f>SUM(D11:G11)/'Data Entry'!B10</f>
        <v>0.25</v>
      </c>
      <c r="I11" s="150">
        <f>'Data Entry'!C10/'Data Entry'!B10</f>
        <v>0.5</v>
      </c>
      <c r="K11" s="96" t="str">
        <f t="shared" si="0"/>
        <v>Detentions, total N=2</v>
      </c>
      <c r="L11">
        <f>I14/(SUM(B14:G14))</f>
        <v>7.5801033591731262</v>
      </c>
    </row>
    <row r="12" spans="1:12">
      <c r="A12" s="128" t="str">
        <f>CONCATENATE("Referrals, total N=", 'Data Entry'!B8)</f>
        <v>Referrals, total N=101</v>
      </c>
      <c r="B12" s="150">
        <f>'Data Entry'!D8/'Data Entry'!B8</f>
        <v>1.9801980198019802E-2</v>
      </c>
      <c r="C12" s="150">
        <f>'Data Entry'!E8/'Data Entry'!B8</f>
        <v>1.9801980198019802E-2</v>
      </c>
      <c r="D12" s="150">
        <f>'Data Entry'!F8/'Data Entry'!B8</f>
        <v>0</v>
      </c>
      <c r="E12" s="150">
        <f>'Data Entry'!G8/'Data Entry'!B8</f>
        <v>0</v>
      </c>
      <c r="F12" s="150">
        <f>'Data Entry'!H8/'Data Entry'!B8</f>
        <v>0</v>
      </c>
      <c r="G12" s="150">
        <f>'Data Entry'!I8/'Data Entry'!B8</f>
        <v>0.28712871287128711</v>
      </c>
      <c r="H12" s="150">
        <f>SUM(D12:G12)/'Data Entry'!B8</f>
        <v>2.8428585432800704E-3</v>
      </c>
      <c r="I12" s="150">
        <f>'Data Entry'!C8/'Data Entry'!B8</f>
        <v>0.67326732673267331</v>
      </c>
      <c r="K12" s="96" t="str">
        <f t="shared" si="0"/>
        <v>Referrals, total N=101</v>
      </c>
      <c r="L12">
        <f>I14/(SUM(B14:G14))</f>
        <v>7.5801033591731262</v>
      </c>
    </row>
    <row r="13" spans="1:12">
      <c r="A13" s="128" t="str">
        <f>CONCATENATE("Arrests, total N=", 'Data Entry'!B7)</f>
        <v>Arrests, total N=84</v>
      </c>
      <c r="B13" s="150">
        <f>'Data Entry'!D7/'Data Entry'!B7</f>
        <v>8.3333333333333329E-2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0.86904761904761907</v>
      </c>
      <c r="K13" s="96" t="str">
        <f t="shared" si="0"/>
        <v>Arrests, total N=84</v>
      </c>
      <c r="L13">
        <f>I14/(SUM(B14:G14))</f>
        <v>7.5801033591731262</v>
      </c>
    </row>
    <row r="14" spans="1:12">
      <c r="A14" s="128" t="str">
        <f>CONCATENATE("Population, total N=", 'Data Entry'!B6)</f>
        <v>Population, total N=6641</v>
      </c>
      <c r="B14" s="150">
        <f>'Data Entry'!D6/'Data Entry'!B6</f>
        <v>2.1081162475530792E-2</v>
      </c>
      <c r="C14" s="150">
        <f>'Data Entry'!E6/'Data Entry'!B6</f>
        <v>8.3571751242282791E-2</v>
      </c>
      <c r="D14" s="150">
        <f>'Data Entry'!F6/'Data Entry'!B6</f>
        <v>7.3784068664357778E-3</v>
      </c>
      <c r="E14" s="150">
        <f>'Data Entry'!G6/'Data Entry'!B6</f>
        <v>0</v>
      </c>
      <c r="F14" s="150">
        <f>'Data Entry'!H6/'Data Entry'!B6</f>
        <v>4.5173919590423125E-3</v>
      </c>
      <c r="G14" s="150">
        <f>'Data Entry'!I6/'Data Entry'!B6</f>
        <v>0</v>
      </c>
      <c r="H14" s="150">
        <f>SUM(D14:G14)/'Data Entry'!B6</f>
        <v>1.7912661986866573E-6</v>
      </c>
      <c r="I14" s="150">
        <f>'Data Entry'!C6/'Data Entry'!B6</f>
        <v>0.88345128745670831</v>
      </c>
      <c r="K14" s="96" t="str">
        <f t="shared" si="0"/>
        <v>Population, total N=6641</v>
      </c>
      <c r="L14">
        <f>I14/(SUM(B14:G14))</f>
        <v>7.5801033591731262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Ionia</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5867</v>
      </c>
      <c r="D7" s="104">
        <f>'Data Entry'!D6</f>
        <v>140</v>
      </c>
      <c r="E7" s="105"/>
      <c r="F7" s="106">
        <f>'Data Entry'!E6</f>
        <v>555</v>
      </c>
      <c r="G7" s="105"/>
      <c r="H7" s="106">
        <f>'Data Entry'!F6</f>
        <v>49</v>
      </c>
      <c r="I7" s="105"/>
      <c r="J7" s="106">
        <f>'Data Entry'!J6</f>
        <v>774</v>
      </c>
      <c r="K7" s="107"/>
    </row>
    <row r="8" spans="2:30" s="1" customFormat="1" ht="15" customHeight="1">
      <c r="B8" s="121" t="s">
        <v>8</v>
      </c>
      <c r="C8" s="103">
        <f>'Data Entry'!C7</f>
        <v>73</v>
      </c>
      <c r="D8" s="104">
        <f>'Data Entry'!D7</f>
        <v>7</v>
      </c>
      <c r="E8" s="105">
        <f>'Black or African-American'!$G7</f>
        <v>4.0184931506849306</v>
      </c>
      <c r="F8" s="106">
        <f>'Data Entry'!E7</f>
        <v>0</v>
      </c>
      <c r="G8" s="105" t="str">
        <f>Hispanic!G7</f>
        <v>**</v>
      </c>
      <c r="H8" s="106">
        <f>'Data Entry'!F7</f>
        <v>0</v>
      </c>
      <c r="I8" s="105" t="str">
        <f>Asian!G7</f>
        <v>*</v>
      </c>
      <c r="J8" s="106">
        <f>'Data Entry'!J7</f>
        <v>7</v>
      </c>
      <c r="K8" s="107">
        <f>'All Minorities'!G7</f>
        <v>0.72685922622208055</v>
      </c>
      <c r="L8"/>
      <c r="N8" s="1">
        <f>'Black or African-American'!L7</f>
        <v>1</v>
      </c>
      <c r="O8" s="1">
        <f>Hispanic!L7</f>
        <v>20</v>
      </c>
      <c r="P8" s="1">
        <f>Asian!L7</f>
        <v>139</v>
      </c>
      <c r="Q8" s="1" t="e">
        <f>Hawaiian!L7</f>
        <v>#VALUE!</v>
      </c>
      <c r="R8" s="1">
        <f>'Am Indian'!L7</f>
        <v>139</v>
      </c>
      <c r="S8" s="1" t="e">
        <f>'Other - Mixed'!L7</f>
        <v>#VALUE!</v>
      </c>
      <c r="T8" s="1">
        <f>'All Minorities'!L7</f>
        <v>2</v>
      </c>
    </row>
    <row r="9" spans="2:30" s="1" customFormat="1" ht="15" customHeight="1">
      <c r="B9" s="121" t="s">
        <v>134</v>
      </c>
      <c r="C9" s="103">
        <f>'Data Entry'!C8</f>
        <v>68</v>
      </c>
      <c r="D9" s="108">
        <f>'Data Entry'!D8</f>
        <v>2</v>
      </c>
      <c r="E9" s="109" t="str">
        <f>'Black or African-American'!$G8</f>
        <v>**</v>
      </c>
      <c r="F9" s="110">
        <f>'Data Entry'!E8</f>
        <v>2</v>
      </c>
      <c r="G9" s="109" t="str">
        <f>Hispanic!G8</f>
        <v>**</v>
      </c>
      <c r="H9" s="110">
        <f>'Data Entry'!F8</f>
        <v>0</v>
      </c>
      <c r="I9" s="109" t="str">
        <f>Asian!G8</f>
        <v>*</v>
      </c>
      <c r="J9" s="110">
        <f>'Data Entry'!J8</f>
        <v>33</v>
      </c>
      <c r="K9" s="111" t="str">
        <f>'All Minorities'!G8</f>
        <v>**</v>
      </c>
      <c r="L9"/>
      <c r="N9" s="1">
        <f>'Black or African-American'!L8</f>
        <v>20</v>
      </c>
      <c r="O9" s="1">
        <f>Hispanic!L8</f>
        <v>20</v>
      </c>
      <c r="P9" s="1">
        <f>Asian!L8</f>
        <v>139</v>
      </c>
      <c r="Q9" s="1">
        <f>Hawaiian!L8</f>
        <v>139</v>
      </c>
      <c r="R9" s="1">
        <f>'Am Indian'!L8</f>
        <v>139</v>
      </c>
      <c r="S9" s="1">
        <f>'Other - Mixed'!L8</f>
        <v>119</v>
      </c>
      <c r="T9" s="1">
        <f>'All Minorities'!L8</f>
        <v>20</v>
      </c>
    </row>
    <row r="10" spans="2:30" s="1" customFormat="1" ht="15" customHeight="1">
      <c r="B10" s="121" t="s">
        <v>10</v>
      </c>
      <c r="C10" s="103">
        <f>'Data Entry'!C9</f>
        <v>7</v>
      </c>
      <c r="D10" s="112">
        <f>'Data Entry'!D9</f>
        <v>0</v>
      </c>
      <c r="E10" s="113" t="str">
        <f>'Black or African-American'!$G9</f>
        <v>**</v>
      </c>
      <c r="F10" s="114">
        <f>'Data Entry'!E9</f>
        <v>0</v>
      </c>
      <c r="G10" s="113" t="str">
        <f>Hispanic!G9</f>
        <v>**</v>
      </c>
      <c r="H10" s="114">
        <f>'Data Entry'!F9</f>
        <v>0</v>
      </c>
      <c r="I10" s="113" t="str">
        <f>Asian!G9</f>
        <v>*</v>
      </c>
      <c r="J10" s="114">
        <f>'Data Entry'!J9</f>
        <v>1</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19</v>
      </c>
      <c r="D12" s="112">
        <f>'Data Entry'!D11</f>
        <v>0</v>
      </c>
      <c r="E12" s="113" t="str">
        <f>'Black or African-American'!$G11</f>
        <v>**</v>
      </c>
      <c r="F12" s="114">
        <f>'Data Entry'!E11</f>
        <v>1</v>
      </c>
      <c r="G12" s="113" t="str">
        <f>Hispanic!G11</f>
        <v>**</v>
      </c>
      <c r="H12" s="114">
        <f>'Data Entry'!F11</f>
        <v>0</v>
      </c>
      <c r="I12" s="113" t="str">
        <f>Asian!G11</f>
        <v>*</v>
      </c>
      <c r="J12" s="114">
        <f>'Data Entry'!J11</f>
        <v>6</v>
      </c>
      <c r="K12" s="115">
        <f>'All Minorities'!G11</f>
        <v>0.65071770334928225</v>
      </c>
      <c r="L12"/>
      <c r="N12" s="1">
        <f>'Black or African-American'!L11</f>
        <v>40</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18</v>
      </c>
      <c r="D13" s="108">
        <f>'Data Entry'!D12</f>
        <v>0</v>
      </c>
      <c r="E13" s="109" t="str">
        <f>'Black or African-American'!$G12</f>
        <v>--</v>
      </c>
      <c r="F13" s="110">
        <f>'Data Entry'!E12</f>
        <v>1</v>
      </c>
      <c r="G13" s="109" t="str">
        <f>Hispanic!G12</f>
        <v>**</v>
      </c>
      <c r="H13" s="110">
        <f>'Data Entry'!F12</f>
        <v>0</v>
      </c>
      <c r="I13" s="109" t="str">
        <f>Asian!G12</f>
        <v>*</v>
      </c>
      <c r="J13" s="110">
        <f>'Data Entry'!J12</f>
        <v>4</v>
      </c>
      <c r="K13" s="111" t="str">
        <f>'All Minorities'!G12</f>
        <v>**</v>
      </c>
      <c r="L13"/>
      <c r="N13" s="1" t="e">
        <f>'Black or African-American'!L12</f>
        <v>#VALUE!</v>
      </c>
      <c r="O13" s="1">
        <f>Hispanic!L12</f>
        <v>40</v>
      </c>
      <c r="P13" s="1" t="e">
        <f>Asian!L12</f>
        <v>#VALUE!</v>
      </c>
      <c r="Q13" s="1" t="e">
        <f>Hawaiian!L12</f>
        <v>#VALUE!</v>
      </c>
      <c r="R13" s="1" t="e">
        <f>'Am Indian'!L12</f>
        <v>#VALUE!</v>
      </c>
      <c r="S13" s="1">
        <f>'Other - Mixed'!L12</f>
        <v>119</v>
      </c>
      <c r="T13" s="1">
        <f>'All Minorities'!L12</f>
        <v>40</v>
      </c>
      <c r="W13" s="8"/>
      <c r="X13" s="8"/>
      <c r="Y13" s="8"/>
      <c r="Z13" s="8"/>
      <c r="AA13" s="8"/>
      <c r="AB13" s="8"/>
      <c r="AC13" s="8"/>
      <c r="AD13" s="8"/>
    </row>
    <row r="14" spans="2:30" s="1" customFormat="1" ht="15" customHeight="1">
      <c r="B14" s="121" t="s">
        <v>14</v>
      </c>
      <c r="C14" s="103">
        <f>'Data Entry'!C13</f>
        <v>16</v>
      </c>
      <c r="D14" s="112">
        <f>'Data Entry'!D13</f>
        <v>0</v>
      </c>
      <c r="E14" s="113" t="str">
        <f>'Black or African-American'!$G13</f>
        <v>--</v>
      </c>
      <c r="F14" s="114">
        <f>'Data Entry'!E13</f>
        <v>1</v>
      </c>
      <c r="G14" s="113" t="str">
        <f>Hispanic!G13</f>
        <v>**</v>
      </c>
      <c r="H14" s="114">
        <f>'Data Entry'!F13</f>
        <v>0</v>
      </c>
      <c r="I14" s="113" t="str">
        <f>Asian!G13</f>
        <v>*</v>
      </c>
      <c r="J14" s="114">
        <f>'Data Entry'!J13</f>
        <v>5</v>
      </c>
      <c r="K14" s="115" t="str">
        <f>'All Minorities'!G13</f>
        <v>**</v>
      </c>
      <c r="L14"/>
      <c r="N14" s="1" t="e">
        <f>'Black or African-American'!L13</f>
        <v>#VALUE!</v>
      </c>
      <c r="O14" s="1">
        <f>Hispanic!L13</f>
        <v>40</v>
      </c>
      <c r="P14" s="1" t="e">
        <f>Asian!L13</f>
        <v>#VALUE!</v>
      </c>
      <c r="Q14" s="1" t="e">
        <f>Hawaiian!L13</f>
        <v>#VALUE!</v>
      </c>
      <c r="R14" s="1" t="e">
        <f>'Am Indian'!L13</f>
        <v>#VALUE!</v>
      </c>
      <c r="S14" s="1">
        <f>'Other - Mixed'!L13</f>
        <v>119</v>
      </c>
      <c r="T14" s="1">
        <f>'All Minorities'!L13</f>
        <v>20</v>
      </c>
      <c r="W14" s="8"/>
      <c r="X14" s="8"/>
      <c r="Y14" s="8"/>
      <c r="Z14" s="8"/>
      <c r="AA14" s="8"/>
      <c r="AB14" s="8"/>
      <c r="AC14" s="8"/>
      <c r="AD14" s="8"/>
    </row>
    <row r="15" spans="2:30" s="1" customFormat="1" ht="33">
      <c r="B15" s="126"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t="e">
        <f>'Black or African-American'!L14</f>
        <v>#VALUE!</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Entry'!D6</f>
        <v>140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Entry'!D7</f>
        <v>7</v>
      </c>
      <c r="F7" s="34">
        <f>IF((AND($E$7&gt;0,$D$66&gt;0)),($E$7/$D$66),0)</f>
        <v>49.999999999999993</v>
      </c>
      <c r="G7" s="39">
        <f>IF(L$6=100,"*",IF(M7=FALSE,"--",IF(K7=20,"**",($F7/$D7))))</f>
        <v>4.0184931506849306</v>
      </c>
      <c r="H7" s="40"/>
      <c r="I7" s="41"/>
      <c r="J7" s="40">
        <f>IF((ABS($U7)&gt;Defaults!D$7),1,2)</f>
        <v>1</v>
      </c>
      <c r="K7" s="39">
        <f>IF((AND(N7&gt;Defaults!B$12,(N7+O7)&gt;Defaults!B$13, P7 &gt; Defaults!B$12, (P7+Q7) &gt; Defaults!B$13)),1,20)</f>
        <v>1</v>
      </c>
      <c r="L7" s="1">
        <f>(J7*K7+L$6)-1</f>
        <v>1</v>
      </c>
      <c r="M7" s="1" t="b">
        <f t="shared" ref="M7:M15" si="0">(ISNUMBER(J7))</f>
        <v>1</v>
      </c>
      <c r="N7" s="42">
        <f t="shared" ref="N7:N15" si="1">E7</f>
        <v>7</v>
      </c>
      <c r="O7" s="42">
        <f>E6-E7</f>
        <v>133</v>
      </c>
      <c r="P7" s="42">
        <f t="shared" ref="P7:P15" si="2">C7</f>
        <v>73</v>
      </c>
      <c r="Q7" s="42">
        <f>C6-C7</f>
        <v>5794</v>
      </c>
      <c r="R7" s="42">
        <f t="shared" ref="R7:R15" si="3">SUM(N7:Q7)</f>
        <v>6007</v>
      </c>
      <c r="S7" s="30">
        <f t="shared" ref="S7:S15" si="4">R7*((((N7*Q7)-(O7*P7))^2))</f>
        <v>5716626431607</v>
      </c>
      <c r="T7" s="30">
        <f t="shared" ref="T7:T15" si="5">(N7+O7)*(P7+Q7)*(N7+P7)*(O7+Q7)</f>
        <v>389465540800</v>
      </c>
      <c r="U7" s="31">
        <f t="shared" ref="U7:U15" si="6">IF((S7&gt;0),S7/T7,"- -")</f>
        <v>14.67813152317531</v>
      </c>
    </row>
    <row r="8" spans="2:21" ht="18" customHeight="1">
      <c r="B8" s="32" t="str">
        <f>'Data Entry'!A8</f>
        <v>3. Refer to Juvenile Court</v>
      </c>
      <c r="C8" s="33">
        <f>'Data Entry'!C8</f>
        <v>68</v>
      </c>
      <c r="D8" s="34">
        <f>IF((AND(C67&gt;0,C8&gt;0)),(C8/C67),0)</f>
        <v>93.150684931506845</v>
      </c>
      <c r="E8" s="33">
        <f>'Data Entry'!D8</f>
        <v>2</v>
      </c>
      <c r="F8" s="34">
        <f>IF((AND($E$8&gt;0,$D$67&gt;0)),($E8/$D67),0)</f>
        <v>28.571428571428569</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v>
      </c>
      <c r="O8" s="42">
        <f>((D67*L67)-E8)+0.05</f>
        <v>5.0500000000000007</v>
      </c>
      <c r="P8" s="42">
        <f t="shared" si="2"/>
        <v>68</v>
      </c>
      <c r="Q8" s="42">
        <f>(C$67*L67)-C8</f>
        <v>5</v>
      </c>
      <c r="R8" s="42">
        <f t="shared" si="3"/>
        <v>80.05</v>
      </c>
      <c r="S8" s="30">
        <f t="shared" si="4"/>
        <v>8898002.5780000016</v>
      </c>
      <c r="T8" s="30">
        <f t="shared" si="5"/>
        <v>362056.27500000008</v>
      </c>
      <c r="U8" s="31">
        <f t="shared" si="6"/>
        <v>24.576297090832082</v>
      </c>
    </row>
    <row r="9" spans="2:21" ht="18" customHeight="1">
      <c r="B9" s="32" t="str">
        <f>'Data Entry'!A9</f>
        <v xml:space="preserve">4. Cases Diverted </v>
      </c>
      <c r="C9" s="33">
        <f>'Data Entry'!C9</f>
        <v>7</v>
      </c>
      <c r="D9" s="34">
        <f>IF((AND(C68&gt;0,C9&gt;0)),((C9/C68)),0)</f>
        <v>10.294117647058822</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2</v>
      </c>
      <c r="P9" s="42">
        <f t="shared" si="2"/>
        <v>7</v>
      </c>
      <c r="Q9" s="42">
        <f>(C$68*L68)-C9</f>
        <v>61</v>
      </c>
      <c r="R9" s="42">
        <f t="shared" si="3"/>
        <v>70</v>
      </c>
      <c r="S9" s="30">
        <f t="shared" si="4"/>
        <v>13720</v>
      </c>
      <c r="T9" s="30">
        <f t="shared" si="5"/>
        <v>59976</v>
      </c>
      <c r="U9" s="31">
        <f t="shared" si="6"/>
        <v>0.22875816993464052</v>
      </c>
    </row>
    <row r="10" spans="2:21" ht="18" customHeight="1">
      <c r="B10" s="32" t="str">
        <f>'Data Entry'!A10</f>
        <v>5. Cases Involving Secure Detention</v>
      </c>
      <c r="C10" s="33">
        <f>'Data Entry'!C10</f>
        <v>1</v>
      </c>
      <c r="D10" s="34">
        <f>IF(((AND(C68&gt;0,C10&gt;0))),(C10/(C68)),0)</f>
        <v>1.4705882352941175</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v>
      </c>
      <c r="P10" s="42">
        <f t="shared" si="2"/>
        <v>1</v>
      </c>
      <c r="Q10" s="42">
        <f>(C$68*L68)-C10</f>
        <v>67</v>
      </c>
      <c r="R10" s="42">
        <f t="shared" si="3"/>
        <v>70</v>
      </c>
      <c r="S10" s="30">
        <f t="shared" si="4"/>
        <v>280</v>
      </c>
      <c r="T10" s="30">
        <f t="shared" si="5"/>
        <v>9384</v>
      </c>
      <c r="U10" s="31">
        <f t="shared" si="6"/>
        <v>2.9838022165387893E-2</v>
      </c>
    </row>
    <row r="11" spans="2:21" ht="18" customHeight="1">
      <c r="B11" s="32" t="str">
        <f>'Data Entry'!A11</f>
        <v>6. Cases Petitioned (Charge Filed)</v>
      </c>
      <c r="C11" s="33">
        <f>'Data Entry'!C11</f>
        <v>19</v>
      </c>
      <c r="D11" s="34">
        <f>IF(((AND(C68&gt;0,C11&gt;0))),(C11/(C68)),0)</f>
        <v>27.941176470588232</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2</v>
      </c>
      <c r="P11" s="42">
        <f t="shared" si="2"/>
        <v>19</v>
      </c>
      <c r="Q11" s="42">
        <f>(C$68*L68)-C11</f>
        <v>49</v>
      </c>
      <c r="R11" s="42">
        <f t="shared" si="3"/>
        <v>70</v>
      </c>
      <c r="S11" s="30">
        <f t="shared" si="4"/>
        <v>101080</v>
      </c>
      <c r="T11" s="30">
        <f t="shared" si="5"/>
        <v>131784</v>
      </c>
      <c r="U11" s="31">
        <f t="shared" si="6"/>
        <v>0.76701268742791229</v>
      </c>
    </row>
    <row r="12" spans="2:21" ht="18" customHeight="1">
      <c r="B12" s="32" t="str">
        <f>'Data Entry'!A12</f>
        <v>7. Cases Resulting in Delinquent Findings</v>
      </c>
      <c r="C12" s="33">
        <f>'Data Entry'!C12</f>
        <v>18</v>
      </c>
      <c r="D12" s="34">
        <f>IF(((AND(C69&gt;0,C12&gt;0))),(C12/(C69)),0)</f>
        <v>94.73684210526315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18</v>
      </c>
      <c r="Q12" s="42">
        <f>(C69*L69)-C12</f>
        <v>1</v>
      </c>
      <c r="R12" s="42">
        <f t="shared" si="3"/>
        <v>19</v>
      </c>
      <c r="S12" s="30">
        <f t="shared" si="4"/>
        <v>0</v>
      </c>
      <c r="T12" s="30">
        <f t="shared" si="5"/>
        <v>0</v>
      </c>
      <c r="U12" s="31" t="str">
        <f t="shared" si="6"/>
        <v>- -</v>
      </c>
    </row>
    <row r="13" spans="2:21" ht="18" customHeight="1">
      <c r="B13" s="32" t="str">
        <f>'Data Entry'!A13</f>
        <v>8. Cases Resulting in Probation Placement</v>
      </c>
      <c r="C13" s="33">
        <f>'Data Entry'!C13</f>
        <v>16</v>
      </c>
      <c r="D13" s="34">
        <f>IF(((AND(C70&gt;0,C13&gt;0))),(C13/(C70)),0)</f>
        <v>88.888888888888886</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16</v>
      </c>
      <c r="Q13" s="42">
        <f>(C70*L70)-C13</f>
        <v>2</v>
      </c>
      <c r="R13" s="42">
        <f t="shared" si="3"/>
        <v>18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4</v>
      </c>
      <c r="Q14" s="42">
        <f>(C70*L70)-C14</f>
        <v>14</v>
      </c>
      <c r="R14" s="42">
        <f t="shared" si="3"/>
        <v>18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19</v>
      </c>
      <c r="R15" s="42">
        <f t="shared" si="3"/>
        <v>19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0.14000000000000001</v>
      </c>
      <c r="E42" s="56">
        <f>MAX(C42:D42)</f>
        <v>5.867</v>
      </c>
      <c r="G42" s="1" t="str">
        <f>B42</f>
        <v>per 1000 youth</v>
      </c>
      <c r="L42" s="57">
        <v>1000</v>
      </c>
      <c r="M42" s="57"/>
      <c r="R42" s="49"/>
    </row>
    <row r="43" spans="2:18" ht="15" hidden="1" customHeight="1">
      <c r="B43" s="49" t="s">
        <v>87</v>
      </c>
      <c r="C43" s="56">
        <f>C7/100</f>
        <v>0.73</v>
      </c>
      <c r="D43" s="56">
        <f>E7/100</f>
        <v>7.0000000000000007E-2</v>
      </c>
      <c r="E43" s="56">
        <f>MAX(C43:D43,0)</f>
        <v>0.73</v>
      </c>
      <c r="G43" s="1" t="str">
        <f>B43</f>
        <v>per 100 arrests</v>
      </c>
      <c r="L43" s="57">
        <v>100</v>
      </c>
      <c r="M43" s="57"/>
      <c r="R43" s="49"/>
    </row>
    <row r="44" spans="2:18" ht="15" hidden="1" customHeight="1">
      <c r="B44" s="49" t="s">
        <v>88</v>
      </c>
      <c r="C44" s="56">
        <f>C8/100</f>
        <v>0.68</v>
      </c>
      <c r="D44" s="56">
        <f>E8/100</f>
        <v>0.02</v>
      </c>
      <c r="E44" s="56">
        <f>MAX(C44:D44,0)</f>
        <v>0.68</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0.14000000000000001</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0.73</v>
      </c>
      <c r="D49" s="49">
        <f t="shared" si="9"/>
        <v>7.0000000000000007E-2</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0.02</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0.14000000000000001</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7.0000000000000007E-2</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0.02</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0.14000000000000001</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7.0000000000000007E-2</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0.02</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0.14000000000000001</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7.0000000000000007E-2</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0.02</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Entry'!F6</f>
        <v>49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49</v>
      </c>
      <c r="P7" s="42">
        <f t="shared" ref="P7:P15" si="4">C7</f>
        <v>73</v>
      </c>
      <c r="Q7" s="42">
        <f>C6-C7</f>
        <v>5794</v>
      </c>
      <c r="R7" s="42">
        <f t="shared" ref="R7:R15" si="5">SUM(N7:Q7)</f>
        <v>5916</v>
      </c>
      <c r="S7" s="30">
        <f t="shared" ref="S7:S15" si="6">R7*((((N7*Q7)-(O7*P7))^2))</f>
        <v>75694799964</v>
      </c>
      <c r="T7" s="30">
        <f t="shared" ref="T7:T15" si="7">(N7+O7)*(P7+Q7)*(N7+P7)*(O7+Q7)</f>
        <v>122622711337</v>
      </c>
      <c r="U7" s="31">
        <f t="shared" ref="U7:U15" si="8">IF((S7&gt;0),S7/T7,"- -")</f>
        <v>0.61729837106578445</v>
      </c>
    </row>
    <row r="8" spans="2:21" ht="18" customHeight="1">
      <c r="B8" s="32" t="str">
        <f>'Data Entry'!A8</f>
        <v>3. Refer to Juvenile Court</v>
      </c>
      <c r="C8" s="33">
        <f>'Data Entry'!C8</f>
        <v>68</v>
      </c>
      <c r="D8" s="34">
        <f>IF((AND(C67&gt;0,C8&gt;0)),(C8/C67),0)</f>
        <v>93.150684931506845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68</v>
      </c>
      <c r="Q8" s="42">
        <f>(C$67*L67)-C8</f>
        <v>5</v>
      </c>
      <c r="R8" s="42">
        <f t="shared" si="5"/>
        <v>73.05</v>
      </c>
      <c r="S8" s="30">
        <f t="shared" si="6"/>
        <v>844.45800000000008</v>
      </c>
      <c r="T8" s="30">
        <f t="shared" si="7"/>
        <v>1253.4100000000001</v>
      </c>
      <c r="U8" s="31">
        <f t="shared" si="8"/>
        <v>0.67372846873728476</v>
      </c>
    </row>
    <row r="9" spans="2:21" ht="18" customHeight="1">
      <c r="B9" s="32" t="str">
        <f>'Data Entry'!A9</f>
        <v xml:space="preserve">4. Cases Diverted </v>
      </c>
      <c r="C9" s="33">
        <f>'Data Entry'!C9</f>
        <v>7</v>
      </c>
      <c r="D9" s="34">
        <f>IF((AND(C68&gt;0,C9&gt;0)),((C9/C68)),0)</f>
        <v>10.294117647058822</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61</v>
      </c>
      <c r="R9" s="42">
        <f t="shared" si="5"/>
        <v>68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1.4705882352941175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67</v>
      </c>
      <c r="R10" s="42">
        <f t="shared" si="5"/>
        <v>68</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27.941176470588232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49</v>
      </c>
      <c r="R11" s="42">
        <f t="shared" si="5"/>
        <v>68</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94.73684210526315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88.888888888888886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2</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14</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4.9000000000000002E-2</v>
      </c>
      <c r="E42" s="56">
        <f>MAX(C42:D42)</f>
        <v>5.867</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0.68</v>
      </c>
      <c r="D44" s="56">
        <f>E8/100</f>
        <v>0</v>
      </c>
      <c r="E44" s="56">
        <f>MAX(C44:D44,0)</f>
        <v>0.68</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4.9000000000000002E-2</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4.9000000000000002E-2</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4.9000000000000002E-2</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4.9000000000000002E-2</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Entry'!E6</f>
        <v>555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555</v>
      </c>
      <c r="P7" s="42">
        <f t="shared" ref="P7:P15" si="4">C7</f>
        <v>73</v>
      </c>
      <c r="Q7" s="42">
        <f>C6-C7</f>
        <v>5794</v>
      </c>
      <c r="R7" s="42">
        <f t="shared" ref="R7:R15" si="5">SUM(N7:Q7)</f>
        <v>6422</v>
      </c>
      <c r="S7" s="30">
        <f t="shared" ref="S7:S15" si="6">R7*((((N7*Q7)-(O7*P7))^2))</f>
        <v>10541489674950</v>
      </c>
      <c r="T7" s="30">
        <f t="shared" ref="T7:T15" si="7">(N7+O7)*(P7+Q7)*(N7+P7)*(O7+Q7)</f>
        <v>1509166855245</v>
      </c>
      <c r="U7" s="31">
        <f t="shared" ref="U7:U15" si="8">IF((S7&gt;0),S7/T7,"- -")</f>
        <v>6.9849729592946046</v>
      </c>
    </row>
    <row r="8" spans="2:21" ht="18" customHeight="1">
      <c r="B8" s="32" t="str">
        <f>'Data Entry'!A8</f>
        <v>3. Refer to Juvenile Court</v>
      </c>
      <c r="C8" s="33">
        <f>'Data Entry'!C8</f>
        <v>68</v>
      </c>
      <c r="D8" s="34">
        <f>IF((AND(C67&gt;0,C8&gt;0)),(C8/C67),0)</f>
        <v>93.150684931506845</v>
      </c>
      <c r="E8" s="33">
        <f>'Data Entry'!E8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68</v>
      </c>
      <c r="Q8" s="42">
        <f>(C$67*L67)-C8</f>
        <v>5</v>
      </c>
      <c r="R8" s="42">
        <f t="shared" si="5"/>
        <v>73.05</v>
      </c>
      <c r="S8" s="30">
        <f t="shared" si="6"/>
        <v>1485454.2179999999</v>
      </c>
      <c r="T8" s="30">
        <f t="shared" si="7"/>
        <v>779.27500000000055</v>
      </c>
      <c r="U8" s="31">
        <f t="shared" si="8"/>
        <v>1906.2002733309791</v>
      </c>
    </row>
    <row r="9" spans="2:21" ht="18" customHeight="1">
      <c r="B9" s="32" t="str">
        <f>'Data Entry'!A9</f>
        <v xml:space="preserve">4. Cases Diverted </v>
      </c>
      <c r="C9" s="33">
        <f>'Data Entry'!C9</f>
        <v>7</v>
      </c>
      <c r="D9" s="34">
        <f>IF((AND(C68&gt;0,C9&gt;0)),((C9/C68)),0)</f>
        <v>10.294117647058822</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7</v>
      </c>
      <c r="Q9" s="42">
        <f>(C$68*L68)-C9</f>
        <v>61</v>
      </c>
      <c r="R9" s="42">
        <f t="shared" si="5"/>
        <v>70</v>
      </c>
      <c r="S9" s="30">
        <f t="shared" si="6"/>
        <v>13720</v>
      </c>
      <c r="T9" s="30">
        <f t="shared" si="7"/>
        <v>59976</v>
      </c>
      <c r="U9" s="31">
        <f t="shared" si="8"/>
        <v>0.22875816993464052</v>
      </c>
    </row>
    <row r="10" spans="2:21" ht="18" customHeight="1">
      <c r="B10" s="32" t="str">
        <f>'Data Entry'!A10</f>
        <v>5. Cases Involving Secure Detention</v>
      </c>
      <c r="C10" s="33">
        <f>'Data Entry'!C10</f>
        <v>1</v>
      </c>
      <c r="D10" s="34">
        <f>IF(((AND(C68&gt;0,C10&gt;0))),(C10/(C68)),0)</f>
        <v>1.4705882352941175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1</v>
      </c>
      <c r="Q10" s="42">
        <f>(C$68*L68)-C10</f>
        <v>67</v>
      </c>
      <c r="R10" s="42">
        <f t="shared" si="5"/>
        <v>70</v>
      </c>
      <c r="S10" s="30">
        <f t="shared" si="6"/>
        <v>280</v>
      </c>
      <c r="T10" s="30">
        <f t="shared" si="7"/>
        <v>9384</v>
      </c>
      <c r="U10" s="31">
        <f t="shared" si="8"/>
        <v>2.9838022165387893E-2</v>
      </c>
    </row>
    <row r="11" spans="2:21" ht="18" customHeight="1">
      <c r="B11" s="32" t="str">
        <f>'Data Entry'!A11</f>
        <v>6. Cases Petitioned (Charge Filed)</v>
      </c>
      <c r="C11" s="33">
        <f>'Data Entry'!C11</f>
        <v>19</v>
      </c>
      <c r="D11" s="34">
        <f>IF(((AND(C68&gt;0,C11&gt;0))),(C11/(C68)),0)</f>
        <v>27.941176470588232</v>
      </c>
      <c r="E11" s="33">
        <f>'Data Entry'!E11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19</v>
      </c>
      <c r="Q11" s="42">
        <f>(C$68*L68)-C11</f>
        <v>49</v>
      </c>
      <c r="R11" s="42">
        <f t="shared" si="5"/>
        <v>70</v>
      </c>
      <c r="S11" s="30">
        <f t="shared" si="6"/>
        <v>63000</v>
      </c>
      <c r="T11" s="30">
        <f t="shared" si="7"/>
        <v>136000</v>
      </c>
      <c r="U11" s="31">
        <f t="shared" si="8"/>
        <v>0.46323529411764708</v>
      </c>
    </row>
    <row r="12" spans="2:21" ht="18" customHeight="1">
      <c r="B12" s="32" t="str">
        <f>'Data Entry'!A12</f>
        <v>7. Cases Resulting in Delinquent Findings</v>
      </c>
      <c r="C12" s="33">
        <f>'Data Entry'!C12</f>
        <v>18</v>
      </c>
      <c r="D12" s="34">
        <f>IF(((AND(C69&gt;0,C12&gt;0))),(C12/(C69)),0)</f>
        <v>94.73684210526315</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18</v>
      </c>
      <c r="Q12" s="42">
        <f>(C69*L69)-C12</f>
        <v>1</v>
      </c>
      <c r="R12" s="42">
        <f t="shared" si="5"/>
        <v>20</v>
      </c>
      <c r="S12" s="30">
        <f t="shared" si="6"/>
        <v>20</v>
      </c>
      <c r="T12" s="30">
        <f t="shared" si="7"/>
        <v>361</v>
      </c>
      <c r="U12" s="31">
        <f t="shared" si="8"/>
        <v>5.5401662049861494E-2</v>
      </c>
    </row>
    <row r="13" spans="2:21" ht="18" customHeight="1">
      <c r="B13" s="32" t="str">
        <f>'Data Entry'!A13</f>
        <v>8. Cases Resulting in Probation Placement</v>
      </c>
      <c r="C13" s="33">
        <f>'Data Entry'!C13</f>
        <v>16</v>
      </c>
      <c r="D13" s="34">
        <f>IF(((AND(C70&gt;0,C13&gt;0))),(C13/(C70)),0)</f>
        <v>88.888888888888886</v>
      </c>
      <c r="E13" s="33">
        <f>'Data Entry'!E13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16</v>
      </c>
      <c r="Q13" s="42">
        <f>(C70*L70)-C13</f>
        <v>2</v>
      </c>
      <c r="R13" s="42">
        <f t="shared" si="5"/>
        <v>19</v>
      </c>
      <c r="S13" s="30">
        <f t="shared" si="6"/>
        <v>76</v>
      </c>
      <c r="T13" s="30">
        <f t="shared" si="7"/>
        <v>612</v>
      </c>
      <c r="U13" s="31">
        <f t="shared" si="8"/>
        <v>0.12418300653594772</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4</v>
      </c>
      <c r="Q14" s="42">
        <f>(C70*L70)-C14</f>
        <v>14</v>
      </c>
      <c r="R14" s="42">
        <f t="shared" si="5"/>
        <v>19</v>
      </c>
      <c r="S14" s="30">
        <f t="shared" si="6"/>
        <v>304</v>
      </c>
      <c r="T14" s="30">
        <f t="shared" si="7"/>
        <v>1080</v>
      </c>
      <c r="U14" s="31">
        <f t="shared" si="8"/>
        <v>0.2814814814814815</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19</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0.55500000000000005</v>
      </c>
      <c r="E42" s="56">
        <f>MAX(C42:D42)</f>
        <v>5.867</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0.68</v>
      </c>
      <c r="D44" s="56">
        <f>E8/100</f>
        <v>0.02</v>
      </c>
      <c r="E44" s="56">
        <f>MAX(C44:D44,0)</f>
        <v>0.68</v>
      </c>
      <c r="G44" s="1" t="str">
        <f>B44</f>
        <v>per 100 referrals</v>
      </c>
      <c r="L44" s="57">
        <v>100</v>
      </c>
      <c r="M44" s="57"/>
      <c r="R44" s="49"/>
    </row>
    <row r="45" spans="2:18" ht="15" hidden="1" customHeight="1">
      <c r="B45" s="49" t="s">
        <v>89</v>
      </c>
      <c r="C45" s="49">
        <f>C11/100</f>
        <v>0.19</v>
      </c>
      <c r="D45" s="49">
        <f>E11/100</f>
        <v>0.01</v>
      </c>
      <c r="E45" s="56">
        <f>MAX(C45:D45,0)</f>
        <v>0.19</v>
      </c>
      <c r="G45" s="1" t="str">
        <f>B45</f>
        <v>per 100 youth petitioned</v>
      </c>
      <c r="L45" s="57">
        <v>100</v>
      </c>
      <c r="M45" s="57"/>
      <c r="R45" s="49"/>
    </row>
    <row r="46" spans="2:18" ht="15" hidden="1" customHeight="1">
      <c r="B46" s="49" t="s">
        <v>90</v>
      </c>
      <c r="C46" s="49">
        <f>C12/100</f>
        <v>0.18</v>
      </c>
      <c r="D46" s="49">
        <f>E12/100</f>
        <v>0.01</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0.55500000000000005</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0.02</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0.01</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0.01</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0.55500000000000005</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0.02</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0.01</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0.01</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0.55500000000000005</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0.02</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0.01</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0.01</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0.55500000000000005</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0.02</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0.01</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0.01</v>
      </c>
      <c r="E70" s="56">
        <f>MAX(C70:D70)</f>
        <v>0.18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73</v>
      </c>
      <c r="Q7" s="42">
        <f>C6-C7</f>
        <v>5794</v>
      </c>
      <c r="R7" s="42">
        <f t="shared" ref="R7:R15" si="5">SUM(N7:Q7)</f>
        <v>5867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68</v>
      </c>
      <c r="D8" s="34">
        <f>IF((AND(C67&gt;0,C8&gt;0)),(C8/C67),0)</f>
        <v>93.150684931506845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68</v>
      </c>
      <c r="Q8" s="42">
        <f>(C$67*L67)-C8</f>
        <v>5</v>
      </c>
      <c r="R8" s="42">
        <f t="shared" si="5"/>
        <v>73.05</v>
      </c>
      <c r="S8" s="30">
        <f t="shared" si="6"/>
        <v>844.45800000000008</v>
      </c>
      <c r="T8" s="30">
        <f t="shared" si="7"/>
        <v>1253.4100000000001</v>
      </c>
      <c r="U8" s="31">
        <f t="shared" si="8"/>
        <v>0.67372846873728476</v>
      </c>
    </row>
    <row r="9" spans="2:21" ht="18" customHeight="1">
      <c r="B9" s="32" t="str">
        <f>'Data Entry'!A9</f>
        <v xml:space="preserve">4. Cases Diverted </v>
      </c>
      <c r="C9" s="33">
        <f>'Data Entry'!C9</f>
        <v>7</v>
      </c>
      <c r="D9" s="34">
        <f>IF((AND(C68&gt;0,C9&gt;0)),((C9/C68)),0)</f>
        <v>10.294117647058822</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61</v>
      </c>
      <c r="R9" s="42">
        <f t="shared" si="5"/>
        <v>68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1.4705882352941175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67</v>
      </c>
      <c r="R10" s="42">
        <f t="shared" si="5"/>
        <v>68</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27.941176470588232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49</v>
      </c>
      <c r="R11" s="42">
        <f t="shared" si="5"/>
        <v>68</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94.73684210526315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88.888888888888886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2</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14</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0</v>
      </c>
      <c r="E42" s="56">
        <f>MAX(C42:D42)</f>
        <v>5.867</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0.68</v>
      </c>
      <c r="D44" s="56">
        <f>E8/100</f>
        <v>0</v>
      </c>
      <c r="E44" s="56">
        <f>MAX(C44:D44,0)</f>
        <v>0.68</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0</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0</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0</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0</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5867</v>
      </c>
      <c r="D6" s="34"/>
      <c r="E6" s="33">
        <f>'Data Entry'!H6</f>
        <v>30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12.44247485938299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73</v>
      </c>
      <c r="Q7" s="42">
        <f>C6-C7</f>
        <v>5794</v>
      </c>
      <c r="R7" s="42">
        <f t="shared" ref="R7:R15" si="5">SUM(N7:Q7)</f>
        <v>5897</v>
      </c>
      <c r="S7" s="30">
        <f t="shared" ref="S7:S15" si="6">R7*((((N7*Q7)-(O7*P7))^2))</f>
        <v>28282601700</v>
      </c>
      <c r="T7" s="30">
        <f t="shared" ref="T7:T15" si="7">(N7+O7)*(P7+Q7)*(N7+P7)*(O7+Q7)</f>
        <v>74831003520</v>
      </c>
      <c r="U7" s="31">
        <f t="shared" ref="U7:U15" si="8">IF((S7&gt;0),S7/T7,"- -")</f>
        <v>0.37795299233747331</v>
      </c>
    </row>
    <row r="8" spans="2:21" ht="18" customHeight="1">
      <c r="B8" s="32" t="str">
        <f>'Data Entry'!A8</f>
        <v>3. Refer to Juvenile Court</v>
      </c>
      <c r="C8" s="33">
        <f>'Data Entry'!C8</f>
        <v>68</v>
      </c>
      <c r="D8" s="34">
        <f>IF((AND(C67&gt;0,C8&gt;0)),(C8/C67),0)</f>
        <v>93.150684931506845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68</v>
      </c>
      <c r="Q8" s="42">
        <f>(C$67*L67)-C8</f>
        <v>5</v>
      </c>
      <c r="R8" s="42">
        <f t="shared" si="5"/>
        <v>73.05</v>
      </c>
      <c r="S8" s="30">
        <f t="shared" si="6"/>
        <v>844.45800000000008</v>
      </c>
      <c r="T8" s="30">
        <f t="shared" si="7"/>
        <v>1253.4100000000001</v>
      </c>
      <c r="U8" s="31">
        <f t="shared" si="8"/>
        <v>0.67372846873728476</v>
      </c>
    </row>
    <row r="9" spans="2:21" ht="18" customHeight="1">
      <c r="B9" s="32" t="str">
        <f>'Data Entry'!A9</f>
        <v xml:space="preserve">4. Cases Diverted </v>
      </c>
      <c r="C9" s="33">
        <f>'Data Entry'!C9</f>
        <v>7</v>
      </c>
      <c r="D9" s="34">
        <f>IF((AND(C68&gt;0,C9&gt;0)),((C9/C68)),0)</f>
        <v>10.294117647058822</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61</v>
      </c>
      <c r="R9" s="42">
        <f t="shared" si="5"/>
        <v>68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1.4705882352941175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67</v>
      </c>
      <c r="R10" s="42">
        <f t="shared" si="5"/>
        <v>68</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27.941176470588232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49</v>
      </c>
      <c r="R11" s="42">
        <f t="shared" si="5"/>
        <v>68</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94.73684210526315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88.888888888888886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2</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22.222222222222221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14</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5.867</v>
      </c>
      <c r="D42" s="56">
        <f>E6/1000</f>
        <v>0.03</v>
      </c>
      <c r="E42" s="56">
        <f>MAX(C42:D42)</f>
        <v>5.867</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0.68</v>
      </c>
      <c r="D44" s="56">
        <f>E8/100</f>
        <v>0</v>
      </c>
      <c r="E44" s="56">
        <f>MAX(C44:D44,0)</f>
        <v>0.68</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5.867</v>
      </c>
      <c r="D48" s="56">
        <f>D42</f>
        <v>0.03</v>
      </c>
      <c r="E48" s="56">
        <f>MAX(C48:D48)</f>
        <v>5.867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0.68</v>
      </c>
      <c r="D50" s="49">
        <f t="shared" si="9"/>
        <v>0</v>
      </c>
      <c r="E50" s="49">
        <f>MAX(C50:D50)</f>
        <v>0.68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5.867</v>
      </c>
      <c r="D54" s="56">
        <f>D48</f>
        <v>0.03</v>
      </c>
      <c r="E54" s="56">
        <f>MAX(C54:D54)</f>
        <v>5.867</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0.68</v>
      </c>
      <c r="D56" s="49">
        <f t="shared" si="10"/>
        <v>0</v>
      </c>
      <c r="E56" s="49">
        <f>MAX(C56:D56)</f>
        <v>0.68</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5.867</v>
      </c>
      <c r="D60" s="56">
        <f>D54</f>
        <v>0.03</v>
      </c>
      <c r="E60" s="56">
        <f>MAX(C60:D60)</f>
        <v>5.867</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0.68</v>
      </c>
      <c r="D62" s="49">
        <f t="shared" si="11"/>
        <v>0</v>
      </c>
      <c r="E62" s="49">
        <f>MAX(C62:D62)</f>
        <v>0.68</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5.867</v>
      </c>
      <c r="D66" s="56">
        <f>D60</f>
        <v>0.03</v>
      </c>
      <c r="E66" s="56">
        <f>MAX(C66:D66)</f>
        <v>5.867</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0.68</v>
      </c>
      <c r="D68" s="49">
        <f t="shared" si="12"/>
        <v>0</v>
      </c>
      <c r="E68" s="49">
        <f>MAX(C68:D68)</f>
        <v>0.68</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U47JMPN4QEAR-1806752177-35352</_dlc_DocId>
    <_dlc_DocIdUrl xmlns="ac3811b5-0f3e-49e2-ba69-f2ffa0c782af">
      <Url>https://michiganphi.sharepoint.com/sites/CMDMC/_layouts/15/DocIdRedir.aspx?ID=U47JMPN4QEAR-1806752177-35352</Url>
      <Description>U47JMPN4QEAR-1806752177-35352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4FA2E35-DA55-4377-8D30-BE5CAE4A05F1}"/>
</file>

<file path=customXml/itemProps2.xml><?xml version="1.0" encoding="utf-8"?>
<ds:datastoreItem xmlns:ds="http://schemas.openxmlformats.org/officeDocument/2006/customXml" ds:itemID="{0B58AEB5-444E-4FC5-B7B2-74B037F74DB4}">
  <ds:schemaRefs>
    <ds:schemaRef ds:uri="http://schemas.microsoft.com/sharepoint/v3/contenttype/forms"/>
  </ds:schemaRefs>
</ds:datastoreItem>
</file>

<file path=customXml/itemProps3.xml><?xml version="1.0" encoding="utf-8"?>
<ds:datastoreItem xmlns:ds="http://schemas.openxmlformats.org/officeDocument/2006/customXml" ds:itemID="{DCB147CB-5DB0-4714-8104-6BFE46815235}">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DAEBFE11-6F40-4655-9719-5F02DCC06E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e34af987-6d77-4e67-aa43-4c837a13bde3</vt:lpwstr>
  </property>
</Properties>
</file>