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D75D8637-B111-415E-A30C-77FA14CE869F}"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51" i="3" s="1"/>
  <c r="G57" i="3" s="1"/>
  <c r="G63" i="3" s="1"/>
  <c r="G69" i="3" s="1"/>
  <c r="G46" i="3"/>
  <c r="G48" i="3"/>
  <c r="G54" i="3"/>
  <c r="G60" i="3" s="1"/>
  <c r="G66" i="3" s="1"/>
  <c r="L48" i="3"/>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s="1"/>
  <c r="G56" i="5" s="1"/>
  <c r="G62" i="5" s="1"/>
  <c r="G68" i="5" s="1"/>
  <c r="G45" i="5"/>
  <c r="G46" i="5"/>
  <c r="G48" i="5"/>
  <c r="G54" i="5" s="1"/>
  <c r="G60" i="5" s="1"/>
  <c r="G66" i="5" s="1"/>
  <c r="L48" i="5"/>
  <c r="G51" i="5"/>
  <c r="G57" i="5" s="1"/>
  <c r="G63" i="5" s="1"/>
  <c r="G69" i="5" s="1"/>
  <c r="G52" i="5"/>
  <c r="G58" i="5" s="1"/>
  <c r="G64" i="5" s="1"/>
  <c r="G70"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5" l="1"/>
  <c r="M66" i="5"/>
  <c r="F27" i="3"/>
  <c r="M66" i="3"/>
  <c r="F27" i="6"/>
  <c r="M66" i="6"/>
  <c r="F27" i="2"/>
  <c r="M66" i="2"/>
  <c r="M66" i="8"/>
  <c r="F27" i="8"/>
  <c r="M66" i="7"/>
  <c r="F27" i="7"/>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8" l="1"/>
  <c r="L58" i="8"/>
  <c r="B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B56" i="8"/>
  <c r="C64" i="5"/>
  <c r="L56" i="8"/>
  <c r="D64" i="5"/>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C64" i="8"/>
  <c r="B64" i="8"/>
  <c r="E64" i="5"/>
  <c r="Q8" i="13"/>
  <c r="I7" i="9"/>
  <c r="E57" i="8"/>
  <c r="B63" i="8" s="1"/>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D70" i="5" l="1"/>
  <c r="F14" i="5" s="1"/>
  <c r="E64" i="8"/>
  <c r="B70" i="5"/>
  <c r="F33" i="5" s="1"/>
  <c r="C70" i="5"/>
  <c r="D14" i="5" s="1"/>
  <c r="L70" i="5"/>
  <c r="O13" i="5" s="1"/>
  <c r="D70" i="6"/>
  <c r="F13" i="6" s="1"/>
  <c r="D63" i="8"/>
  <c r="L69" i="7"/>
  <c r="E63" i="3"/>
  <c r="C69" i="3" s="1"/>
  <c r="D15" i="3" s="1"/>
  <c r="C69" i="7"/>
  <c r="D12" i="7" s="1"/>
  <c r="C63" i="8"/>
  <c r="C70" i="8" s="1"/>
  <c r="L63" i="8"/>
  <c r="L70" i="8"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M70" i="5"/>
  <c r="E70"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3" i="5" l="1"/>
  <c r="Q14" i="5"/>
  <c r="D13" i="5"/>
  <c r="F13" i="5"/>
  <c r="O14" i="5"/>
  <c r="K14" i="5" s="1"/>
  <c r="E70" i="6"/>
  <c r="F14" i="6"/>
  <c r="D12" i="3"/>
  <c r="E63" i="8"/>
  <c r="D69" i="8" s="1"/>
  <c r="F15" i="8" s="1"/>
  <c r="L69" i="3"/>
  <c r="Q12" i="3" s="1"/>
  <c r="B69" i="3"/>
  <c r="M69" i="3" s="1"/>
  <c r="D69" i="3"/>
  <c r="E69" i="3" s="1"/>
  <c r="B69" i="6"/>
  <c r="M69" i="6" s="1"/>
  <c r="O14" i="6"/>
  <c r="Q12" i="7"/>
  <c r="Q13" i="8"/>
  <c r="O13" i="6"/>
  <c r="D15" i="7"/>
  <c r="Q15" i="7"/>
  <c r="E70" i="3"/>
  <c r="D13" i="6"/>
  <c r="D13" i="3"/>
  <c r="F14" i="3"/>
  <c r="O13" i="3"/>
  <c r="E69" i="7"/>
  <c r="C69" i="6"/>
  <c r="D12" i="6" s="1"/>
  <c r="Q14" i="3"/>
  <c r="F12" i="7"/>
  <c r="O12" i="7"/>
  <c r="D14" i="6"/>
  <c r="O15" i="7"/>
  <c r="Q13" i="3"/>
  <c r="Q13" i="6"/>
  <c r="Q14" i="6"/>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F15" i="3"/>
  <c r="R13" i="4"/>
  <c r="S13" i="4" s="1"/>
  <c r="K9" i="4"/>
  <c r="R9" i="4"/>
  <c r="S9" i="4"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R9" i="3"/>
  <c r="S9" i="3" s="1"/>
  <c r="Q14" i="8"/>
  <c r="T9" i="3"/>
  <c r="F34" i="8"/>
  <c r="F33" i="8"/>
  <c r="C70" i="2"/>
  <c r="D14" i="2" s="1"/>
  <c r="T14" i="5"/>
  <c r="D13" i="8"/>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5" l="1"/>
  <c r="S14" i="5" s="1"/>
  <c r="U14" i="5" s="1"/>
  <c r="J14" i="5" s="1"/>
  <c r="M14" i="5" s="1"/>
  <c r="K13" i="3"/>
  <c r="F35" i="6"/>
  <c r="F12" i="3"/>
  <c r="K14" i="6"/>
  <c r="T13" i="6"/>
  <c r="O15" i="3"/>
  <c r="R14" i="3"/>
  <c r="S14" i="3" s="1"/>
  <c r="U14" i="3" s="1"/>
  <c r="J14" i="3" s="1"/>
  <c r="M14" i="3" s="1"/>
  <c r="G14" i="3" s="1"/>
  <c r="I15" i="16" s="1"/>
  <c r="F12" i="8"/>
  <c r="B69" i="8"/>
  <c r="M69" i="8" s="1"/>
  <c r="C69" i="8"/>
  <c r="D12" i="8" s="1"/>
  <c r="Q15" i="3"/>
  <c r="K15" i="3" s="1"/>
  <c r="O12" i="3"/>
  <c r="R12" i="3" s="1"/>
  <c r="S12" i="3" s="1"/>
  <c r="U12" i="3" s="1"/>
  <c r="J12" i="3" s="1"/>
  <c r="T15" i="7"/>
  <c r="F32" i="3"/>
  <c r="L69" i="8"/>
  <c r="O15" i="8" s="1"/>
  <c r="F35" i="3"/>
  <c r="T12" i="7"/>
  <c r="U14" i="4"/>
  <c r="J14" i="4" s="1"/>
  <c r="M14" i="4" s="1"/>
  <c r="G14" i="4" s="1"/>
  <c r="G15" i="16" s="1"/>
  <c r="F32" i="6"/>
  <c r="R14" i="6"/>
  <c r="S14" i="6" s="1"/>
  <c r="K12" i="7"/>
  <c r="R13" i="8"/>
  <c r="S13" i="8" s="1"/>
  <c r="D15" i="6"/>
  <c r="U13" i="4"/>
  <c r="J13" i="4" s="1"/>
  <c r="M13" i="4" s="1"/>
  <c r="G13" i="4" s="1"/>
  <c r="G14" i="16" s="1"/>
  <c r="T14" i="6"/>
  <c r="K13" i="6"/>
  <c r="O12" i="6"/>
  <c r="R13" i="6"/>
  <c r="S13" i="6" s="1"/>
  <c r="U13" i="6" s="1"/>
  <c r="J13" i="6" s="1"/>
  <c r="M13" i="6" s="1"/>
  <c r="G13" i="6" s="1"/>
  <c r="G13" i="9" s="1"/>
  <c r="R12" i="7"/>
  <c r="S12" i="7" s="1"/>
  <c r="U10" i="4"/>
  <c r="J10" i="4" s="1"/>
  <c r="M10" i="4" s="1"/>
  <c r="G10" i="4" s="1"/>
  <c r="G11" i="16" s="1"/>
  <c r="U9" i="4"/>
  <c r="J9" i="4" s="1"/>
  <c r="M9" i="4" s="1"/>
  <c r="G9" i="4" s="1"/>
  <c r="G10" i="16" s="1"/>
  <c r="R15" i="7"/>
  <c r="S15" i="7" s="1"/>
  <c r="U15" i="7" s="1"/>
  <c r="J15" i="7" s="1"/>
  <c r="M15" i="7" s="1"/>
  <c r="T13" i="8"/>
  <c r="R14" i="8"/>
  <c r="S14" i="8" s="1"/>
  <c r="E69" i="6"/>
  <c r="T13" i="3"/>
  <c r="K14" i="3"/>
  <c r="T14" i="3"/>
  <c r="K15" i="7"/>
  <c r="R13" i="3"/>
  <c r="S13" i="3" s="1"/>
  <c r="U13" i="3" s="1"/>
  <c r="J13" i="3" s="1"/>
  <c r="M13" i="3" s="1"/>
  <c r="G13" i="3" s="1"/>
  <c r="O15" i="6"/>
  <c r="Q12" i="6"/>
  <c r="Q15" i="6"/>
  <c r="F15" i="6"/>
  <c r="L11" i="4"/>
  <c r="O12" i="16" s="1"/>
  <c r="K8" i="7"/>
  <c r="O13" i="2"/>
  <c r="T8" i="7"/>
  <c r="U8" i="7" s="1"/>
  <c r="J8" i="7" s="1"/>
  <c r="M8" i="7" s="1"/>
  <c r="T13" i="7"/>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R13" i="7"/>
  <c r="S13" i="7" s="1"/>
  <c r="Q13" i="2"/>
  <c r="U9" i="3"/>
  <c r="J9" i="3" s="1"/>
  <c r="L9" i="3" s="1"/>
  <c r="N30" i="5"/>
  <c r="L14" i="5"/>
  <c r="Q15" i="16" s="1"/>
  <c r="L13" i="5"/>
  <c r="Q14" i="16" s="1"/>
  <c r="K13" i="7"/>
  <c r="T8" i="2"/>
  <c r="U8" i="2" s="1"/>
  <c r="J8" i="2" s="1"/>
  <c r="M11" i="4"/>
  <c r="G11" i="4" s="1"/>
  <c r="T14" i="7"/>
  <c r="U14" i="7" s="1"/>
  <c r="J14" i="7" s="1"/>
  <c r="K14" i="7"/>
  <c r="E10" i="9"/>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3" l="1"/>
  <c r="S15" i="3" s="1"/>
  <c r="U15" i="3" s="1"/>
  <c r="J15" i="3" s="1"/>
  <c r="M15" i="3" s="1"/>
  <c r="G15" i="3" s="1"/>
  <c r="I16" i="16" s="1"/>
  <c r="F32" i="8"/>
  <c r="T12" i="3"/>
  <c r="K12" i="3"/>
  <c r="T15" i="3"/>
  <c r="D15" i="8"/>
  <c r="E69" i="8"/>
  <c r="F35" i="8"/>
  <c r="L14" i="4"/>
  <c r="O15" i="16" s="1"/>
  <c r="N30" i="4"/>
  <c r="Q15" i="8"/>
  <c r="R15" i="8" s="1"/>
  <c r="S15" i="8" s="1"/>
  <c r="U15" i="8" s="1"/>
  <c r="J15" i="8" s="1"/>
  <c r="Q12" i="8"/>
  <c r="O12" i="8"/>
  <c r="U12" i="7"/>
  <c r="J12" i="7" s="1"/>
  <c r="M12" i="7" s="1"/>
  <c r="N30" i="3"/>
  <c r="T12" i="6"/>
  <c r="D9" i="9"/>
  <c r="L9" i="4"/>
  <c r="O10" i="16" s="1"/>
  <c r="G10" i="13"/>
  <c r="M14" i="13"/>
  <c r="L13" i="4"/>
  <c r="O14" i="16" s="1"/>
  <c r="U14" i="6"/>
  <c r="J14" i="6" s="1"/>
  <c r="M14" i="6" s="1"/>
  <c r="G14" i="6" s="1"/>
  <c r="M15" i="13" s="1"/>
  <c r="U13" i="8"/>
  <c r="J13" i="8" s="1"/>
  <c r="M13" i="8" s="1"/>
  <c r="G13" i="8" s="1"/>
  <c r="K14" i="16" s="1"/>
  <c r="L10" i="4"/>
  <c r="O11" i="16" s="1"/>
  <c r="D10" i="9"/>
  <c r="I15" i="13"/>
  <c r="L14" i="3"/>
  <c r="P15" i="16" s="1"/>
  <c r="E14" i="9"/>
  <c r="U13" i="7"/>
  <c r="J13" i="7" s="1"/>
  <c r="M13" i="7" s="1"/>
  <c r="L13" i="6"/>
  <c r="R14" i="16" s="1"/>
  <c r="L13" i="3"/>
  <c r="P14" i="16" s="1"/>
  <c r="R12" i="6"/>
  <c r="S12" i="6" s="1"/>
  <c r="U12" i="6" s="1"/>
  <c r="J12" i="6" s="1"/>
  <c r="M12" i="6" s="1"/>
  <c r="G12" i="6" s="1"/>
  <c r="K12" i="6"/>
  <c r="K15" i="6"/>
  <c r="L15" i="7"/>
  <c r="S16" i="16" s="1"/>
  <c r="G11" i="13"/>
  <c r="U14" i="8"/>
  <c r="J14" i="8" s="1"/>
  <c r="N30" i="8" s="1"/>
  <c r="R15" i="6"/>
  <c r="S15" i="6" s="1"/>
  <c r="U15" i="6" s="1"/>
  <c r="J15" i="6" s="1"/>
  <c r="T15" i="6"/>
  <c r="U12" i="13"/>
  <c r="M11" i="9"/>
  <c r="T13" i="2"/>
  <c r="U8" i="6"/>
  <c r="J8" i="6" s="1"/>
  <c r="M8" i="6" s="1"/>
  <c r="G8" i="6" s="1"/>
  <c r="M9" i="13" s="1"/>
  <c r="R13" i="2"/>
  <c r="S13" i="2" s="1"/>
  <c r="V11" i="13"/>
  <c r="R10" i="7"/>
  <c r="S10" i="7" s="1"/>
  <c r="T11" i="7"/>
  <c r="T10" i="7"/>
  <c r="L8" i="2"/>
  <c r="N9" i="16" s="1"/>
  <c r="K13" i="2"/>
  <c r="R15" i="5"/>
  <c r="S15" i="5" s="1"/>
  <c r="U15" i="5" s="1"/>
  <c r="J15" i="5" s="1"/>
  <c r="M15" i="5" s="1"/>
  <c r="K11" i="7"/>
  <c r="T9" i="7"/>
  <c r="U9" i="7" s="1"/>
  <c r="J9" i="7" s="1"/>
  <c r="M9" i="7" s="1"/>
  <c r="N10" i="9"/>
  <c r="R11" i="7"/>
  <c r="S11" i="7" s="1"/>
  <c r="K12" i="5"/>
  <c r="L12" i="5" s="1"/>
  <c r="Q13" i="16" s="1"/>
  <c r="T12" i="5"/>
  <c r="K10" i="7"/>
  <c r="R14" i="2"/>
  <c r="S14" i="2" s="1"/>
  <c r="D13" i="9"/>
  <c r="G14" i="13"/>
  <c r="K9" i="7"/>
  <c r="T14" i="2"/>
  <c r="V12" i="13"/>
  <c r="N11" i="9"/>
  <c r="T15" i="5"/>
  <c r="W14" i="13"/>
  <c r="N13" i="9"/>
  <c r="L15" i="3"/>
  <c r="P16" i="16" s="1"/>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I16" i="13" l="1"/>
  <c r="E15" i="9"/>
  <c r="U15" i="13"/>
  <c r="L12" i="7"/>
  <c r="S13" i="16" s="1"/>
  <c r="K12" i="8"/>
  <c r="M13" i="9"/>
  <c r="R12" i="8"/>
  <c r="S12" i="8" s="1"/>
  <c r="L15" i="6"/>
  <c r="R16" i="16" s="1"/>
  <c r="Q15" i="9"/>
  <c r="T12" i="8"/>
  <c r="U11" i="13"/>
  <c r="K15" i="8"/>
  <c r="V14" i="13"/>
  <c r="P13" i="9"/>
  <c r="T15" i="8"/>
  <c r="M9" i="9"/>
  <c r="Q12" i="9"/>
  <c r="U10" i="13"/>
  <c r="N30" i="6"/>
  <c r="U14" i="13"/>
  <c r="G14" i="9"/>
  <c r="L13" i="7"/>
  <c r="S14" i="16" s="1"/>
  <c r="L14" i="6"/>
  <c r="R15" i="16" s="1"/>
  <c r="L13" i="8"/>
  <c r="T14" i="16" s="1"/>
  <c r="M10" i="9"/>
  <c r="X14" i="13"/>
  <c r="V15" i="13"/>
  <c r="U13" i="2"/>
  <c r="J13" i="2" s="1"/>
  <c r="M13" i="2" s="1"/>
  <c r="G13" i="2" s="1"/>
  <c r="E14" i="16" s="1"/>
  <c r="Q14" i="13"/>
  <c r="U10" i="7"/>
  <c r="J10" i="7" s="1"/>
  <c r="M10" i="7" s="1"/>
  <c r="I13" i="9"/>
  <c r="U14" i="2"/>
  <c r="J14" i="2" s="1"/>
  <c r="M14" i="2" s="1"/>
  <c r="G14" i="2" s="1"/>
  <c r="E15" i="16" s="1"/>
  <c r="N14" i="9"/>
  <c r="L12" i="6"/>
  <c r="R13" i="16" s="1"/>
  <c r="U11" i="7"/>
  <c r="J11" i="7" s="1"/>
  <c r="L11" i="7" s="1"/>
  <c r="S12" i="16" s="1"/>
  <c r="Y16" i="13"/>
  <c r="M14" i="8"/>
  <c r="G14" i="8" s="1"/>
  <c r="K15" i="16" s="1"/>
  <c r="L14" i="8"/>
  <c r="T15" i="16" s="1"/>
  <c r="M15" i="6"/>
  <c r="G15" i="6" s="1"/>
  <c r="M16" i="13" s="1"/>
  <c r="L8" i="6"/>
  <c r="R9" i="16" s="1"/>
  <c r="L15" i="5"/>
  <c r="Q16" i="16" s="1"/>
  <c r="T9" i="13"/>
  <c r="L8" i="9"/>
  <c r="G8" i="9"/>
  <c r="Q14" i="9"/>
  <c r="Y15" i="13"/>
  <c r="E9" i="13"/>
  <c r="L10" i="2"/>
  <c r="N11" i="16" s="1"/>
  <c r="L11" i="6"/>
  <c r="R12" i="16" s="1"/>
  <c r="V16" i="13"/>
  <c r="N15" i="9"/>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Y13" i="13" l="1"/>
  <c r="U12" i="8"/>
  <c r="J12" i="8" s="1"/>
  <c r="M12" i="8" s="1"/>
  <c r="G12" i="8" s="1"/>
  <c r="K13" i="16" s="1"/>
  <c r="P15" i="9"/>
  <c r="X16" i="13"/>
  <c r="X15" i="13"/>
  <c r="P14" i="9"/>
  <c r="Q13" i="9"/>
  <c r="Y14" i="13"/>
  <c r="L13" i="2"/>
  <c r="N14" i="16" s="1"/>
  <c r="Z14" i="13"/>
  <c r="C14" i="9"/>
  <c r="R13" i="9"/>
  <c r="G15" i="9"/>
  <c r="E14" i="13"/>
  <c r="L10" i="7"/>
  <c r="S11" i="16" s="1"/>
  <c r="E15" i="13"/>
  <c r="N30" i="2"/>
  <c r="L14" i="2"/>
  <c r="N15" i="16" s="1"/>
  <c r="Q15" i="13"/>
  <c r="C13" i="9"/>
  <c r="I14" i="9"/>
  <c r="R14" i="9"/>
  <c r="X13" i="13"/>
  <c r="P12" i="9"/>
  <c r="M11" i="7"/>
  <c r="Z15"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2" i="8" l="1"/>
  <c r="L13" i="9"/>
  <c r="T14" i="13"/>
  <c r="I12" i="9"/>
  <c r="Q13" i="13"/>
  <c r="Q10" i="9"/>
  <c r="Y11" i="13"/>
  <c r="L14" i="9"/>
  <c r="T15" i="13"/>
  <c r="R9" i="9"/>
  <c r="Z10" i="13"/>
  <c r="R10" i="9"/>
  <c r="Z11" i="13"/>
  <c r="I11" i="9"/>
  <c r="Q12" i="13"/>
  <c r="I10" i="9"/>
  <c r="Q11" i="13"/>
  <c r="R11" i="9"/>
  <c r="Z12" i="13"/>
  <c r="T13" i="16" l="1"/>
  <c r="R12" i="9"/>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<sst xmlns="http://schemas.openxmlformats.org/spreadsheetml/2006/main" count="654" uniqueCount="141">
  <si>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</si>
  <si>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</si>
  <si>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</si>
  <si>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</si>
  <si>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</si>
  <si>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</si>
  <si>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</si>
  <si>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</si>
  <si>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</si>
  <si>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</si>
  <si>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</si>
  <si>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</si>
  <si>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</si>
  <si>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</si>
  <si>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</si>
  <si>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</si>
  <si>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</si>
  <si>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</si>
  <si>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</si>
  <si>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</si>
  <si>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</si>
  <si>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</si>
  <si>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</si>
  <si>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</si>
  <si>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</si>
  <si>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</si>
  <si>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</si>
  <si>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</si>
  <si>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</si>
  <si>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</si>
  <si>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</si>
  <si>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</si>
  <si>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</si>
  <si>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</si>
  <si>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</si>
  <si>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</si>
  <si>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</si>
  <si>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</si>
  <si>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</si>
  <si>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</si>
  <si>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</si>
  <si>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</si>
  <si>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</si>
  <si>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</si>
  <si>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</si>
  <si>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</si>
  <si>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</si>
  <si>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</si>
  <si>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</si>
  <si>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</si>
  <si>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</si>
  <si>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</si>
  <si>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</si>
  <si>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</si>
  <si>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</si>
  <si>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</si>
  <si>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</si>
  <si>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</si>
  <si>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</si>
  <si>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</si>
  <si>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</si>
  <si>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</si>
  <si>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</si>
  <si>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</si>
  <si>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</si>
  <si>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</si>
  <si>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</si>
  <si>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</si>
  <si>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</si>
  <si>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</si>
  <si>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</si>
  <si>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</si>
  <si>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</si>
  <si>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</si>
  <si>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</si>
  <si>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</si>
  <si>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</si>
  <si>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</si>
  <si>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</si>
  <si>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</si>
  <si>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</si>
  <si>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</si>
  <si>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</si>
  <si>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</si>
  <si>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</si>
  <si>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</si>
  <si>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</si>
  <si>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</si>
  <si>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</si>
  <si>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</si>
  <si>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</si>
  <si>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</si>
  <si>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</si>
  <si>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</si>
  <si>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</si>
  <si>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</si>
  <si>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</si>
  <si>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</si>
  <si>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</si>
  <si>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</si>
  <si>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</si>
  <si>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</si>
  <si>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</si>
  <si>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</si>
  <si>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</si>
  <si>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</si>
  <si>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</si>
  <si>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</si>
  <si>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</si>
  <si>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</si>
  <si>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</si>
  <si>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</si>
  <si>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</si>
  <si>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</si>
  <si>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</si>
  <si>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</si>
  <si>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</si>
  <si>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</si>
  <si>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</si>
  <si>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</si>
  <si>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</si>
  <si>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</si>
  <si>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</si>
  <si>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</si>
  <si>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</si>
  <si>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</si>
  <si>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</si>
  <si>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</si>
  <si>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</si>
  <si>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</si>
  <si>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</si>
  <si>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</si>
  <si>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</si>
  <si>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</si>
  <si>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</si>
  <si>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</si>
  <si>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</si>
  <si>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Ionia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</si>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</sst>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Ionia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N=23</c:v>
                </c:pt>
                <c:pt idx="3">
                  <c:v>Petitions, total N=27</c:v>
                </c:pt>
                <c:pt idx="4">
                  <c:v>Detentions, total N=9</c:v>
                </c:pt>
                <c:pt idx="5">
                  <c:v>Referrals, total N=98</c:v>
                </c:pt>
                <c:pt idx="6">
                  <c:v>Arrests, total N=27</c:v>
                </c:pt>
                <c:pt idx="7">
                  <c:v>Population, total N=5861</c:v>
                </c:pt>
              </c:strCache>
            </c:strRef>
          </c:cat>
          <c:val>
            <c:numRef>
              <c:f>'Stacked 100%'!$B$7:$B$14</c:f>
              <c:numCache>
                <c:formatCode>0%</c:formatCode>
                <c:ptCount val="8"/>
                <c:pt idx="0">
                  <c:v>0</c:v>
                </c:pt>
                <c:pt idx="1">
                  <c:v>0</c:v>
                </c:pt>
                <c:pt idx="2">
                  <c:v>0</c:v>
                </c:pt>
                <c:pt idx="3">
                  <c:v>0</c:v>
                </c:pt>
                <c:pt idx="4">
                  <c:v>0</c:v>
                </c:pt>
                <c:pt idx="5">
                  <c:v>1.020408163265306E-2</c:v>
                </c:pt>
                <c:pt idx="6">
                  <c:v>3.7037037037037035E-2</c:v>
                </c:pt>
                <c:pt idx="7">
                  <c:v>1.6208838082238525E-2</c:v>
                </c:pt>
              </c:numCache>
            </c:numRef>
          </c:val>
          <c:extLst>
            <c:ext xmlns:c16="http://schemas.microsoft.com/office/drawing/2014/chart" uri="{C3380CC4-5D6E-409C-BE32-E72D297353CC}">
              <c16:uniqueId val="{00000000-AC45-46FF-BD43-37B0BB838572}"/>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N=23</c:v>
                </c:pt>
                <c:pt idx="3">
                  <c:v>Petitions, total N=27</c:v>
                </c:pt>
                <c:pt idx="4">
                  <c:v>Detentions, total N=9</c:v>
                </c:pt>
                <c:pt idx="5">
                  <c:v>Referrals, total N=98</c:v>
                </c:pt>
                <c:pt idx="6">
                  <c:v>Arrests, total N=27</c:v>
                </c:pt>
                <c:pt idx="7">
                  <c:v>Population, total N=5861</c:v>
                </c:pt>
              </c:strCache>
            </c:strRef>
          </c:cat>
          <c:val>
            <c:numRef>
              <c:f>'Stacked 100%'!$C$7:$C$14</c:f>
              <c:numCache>
                <c:formatCode>0%</c:formatCode>
                <c:ptCount val="8"/>
                <c:pt idx="0">
                  <c:v>0</c:v>
                </c:pt>
                <c:pt idx="1">
                  <c:v>0</c:v>
                </c:pt>
                <c:pt idx="2">
                  <c:v>4.3478260869565216E-2</c:v>
                </c:pt>
                <c:pt idx="3">
                  <c:v>3.7037037037037035E-2</c:v>
                </c:pt>
                <c:pt idx="4">
                  <c:v>0.1111111111111111</c:v>
                </c:pt>
                <c:pt idx="5">
                  <c:v>4.0816326530612242E-2</c:v>
                </c:pt>
                <c:pt idx="6">
                  <c:v>0.1111111111111111</c:v>
                </c:pt>
                <c:pt idx="7">
                  <c:v>8.4968435420576693E-2</c:v>
                </c:pt>
              </c:numCache>
            </c:numRef>
          </c:val>
          <c:extLst>
            <c:ext xmlns:c16="http://schemas.microsoft.com/office/drawing/2014/chart" uri="{C3380CC4-5D6E-409C-BE32-E72D297353CC}">
              <c16:uniqueId val="{00000001-AC45-46FF-BD43-37B0BB838572}"/>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N=7</c:v>
                </c:pt>
                <c:pt idx="2">
                  <c:v>Delinquent Findings, total N=23</c:v>
                </c:pt>
                <c:pt idx="3">
                  <c:v>Petitions, total N=27</c:v>
                </c:pt>
                <c:pt idx="4">
                  <c:v>Detentions, total N=9</c:v>
                </c:pt>
                <c:pt idx="5">
                  <c:v>Referrals, total N=98</c:v>
                </c:pt>
                <c:pt idx="6">
                  <c:v>Arrests, total N=27</c:v>
                </c:pt>
                <c:pt idx="7">
                  <c:v>Population, total N=5861</c:v>
                </c:pt>
              </c:strCache>
            </c:strRef>
          </c:cat>
          <c:val>
            <c:numRef>
              <c:f>'Stacked 100%'!$H$7:$H$14</c:f>
              <c:numCache>
                <c:formatCode>0%</c:formatCode>
                <c:ptCount val="8"/>
                <c:pt idx="0">
                  <c:v>0</c:v>
                </c:pt>
                <c:pt idx="1">
                  <c:v>6.1224489795918366E-2</c:v>
                </c:pt>
                <c:pt idx="2">
                  <c:v>7.5614366729678641E-3</c:v>
                </c:pt>
                <c:pt idx="3">
                  <c:v>8.2304526748971183E-3</c:v>
                </c:pt>
                <c:pt idx="4">
                  <c:v>1.2345679012345678E-2</c:v>
                </c:pt>
                <c:pt idx="5">
                  <c:v>2.9154518950437317E-3</c:v>
                </c:pt>
                <c:pt idx="6">
                  <c:v>0</c:v>
                </c:pt>
                <c:pt idx="7">
                  <c:v>1.9504344534523143E-6</c:v>
                </c:pt>
              </c:numCache>
            </c:numRef>
          </c:val>
          <c:extLst>
            <c:ext xmlns:c16="http://schemas.microsoft.com/office/drawing/2014/chart" uri="{C3380CC4-5D6E-409C-BE32-E72D297353CC}">
              <c16:uniqueId val="{00000002-AC45-46FF-BD43-37B0BB838572}"/>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N=7</c:v>
                </c:pt>
                <c:pt idx="2">
                  <c:v>Delinquent Findings, total N=23</c:v>
                </c:pt>
                <c:pt idx="3">
                  <c:v>Petitions, total N=27</c:v>
                </c:pt>
                <c:pt idx="4">
                  <c:v>Detentions, total N=9</c:v>
                </c:pt>
                <c:pt idx="5">
                  <c:v>Referrals, total N=98</c:v>
                </c:pt>
                <c:pt idx="6">
                  <c:v>Arrests, total N=27</c:v>
                </c:pt>
                <c:pt idx="7">
                  <c:v>Population, total N=5861</c:v>
                </c:pt>
              </c:strCache>
            </c:strRef>
          </c:cat>
          <c:val>
            <c:numRef>
              <c:f>'Stacked 100%'!$I$7:$I$14</c:f>
              <c:numCache>
                <c:formatCode>0%</c:formatCode>
                <c:ptCount val="8"/>
                <c:pt idx="0">
                  <c:v>0</c:v>
                </c:pt>
                <c:pt idx="1">
                  <c:v>0.5714285714285714</c:v>
                </c:pt>
                <c:pt idx="2">
                  <c:v>0.78260869565217395</c:v>
                </c:pt>
                <c:pt idx="3">
                  <c:v>0.7407407407407407</c:v>
                </c:pt>
                <c:pt idx="4">
                  <c:v>0.77777777777777779</c:v>
                </c:pt>
                <c:pt idx="5">
                  <c:v>0.66326530612244894</c:v>
                </c:pt>
                <c:pt idx="6">
                  <c:v>0.85185185185185186</c:v>
                </c:pt>
                <c:pt idx="7">
                  <c:v>0.88739123016550081</c:v>
                </c:pt>
              </c:numCache>
            </c:numRef>
          </c:val>
          <c:extLst>
            <c:ext xmlns:c16="http://schemas.microsoft.com/office/drawing/2014/chart" uri="{C3380CC4-5D6E-409C-BE32-E72D297353CC}">
              <c16:uniqueId val="{00000003-AC45-46FF-BD43-37B0BB838572}"/>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N=7</c:v>
                </c:pt>
                <c:pt idx="2">
                  <c:v>Delinquent Findings, total N=23</c:v>
                </c:pt>
                <c:pt idx="3">
                  <c:v>Petitions, total N=27</c:v>
                </c:pt>
                <c:pt idx="4">
                  <c:v>Detentions, total N=9</c:v>
                </c:pt>
                <c:pt idx="5">
                  <c:v>Referrals, total N=98</c:v>
                </c:pt>
                <c:pt idx="6">
                  <c:v>Arrests, total N=27</c:v>
                </c:pt>
                <c:pt idx="7">
                  <c:v>Population, total N=5861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C45-46FF-BD43-37B0BB838572}"/>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5861</v>
      </c>
      <c r="C6" s="11">
        <v>5201</v>
      </c>
      <c r="D6" s="11">
        <v>95</v>
      </c>
      <c r="E6" s="11">
        <v>498</v>
      </c>
      <c r="F6" s="11">
        <v>38</v>
      </c>
      <c r="G6" s="11"/>
      <c r="H6" s="11">
        <v>29</v>
      </c>
      <c r="I6" s="11"/>
      <c r="J6" s="91">
        <f>SUM(D6:I6)</f>
        <v>660</v>
      </c>
      <c r="K6" s="92"/>
    </row>
    <row r="7" spans="1:11" ht="15.75" customHeight="1" thickBot="1" x14ac:dyDescent="0.25">
      <c r="A7" s="10" t="s">
        <v>8</v>
      </c>
      <c r="B7" s="11">
        <f t="shared" ref="B7:B15" si="0">SUM(C7:I7)+K7</f>
        <v>27</v>
      </c>
      <c r="C7" s="11">
        <v>23</v>
      </c>
      <c r="D7" s="11">
        <v>1</v>
      </c>
      <c r="E7" s="11">
        <v>3</v>
      </c>
      <c r="F7" s="11"/>
      <c r="G7" s="11"/>
      <c r="H7" s="11"/>
      <c r="I7" s="11"/>
      <c r="J7" s="91">
        <f t="shared" ref="J7:J15" si="1">SUM(D7:I7)</f>
        <v>4</v>
      </c>
      <c r="K7" s="92"/>
    </row>
    <row r="8" spans="1:11" ht="15.75" customHeight="1" thickBot="1" x14ac:dyDescent="0.25">
      <c r="A8" s="10" t="s">
        <v>9</v>
      </c>
      <c r="B8" s="11">
        <f t="shared" si="0"/>
        <v>98</v>
      </c>
      <c r="C8" s="11">
        <v>65</v>
      </c>
      <c r="D8" s="11">
        <v>1</v>
      </c>
      <c r="E8" s="11">
        <v>4</v>
      </c>
      <c r="F8" s="11"/>
      <c r="G8" s="11"/>
      <c r="H8" s="11"/>
      <c r="I8" s="11">
        <v>28</v>
      </c>
      <c r="J8" s="91">
        <f t="shared" si="1"/>
        <v>33</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9</v>
      </c>
      <c r="C10" s="11">
        <v>7</v>
      </c>
      <c r="D10" s="11"/>
      <c r="E10" s="11">
        <v>1</v>
      </c>
      <c r="F10" s="11"/>
      <c r="G10" s="11"/>
      <c r="H10" s="11"/>
      <c r="I10" s="11">
        <v>1</v>
      </c>
      <c r="J10" s="91">
        <f t="shared" si="1"/>
        <v>2</v>
      </c>
      <c r="K10" s="92"/>
    </row>
    <row r="11" spans="1:11" ht="15.75" customHeight="1" thickBot="1" x14ac:dyDescent="0.25">
      <c r="A11" s="10" t="s">
        <v>12</v>
      </c>
      <c r="B11" s="11">
        <f t="shared" si="0"/>
        <v>27</v>
      </c>
      <c r="C11" s="11">
        <v>20</v>
      </c>
      <c r="D11" s="11"/>
      <c r="E11" s="11">
        <v>1</v>
      </c>
      <c r="F11" s="11"/>
      <c r="G11" s="11"/>
      <c r="H11" s="11"/>
      <c r="I11" s="11">
        <v>6</v>
      </c>
      <c r="J11" s="91">
        <f t="shared" si="1"/>
        <v>7</v>
      </c>
      <c r="K11" s="92"/>
    </row>
    <row r="12" spans="1:11" ht="15.75" customHeight="1" thickBot="1" x14ac:dyDescent="0.25">
      <c r="A12" s="10" t="s">
        <v>13</v>
      </c>
      <c r="B12" s="11">
        <f t="shared" si="0"/>
        <v>23</v>
      </c>
      <c r="C12" s="11">
        <v>18</v>
      </c>
      <c r="D12" s="11"/>
      <c r="E12" s="11">
        <v>1</v>
      </c>
      <c r="F12" s="11"/>
      <c r="G12" s="11"/>
      <c r="H12" s="11"/>
      <c r="I12" s="11">
        <v>4</v>
      </c>
      <c r="J12" s="91">
        <f t="shared" si="1"/>
        <v>5</v>
      </c>
      <c r="K12" s="92"/>
    </row>
    <row r="13" spans="1:11" ht="15.75" customHeight="1" thickBot="1" x14ac:dyDescent="0.25">
      <c r="A13" s="10" t="s">
        <v>133</v>
      </c>
      <c r="B13" s="11">
        <f t="shared" si="0"/>
        <v>19</v>
      </c>
      <c r="C13" s="11">
        <v>15</v>
      </c>
      <c r="D13" s="11"/>
      <c r="E13" s="11">
        <v>1</v>
      </c>
      <c r="F13" s="11"/>
      <c r="G13" s="11"/>
      <c r="H13" s="11"/>
      <c r="I13" s="11">
        <v>3</v>
      </c>
      <c r="J13" s="91">
        <f t="shared" si="1"/>
        <v>4</v>
      </c>
      <c r="K13" s="92"/>
    </row>
    <row r="14" spans="1:11" ht="26.25" customHeight="1" thickBot="1" x14ac:dyDescent="0.25">
      <c r="A14" s="10" t="s">
        <v>123</v>
      </c>
      <c r="B14" s="11">
        <f t="shared" si="0"/>
        <v>7</v>
      </c>
      <c r="C14" s="11">
        <v>4</v>
      </c>
      <c r="D14" s="11"/>
      <c r="E14" s="11"/>
      <c r="F14" s="11"/>
      <c r="G14" s="11"/>
      <c r="H14" s="11"/>
      <c r="I14" s="11">
        <v>3</v>
      </c>
      <c r="J14" s="91">
        <f t="shared" si="1"/>
        <v>3</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Ionia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5201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4.4222264949048267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v>
      </c>
      <c r="Q7" s="42">
        <f>C6-C7</f>
        <v>5178</v>
      </c>
      <c r="R7" s="42">
        <f t="shared" ref="R7:R15" si="5">SUM(N7:Q7)</f>
        <v>5201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65</v>
      </c>
      <c r="D8" s="34">
        <f>IF((AND(C67&gt;0,C8&gt;0)),(C8/C67),0)</f>
        <v>282.60869565217388</v>
      </c>
      <c r="E8" s="33">
        <f>'Data Entry'!I8</f>
        <v>28</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28</v>
      </c>
      <c r="O8" s="42">
        <f>((D67*L67)-E8)+0.05</f>
        <v>-27.95</v>
      </c>
      <c r="P8" s="42">
        <f t="shared" si="4"/>
        <v>65</v>
      </c>
      <c r="Q8" s="42">
        <f>(C$67*L67)-C8</f>
        <v>-42</v>
      </c>
      <c r="R8" s="42">
        <f t="shared" si="5"/>
        <v>23.049999999999997</v>
      </c>
      <c r="S8" s="30">
        <f t="shared" si="6"/>
        <v>9463420.9656249993</v>
      </c>
      <c r="T8" s="30">
        <f t="shared" si="7"/>
        <v>-7481.1525000001066</v>
      </c>
      <c r="U8" s="31">
        <f t="shared" si="8"/>
        <v>-1264.9683274902984</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28.000000000000004</v>
      </c>
      <c r="P9" s="42">
        <f t="shared" si="4"/>
        <v>0</v>
      </c>
      <c r="Q9" s="42">
        <f>(C$68*L68)-C9</f>
        <v>65</v>
      </c>
      <c r="R9" s="42">
        <f t="shared" si="5"/>
        <v>93</v>
      </c>
      <c r="S9" s="30">
        <f t="shared" si="6"/>
        <v>0</v>
      </c>
      <c r="T9" s="30">
        <f t="shared" si="7"/>
        <v>0</v>
      </c>
      <c r="U9" s="31" t="str">
        <f t="shared" si="8"/>
        <v>- -</v>
      </c>
    </row>
    <row r="10" spans="2:21" ht="18" customHeight="1" x14ac:dyDescent="0.25">
      <c r="B10" s="32" t="str">
        <f>'Data Entry'!A10</f>
        <v>5. Cases Involving Secure Detention</v>
      </c>
      <c r="C10" s="33">
        <f>'Data Entry'!C10</f>
        <v>7</v>
      </c>
      <c r="D10" s="34">
        <f>IF(((AND(C68&gt;0,C10&gt;0))),(C10/(C68)),0)</f>
        <v>10.769230769230768</v>
      </c>
      <c r="E10" s="33">
        <f>'Data Entry'!I10</f>
        <v>1</v>
      </c>
      <c r="F10" s="34">
        <f>IF(((AND($E$10&gt;0,$D$68&gt;0))),($E$10/($D$68)),0)</f>
        <v>3.5714285714285712</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1</v>
      </c>
      <c r="O10" s="42">
        <f>(D$68*L68)-E10</f>
        <v>27.000000000000004</v>
      </c>
      <c r="P10" s="42">
        <f t="shared" si="4"/>
        <v>7</v>
      </c>
      <c r="Q10" s="42">
        <f>(C$68*L68)-C10</f>
        <v>58</v>
      </c>
      <c r="R10" s="42">
        <f t="shared" si="5"/>
        <v>93</v>
      </c>
      <c r="S10" s="30">
        <f t="shared" si="6"/>
        <v>1595973.0000000007</v>
      </c>
      <c r="T10" s="30">
        <f t="shared" si="7"/>
        <v>1237600.0000000002</v>
      </c>
      <c r="U10" s="31">
        <f t="shared" si="8"/>
        <v>1.2895709437621206</v>
      </c>
    </row>
    <row r="11" spans="2:21" ht="18" customHeight="1" x14ac:dyDescent="0.25">
      <c r="B11" s="32" t="str">
        <f>'Data Entry'!A11</f>
        <v>6. Cases Petitioned (Charge Filed)</v>
      </c>
      <c r="C11" s="33">
        <f>'Data Entry'!C11</f>
        <v>20</v>
      </c>
      <c r="D11" s="34">
        <f>IF(((AND(C68&gt;0,C11&gt;0))),(C11/(C68)),0)</f>
        <v>30.769230769230766</v>
      </c>
      <c r="E11" s="33">
        <f>'Data Entry'!I11</f>
        <v>6</v>
      </c>
      <c r="F11" s="34">
        <f>IF(((AND($E$11&gt;0,$D$68&gt;0))),($E$11/($D$68)),0)</f>
        <v>21.428571428571427</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6</v>
      </c>
      <c r="O11" s="42">
        <f>(D$68*L68)-E11</f>
        <v>22.000000000000004</v>
      </c>
      <c r="P11" s="42">
        <f t="shared" si="4"/>
        <v>20</v>
      </c>
      <c r="Q11" s="42">
        <f>(C$68*L68)-C11</f>
        <v>45</v>
      </c>
      <c r="R11" s="42">
        <f t="shared" si="5"/>
        <v>93</v>
      </c>
      <c r="S11" s="30">
        <f t="shared" si="6"/>
        <v>2687700.0000000019</v>
      </c>
      <c r="T11" s="30">
        <f t="shared" si="7"/>
        <v>3170440.0000000005</v>
      </c>
      <c r="U11" s="31">
        <f t="shared" si="8"/>
        <v>0.84773722259370987</v>
      </c>
    </row>
    <row r="12" spans="2:21" ht="18" customHeight="1" x14ac:dyDescent="0.25">
      <c r="B12" s="32" t="str">
        <f>'Data Entry'!A12</f>
        <v>7. Cases Resulting in Delinquent Findings</v>
      </c>
      <c r="C12" s="33">
        <f>'Data Entry'!C12</f>
        <v>18</v>
      </c>
      <c r="D12" s="34">
        <f>IF(((AND(C69&gt;0,C12&gt;0))),(C12/(C69)),0)</f>
        <v>90</v>
      </c>
      <c r="E12" s="33">
        <f>'Data Entry'!I12</f>
        <v>4</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4</v>
      </c>
      <c r="O12" s="42">
        <f>(D69*L69)-E12</f>
        <v>2</v>
      </c>
      <c r="P12" s="42">
        <f t="shared" si="4"/>
        <v>18</v>
      </c>
      <c r="Q12" s="42">
        <f>(C69*L69)-C12</f>
        <v>2</v>
      </c>
      <c r="R12" s="42">
        <f t="shared" si="5"/>
        <v>26</v>
      </c>
      <c r="S12" s="30">
        <f t="shared" si="6"/>
        <v>20384</v>
      </c>
      <c r="T12" s="30">
        <f t="shared" si="7"/>
        <v>10560</v>
      </c>
      <c r="U12" s="31">
        <f t="shared" si="8"/>
        <v>1.9303030303030304</v>
      </c>
    </row>
    <row r="13" spans="2:21" ht="18" customHeight="1" x14ac:dyDescent="0.25">
      <c r="B13" s="32" t="str">
        <f>'Data Entry'!A13</f>
        <v>8. Cases Resulting in Probation Placement</v>
      </c>
      <c r="C13" s="33">
        <f>'Data Entry'!C13</f>
        <v>15</v>
      </c>
      <c r="D13" s="34">
        <f>IF(((AND(C70&gt;0,C13&gt;0))),(C13/(C70)),0)</f>
        <v>83.333333333333343</v>
      </c>
      <c r="E13" s="33">
        <f>'Data Entry'!I13</f>
        <v>3</v>
      </c>
      <c r="F13" s="34">
        <f>IF(((AND($D$70&gt;0,$E$13&gt;0))),($E$13/($D$70)),0)</f>
        <v>75</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3</v>
      </c>
      <c r="O13" s="42">
        <f>(D70*L70)-E13</f>
        <v>1</v>
      </c>
      <c r="P13" s="42">
        <f t="shared" si="4"/>
        <v>15</v>
      </c>
      <c r="Q13" s="42">
        <f>(C70*L70)-C13</f>
        <v>3</v>
      </c>
      <c r="R13" s="42">
        <f t="shared" si="5"/>
        <v>22</v>
      </c>
      <c r="S13" s="30">
        <f t="shared" si="6"/>
        <v>792</v>
      </c>
      <c r="T13" s="30">
        <f t="shared" si="7"/>
        <v>5184</v>
      </c>
      <c r="U13" s="31">
        <f t="shared" si="8"/>
        <v>0.15277777777777779</v>
      </c>
    </row>
    <row r="14" spans="2:21" ht="30.75" customHeight="1" x14ac:dyDescent="0.25">
      <c r="B14" s="32" t="str">
        <f>'Data Entry'!A14</f>
        <v xml:space="preserve">9. Cases Resulting in Confinement in Secure Juvenile Correctional Facilities </v>
      </c>
      <c r="C14" s="33">
        <f>'Data Entry'!C14</f>
        <v>4</v>
      </c>
      <c r="D14" s="34">
        <f>IF(((AND(C70&gt;0,C14&gt;0))), ((C14/(C70))),0)</f>
        <v>22.222222222222221</v>
      </c>
      <c r="E14" s="33">
        <f>'Data Entry'!I14</f>
        <v>3</v>
      </c>
      <c r="F14" s="34">
        <f>IF(((AND($D$70&gt;0,$E$14&gt;0))), (($E$14/($D$70))),0)</f>
        <v>75</v>
      </c>
      <c r="G14" s="39" t="str">
        <f t="shared" si="0"/>
        <v>*</v>
      </c>
      <c r="H14" s="40"/>
      <c r="I14" s="41"/>
      <c r="J14" s="40">
        <f>IF((ABS($U14)&gt;Defaults!D$7),1,2)</f>
        <v>1</v>
      </c>
      <c r="K14" s="39">
        <f>IF((AND(N14&gt;Defaults!B$12,(N14+O14)&gt;Defaults!B$13, P14 &gt; Defaults!B$12, (P14+Q14) &gt; Defaults!B$13)),1,20)</f>
        <v>20</v>
      </c>
      <c r="L14" s="1">
        <f t="shared" si="1"/>
        <v>119</v>
      </c>
      <c r="M14" s="1" t="b">
        <f t="shared" si="2"/>
        <v>1</v>
      </c>
      <c r="N14" s="42">
        <f t="shared" si="3"/>
        <v>3</v>
      </c>
      <c r="O14" s="42">
        <f>(D70*L70)-E14</f>
        <v>1</v>
      </c>
      <c r="P14" s="42">
        <f t="shared" si="4"/>
        <v>4</v>
      </c>
      <c r="Q14" s="42">
        <f>(C70*L70)-C14</f>
        <v>14</v>
      </c>
      <c r="R14" s="42">
        <f t="shared" si="5"/>
        <v>22</v>
      </c>
      <c r="S14" s="30">
        <f t="shared" si="6"/>
        <v>31768</v>
      </c>
      <c r="T14" s="30">
        <f t="shared" si="7"/>
        <v>7560</v>
      </c>
      <c r="U14" s="31">
        <f t="shared" si="8"/>
        <v>4.2021164021164017</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20</v>
      </c>
      <c r="R15" s="42">
        <f t="shared" si="5"/>
        <v>26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5.2009999999999996</v>
      </c>
      <c r="D42" s="56">
        <f>E6/1000</f>
        <v>0</v>
      </c>
      <c r="E42" s="56">
        <f>MAX(C42:D42)</f>
        <v>5.2009999999999996</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0.65</v>
      </c>
      <c r="D44" s="56">
        <f>E8/100</f>
        <v>0.28000000000000003</v>
      </c>
      <c r="E44" s="56">
        <f>MAX(C44:D44,0)</f>
        <v>0.65</v>
      </c>
      <c r="G44" s="1" t="str">
        <f>B44</f>
        <v>per 100 referrals</v>
      </c>
      <c r="L44" s="57">
        <v>100</v>
      </c>
      <c r="M44" s="57"/>
      <c r="R44" s="49"/>
    </row>
    <row r="45" spans="2:18" ht="15" hidden="1" customHeight="1" x14ac:dyDescent="0.25">
      <c r="B45" s="49" t="s">
        <v>89</v>
      </c>
      <c r="C45" s="49">
        <f>C11/100</f>
        <v>0.2</v>
      </c>
      <c r="D45" s="49">
        <f>E11/100</f>
        <v>0.06</v>
      </c>
      <c r="E45" s="56">
        <f>MAX(C45:D45,0)</f>
        <v>0.2</v>
      </c>
      <c r="G45" s="1" t="str">
        <f>B45</f>
        <v>per 100 youth petitioned</v>
      </c>
      <c r="L45" s="57">
        <v>100</v>
      </c>
      <c r="M45" s="57"/>
      <c r="R45" s="49"/>
    </row>
    <row r="46" spans="2:18" ht="15" hidden="1" customHeight="1" x14ac:dyDescent="0.25">
      <c r="B46" s="49" t="s">
        <v>90</v>
      </c>
      <c r="C46" s="49">
        <f>C12/100</f>
        <v>0.18</v>
      </c>
      <c r="D46" s="49">
        <f>E12/100</f>
        <v>0.04</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5.2009999999999996</v>
      </c>
      <c r="D48" s="56">
        <f>D42</f>
        <v>0</v>
      </c>
      <c r="E48" s="56">
        <f>MAX(C48:D48)</f>
        <v>5.2009999999999996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0.65</v>
      </c>
      <c r="D50" s="49">
        <f t="shared" si="9"/>
        <v>0.28000000000000003</v>
      </c>
      <c r="E50" s="49">
        <f>MAX(C50:D50)</f>
        <v>0.65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0.06</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0.04</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5.2009999999999996</v>
      </c>
      <c r="D54" s="56">
        <f>D48</f>
        <v>0</v>
      </c>
      <c r="E54" s="56">
        <f>MAX(C54:D54)</f>
        <v>5.2009999999999996</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0.65</v>
      </c>
      <c r="D56" s="49">
        <f t="shared" si="10"/>
        <v>0.28000000000000003</v>
      </c>
      <c r="E56" s="49">
        <f>MAX(C56:D56)</f>
        <v>0.65</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0.06</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0.04</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5.2009999999999996</v>
      </c>
      <c r="D60" s="56">
        <f>D54</f>
        <v>0</v>
      </c>
      <c r="E60" s="56">
        <f>MAX(C60:D60)</f>
        <v>5.2009999999999996</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0.65</v>
      </c>
      <c r="D62" s="49">
        <f t="shared" si="11"/>
        <v>0.28000000000000003</v>
      </c>
      <c r="E62" s="49">
        <f>MAX(C62:D62)</f>
        <v>0.65</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0.06</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0.04</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5.2009999999999996</v>
      </c>
      <c r="D66" s="56">
        <f>D60</f>
        <v>0</v>
      </c>
      <c r="E66" s="56">
        <f>MAX(C66:D66)</f>
        <v>5.2009999999999996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0.65</v>
      </c>
      <c r="D68" s="49">
        <f t="shared" si="12"/>
        <v>0.28000000000000003</v>
      </c>
      <c r="E68" s="49">
        <f>MAX(C68:D68)</f>
        <v>0.65</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0.06</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0.04</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Ionia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5201</v>
      </c>
      <c r="D6" s="34"/>
      <c r="E6" s="33">
        <f>'Data Entry'!J6</f>
        <v>660</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4.4222264949048267</v>
      </c>
      <c r="E7" s="33">
        <f>'Data Entry'!J7</f>
        <v>4</v>
      </c>
      <c r="F7" s="34">
        <f>IF((AND($E$7&gt;0,$D$66&gt;0)),($E$7/$D$66),0)</f>
        <v>6.0606060606060606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4</v>
      </c>
      <c r="O7" s="42">
        <f>E6-E7</f>
        <v>656</v>
      </c>
      <c r="P7" s="42">
        <f t="shared" ref="P7:P15" si="4">C7</f>
        <v>23</v>
      </c>
      <c r="Q7" s="42">
        <f>C6-C7</f>
        <v>5178</v>
      </c>
      <c r="R7" s="42">
        <f t="shared" ref="R7:R15" si="5">SUM(N7:Q7)</f>
        <v>5861</v>
      </c>
      <c r="S7" s="30">
        <f t="shared" ref="S7:S15" si="6">R7*((((N7*Q7)-(O7*P7))^2))</f>
        <v>185379772736</v>
      </c>
      <c r="T7" s="30">
        <f t="shared" ref="T7:T15" si="7">(N7+O7)*(P7+Q7)*(N7+P7)*(O7+Q7)</f>
        <v>540705737880</v>
      </c>
      <c r="U7" s="31">
        <f t="shared" ref="U7:U15" si="8">IF((S7&gt;0),S7/T7,"- -")</f>
        <v>0.34284780010442895</v>
      </c>
    </row>
    <row r="8" spans="2:21" ht="18" customHeight="1" x14ac:dyDescent="0.25">
      <c r="B8" s="32" t="str">
        <f>'Data Entry'!A8</f>
        <v>3. Refer to Juvenile Court</v>
      </c>
      <c r="C8" s="33">
        <f>'Data Entry'!C8</f>
        <v>65</v>
      </c>
      <c r="D8" s="34">
        <f>IF((AND(C67&gt;0,C8&gt;0)),(C8/C67),0)</f>
        <v>282.60869565217388</v>
      </c>
      <c r="E8" s="33">
        <f>'Data Entry'!J8</f>
        <v>33</v>
      </c>
      <c r="F8" s="34">
        <f>IF((AND($E$8&gt;0,$D$67&gt;0)),($E8/$D67),0)</f>
        <v>825</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33</v>
      </c>
      <c r="O8" s="42">
        <f>((D67*L67)-E8)+0.05</f>
        <v>-28.95</v>
      </c>
      <c r="P8" s="42">
        <f t="shared" si="4"/>
        <v>65</v>
      </c>
      <c r="Q8" s="42">
        <f>(C$67*L67)-C8</f>
        <v>-42</v>
      </c>
      <c r="R8" s="42">
        <f t="shared" si="5"/>
        <v>27.049999999999997</v>
      </c>
      <c r="S8" s="30">
        <f t="shared" si="6"/>
        <v>6648026.0906249993</v>
      </c>
      <c r="T8" s="30">
        <f t="shared" si="7"/>
        <v>-647681.26500000025</v>
      </c>
      <c r="U8" s="31">
        <f t="shared" si="8"/>
        <v>-10.264348298888955</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33</v>
      </c>
      <c r="P9" s="42">
        <f t="shared" si="4"/>
        <v>0</v>
      </c>
      <c r="Q9" s="42">
        <f>(C$68*L68)-C9</f>
        <v>65</v>
      </c>
      <c r="R9" s="42">
        <f t="shared" si="5"/>
        <v>98</v>
      </c>
      <c r="S9" s="30">
        <f t="shared" si="6"/>
        <v>0</v>
      </c>
      <c r="T9" s="30">
        <f t="shared" si="7"/>
        <v>0</v>
      </c>
      <c r="U9" s="31" t="str">
        <f t="shared" si="8"/>
        <v>- -</v>
      </c>
    </row>
    <row r="10" spans="2:21" ht="18" customHeight="1" x14ac:dyDescent="0.25">
      <c r="B10" s="32" t="str">
        <f>'Data Entry'!A10</f>
        <v>5. Cases Involving Secure Detention</v>
      </c>
      <c r="C10" s="33">
        <f>'Data Entry'!C10</f>
        <v>7</v>
      </c>
      <c r="D10" s="34">
        <f>IF(((AND(C68&gt;0,C10&gt;0))),(C10/(C68)),0)</f>
        <v>10.769230769230768</v>
      </c>
      <c r="E10" s="33">
        <f>'Data Entry'!J10</f>
        <v>2</v>
      </c>
      <c r="F10" s="34">
        <f>IF(((AND($E$10&gt;0,$D$68&gt;0))),($E$10/($D$68)),0)</f>
        <v>6.0606060606060606</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2</v>
      </c>
      <c r="O10" s="42">
        <f>(D$68*L68)-E10</f>
        <v>31</v>
      </c>
      <c r="P10" s="42">
        <f t="shared" si="4"/>
        <v>7</v>
      </c>
      <c r="Q10" s="42">
        <f>(C$68*L68)-C10</f>
        <v>58</v>
      </c>
      <c r="R10" s="42">
        <f t="shared" si="5"/>
        <v>98</v>
      </c>
      <c r="S10" s="30">
        <f t="shared" si="6"/>
        <v>999698</v>
      </c>
      <c r="T10" s="30">
        <f t="shared" si="7"/>
        <v>1718145</v>
      </c>
      <c r="U10" s="31">
        <f t="shared" si="8"/>
        <v>0.58184728297087851</v>
      </c>
    </row>
    <row r="11" spans="2:21" ht="18" customHeight="1" x14ac:dyDescent="0.25">
      <c r="B11" s="32" t="str">
        <f>'Data Entry'!A11</f>
        <v>6. Cases Petitioned (Charge Filed)</v>
      </c>
      <c r="C11" s="33">
        <f>'Data Entry'!C11</f>
        <v>20</v>
      </c>
      <c r="D11" s="34">
        <f>IF(((AND(C68&gt;0,C11&gt;0))),(C11/(C68)),0)</f>
        <v>30.769230769230766</v>
      </c>
      <c r="E11" s="33">
        <f>'Data Entry'!J11</f>
        <v>7</v>
      </c>
      <c r="F11" s="34">
        <f>IF(((AND($E$11&gt;0,$D$68&gt;0))),($E$11/($D$68)),0)</f>
        <v>21.212121212121211</v>
      </c>
      <c r="G11" s="39">
        <f t="shared" si="0"/>
        <v>0.68939393939393945</v>
      </c>
      <c r="H11" s="40"/>
      <c r="I11" s="41"/>
      <c r="J11" s="40">
        <f>IF((ABS($U11)&gt;Defaults!D$7),1,2)</f>
        <v>2</v>
      </c>
      <c r="K11" s="39">
        <f>IF((AND(N11&gt;Defaults!B$12,(N11+O11)&gt;Defaults!B$13, P11 &gt; Defaults!B$12, (P11+Q11) &gt; Defaults!B$13)),1,20)</f>
        <v>1</v>
      </c>
      <c r="L11" s="1">
        <f t="shared" si="1"/>
        <v>2</v>
      </c>
      <c r="M11" s="1" t="b">
        <f t="shared" si="2"/>
        <v>1</v>
      </c>
      <c r="N11" s="42">
        <f t="shared" si="3"/>
        <v>7</v>
      </c>
      <c r="O11" s="42">
        <f>(D$68*L68)-E11</f>
        <v>26</v>
      </c>
      <c r="P11" s="42">
        <f t="shared" si="4"/>
        <v>20</v>
      </c>
      <c r="Q11" s="42">
        <f>(C$68*L68)-C11</f>
        <v>45</v>
      </c>
      <c r="R11" s="42">
        <f t="shared" si="5"/>
        <v>98</v>
      </c>
      <c r="S11" s="30">
        <f t="shared" si="6"/>
        <v>4118450</v>
      </c>
      <c r="T11" s="30">
        <f t="shared" si="7"/>
        <v>4111965</v>
      </c>
      <c r="U11" s="31">
        <f t="shared" si="8"/>
        <v>1.0015771048634898</v>
      </c>
    </row>
    <row r="12" spans="2:21" ht="18" customHeight="1" x14ac:dyDescent="0.25">
      <c r="B12" s="32" t="str">
        <f>'Data Entry'!A12</f>
        <v>7. Cases Resulting in Delinquent Findings</v>
      </c>
      <c r="C12" s="33">
        <f>'Data Entry'!C12</f>
        <v>18</v>
      </c>
      <c r="D12" s="34">
        <f>IF(((AND(C69&gt;0,C12&gt;0))),(C12/(C69)),0)</f>
        <v>90</v>
      </c>
      <c r="E12" s="33">
        <f>'Data Entry'!J12</f>
        <v>5</v>
      </c>
      <c r="F12" s="34">
        <f>IF(((AND($D$69&gt;0,$E$12&gt;0))),(E12/(D69)),0)</f>
        <v>71.428571428571416</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2.0000000000000009</v>
      </c>
      <c r="P12" s="42">
        <f t="shared" si="4"/>
        <v>18</v>
      </c>
      <c r="Q12" s="42">
        <f>(C69*L69)-C12</f>
        <v>2</v>
      </c>
      <c r="R12" s="42">
        <f t="shared" si="5"/>
        <v>27</v>
      </c>
      <c r="S12" s="30">
        <f t="shared" si="6"/>
        <v>18252.000000000018</v>
      </c>
      <c r="T12" s="30">
        <f t="shared" si="7"/>
        <v>12880.000000000005</v>
      </c>
      <c r="U12" s="31">
        <f t="shared" si="8"/>
        <v>1.4170807453416157</v>
      </c>
    </row>
    <row r="13" spans="2:21" ht="18" customHeight="1" x14ac:dyDescent="0.25">
      <c r="B13" s="32" t="str">
        <f>'Data Entry'!A13</f>
        <v>8. Cases Resulting in Probation Placement</v>
      </c>
      <c r="C13" s="33">
        <f>'Data Entry'!C13</f>
        <v>15</v>
      </c>
      <c r="D13" s="34">
        <f>IF(((AND(C70&gt;0,C13&gt;0))),(C13/(C70)),0)</f>
        <v>83.333333333333343</v>
      </c>
      <c r="E13" s="33">
        <f>'Data Entry'!J13</f>
        <v>4</v>
      </c>
      <c r="F13" s="34">
        <f>IF(((AND($D$70&gt;0,$E$13&gt;0))),($E$13/($D$70)),0)</f>
        <v>80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4</v>
      </c>
      <c r="O13" s="42">
        <f>(D70*L70)-E13</f>
        <v>1</v>
      </c>
      <c r="P13" s="42">
        <f t="shared" si="4"/>
        <v>15</v>
      </c>
      <c r="Q13" s="42">
        <f>(C70*L70)-C13</f>
        <v>3</v>
      </c>
      <c r="R13" s="42">
        <f t="shared" si="5"/>
        <v>23</v>
      </c>
      <c r="S13" s="30">
        <f t="shared" si="6"/>
        <v>207</v>
      </c>
      <c r="T13" s="30">
        <f t="shared" si="7"/>
        <v>6840</v>
      </c>
      <c r="U13" s="31">
        <f t="shared" si="8"/>
        <v>3.0263157894736843E-2</v>
      </c>
    </row>
    <row r="14" spans="2:21" ht="30.75" customHeight="1" x14ac:dyDescent="0.25">
      <c r="B14" s="32" t="str">
        <f>'Data Entry'!A14</f>
        <v xml:space="preserve">9. Cases Resulting in Confinement in Secure Juvenile Correctional Facilities </v>
      </c>
      <c r="C14" s="33">
        <f>'Data Entry'!C14</f>
        <v>4</v>
      </c>
      <c r="D14" s="34">
        <f>IF(((AND(C70&gt;0,C14&gt;0))), ((C14/(C70))),0)</f>
        <v>22.222222222222221</v>
      </c>
      <c r="E14" s="33">
        <f>'Data Entry'!J14</f>
        <v>3</v>
      </c>
      <c r="F14" s="34">
        <f>IF(((AND($D$70&gt;0,$E$14&gt;0))), (($E$14/($D$70))),0)</f>
        <v>60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3</v>
      </c>
      <c r="O14" s="42">
        <f>(D70*L70)-E14</f>
        <v>2</v>
      </c>
      <c r="P14" s="42">
        <f t="shared" si="4"/>
        <v>4</v>
      </c>
      <c r="Q14" s="42">
        <f>(C70*L70)-C14</f>
        <v>14</v>
      </c>
      <c r="R14" s="42">
        <f t="shared" si="5"/>
        <v>23</v>
      </c>
      <c r="S14" s="30">
        <f t="shared" si="6"/>
        <v>26588</v>
      </c>
      <c r="T14" s="30">
        <f t="shared" si="7"/>
        <v>10080</v>
      </c>
      <c r="U14" s="31">
        <f t="shared" si="8"/>
        <v>2.6376984126984127</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7.0000000000000009</v>
      </c>
      <c r="P15" s="42">
        <f t="shared" si="4"/>
        <v>0</v>
      </c>
      <c r="Q15" s="42">
        <f>(C69*L69)-C15</f>
        <v>20</v>
      </c>
      <c r="R15" s="42">
        <f t="shared" si="5"/>
        <v>27</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5.2009999999999996</v>
      </c>
      <c r="D42" s="56">
        <f>E6/1000</f>
        <v>0.66</v>
      </c>
      <c r="E42" s="56">
        <f>MAX(C42:D42)</f>
        <v>5.2009999999999996</v>
      </c>
      <c r="G42" s="1" t="str">
        <f>B42</f>
        <v>per 1000 youth</v>
      </c>
      <c r="L42" s="57">
        <v>1000</v>
      </c>
      <c r="M42" s="57"/>
      <c r="R42" s="49"/>
    </row>
    <row r="43" spans="2:18" ht="15" hidden="1" customHeight="1" x14ac:dyDescent="0.25">
      <c r="B43" s="49" t="s">
        <v>87</v>
      </c>
      <c r="C43" s="56">
        <f>C7/100</f>
        <v>0.23</v>
      </c>
      <c r="D43" s="56">
        <f>E7/100</f>
        <v>0.04</v>
      </c>
      <c r="E43" s="56">
        <f>MAX(C43:D43,0)</f>
        <v>0.23</v>
      </c>
      <c r="G43" s="1" t="str">
        <f>B43</f>
        <v>per 100 arrests</v>
      </c>
      <c r="L43" s="57">
        <v>100</v>
      </c>
      <c r="M43" s="57"/>
      <c r="R43" s="49"/>
    </row>
    <row r="44" spans="2:18" ht="15" hidden="1" customHeight="1" x14ac:dyDescent="0.25">
      <c r="B44" s="49" t="s">
        <v>88</v>
      </c>
      <c r="C44" s="56">
        <f>C8/100</f>
        <v>0.65</v>
      </c>
      <c r="D44" s="56">
        <f>E8/100</f>
        <v>0.33</v>
      </c>
      <c r="E44" s="56">
        <f>MAX(C44:D44,0)</f>
        <v>0.65</v>
      </c>
      <c r="G44" s="1" t="str">
        <f>B44</f>
        <v>per 100 referrals</v>
      </c>
      <c r="L44" s="57">
        <v>100</v>
      </c>
      <c r="M44" s="57"/>
      <c r="R44" s="49"/>
    </row>
    <row r="45" spans="2:18" ht="15" hidden="1" customHeight="1" x14ac:dyDescent="0.25">
      <c r="B45" s="49" t="s">
        <v>89</v>
      </c>
      <c r="C45" s="49">
        <f>C11/100</f>
        <v>0.2</v>
      </c>
      <c r="D45" s="49">
        <f>E11/100</f>
        <v>7.0000000000000007E-2</v>
      </c>
      <c r="E45" s="56">
        <f>MAX(C45:D45,0)</f>
        <v>0.2</v>
      </c>
      <c r="G45" s="1" t="str">
        <f>B45</f>
        <v>per 100 youth petitioned</v>
      </c>
      <c r="L45" s="57">
        <v>100</v>
      </c>
      <c r="M45" s="57"/>
      <c r="R45" s="49"/>
    </row>
    <row r="46" spans="2:18" ht="15" hidden="1" customHeight="1" x14ac:dyDescent="0.25">
      <c r="B46" s="49" t="s">
        <v>90</v>
      </c>
      <c r="C46" s="49">
        <f>C12/100</f>
        <v>0.18</v>
      </c>
      <c r="D46" s="49">
        <f>E12/100</f>
        <v>0.05</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5.2009999999999996</v>
      </c>
      <c r="D48" s="56">
        <f>D42</f>
        <v>0.66</v>
      </c>
      <c r="E48" s="56">
        <f>MAX(C48:D48)</f>
        <v>5.2009999999999996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0.04</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0.65</v>
      </c>
      <c r="D50" s="49">
        <f t="shared" si="9"/>
        <v>0.33</v>
      </c>
      <c r="E50" s="49">
        <f>MAX(C50:D50)</f>
        <v>0.65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7.0000000000000007E-2</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0.05</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5.2009999999999996</v>
      </c>
      <c r="D54" s="56">
        <f>D48</f>
        <v>0.66</v>
      </c>
      <c r="E54" s="56">
        <f>MAX(C54:D54)</f>
        <v>5.2009999999999996</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0.04</v>
      </c>
      <c r="E55" s="49">
        <f>MAX(C55:D55)</f>
        <v>0.23</v>
      </c>
      <c r="G55" s="1" t="str">
        <f>G49</f>
        <v>per 100 arrests</v>
      </c>
      <c r="L55" s="58">
        <f>IF(($E49&gt;0),L49,L48)</f>
        <v>100</v>
      </c>
      <c r="M55" s="58"/>
    </row>
    <row r="56" spans="2:18" ht="15" hidden="1" customHeight="1" x14ac:dyDescent="0.25">
      <c r="B56" s="49" t="str">
        <f t="shared" si="10"/>
        <v>per 100 referrals</v>
      </c>
      <c r="C56" s="49">
        <f t="shared" si="10"/>
        <v>0.65</v>
      </c>
      <c r="D56" s="49">
        <f t="shared" si="10"/>
        <v>0.33</v>
      </c>
      <c r="E56" s="49">
        <f>MAX(C56:D56)</f>
        <v>0.65</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7.0000000000000007E-2</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0.05</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5.2009999999999996</v>
      </c>
      <c r="D60" s="56">
        <f>D54</f>
        <v>0.66</v>
      </c>
      <c r="E60" s="56">
        <f>MAX(C60:D60)</f>
        <v>5.2009999999999996</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0.04</v>
      </c>
      <c r="E61" s="49">
        <f>MAX(C61:D61)</f>
        <v>0.23</v>
      </c>
      <c r="G61" s="1" t="str">
        <f>G55</f>
        <v>per 100 arrests</v>
      </c>
      <c r="L61" s="58">
        <f>IF(($E55&gt;0),L55,L54)</f>
        <v>100</v>
      </c>
      <c r="M61" s="58"/>
    </row>
    <row r="62" spans="2:18" ht="15" hidden="1" customHeight="1" x14ac:dyDescent="0.25">
      <c r="B62" s="49" t="str">
        <f t="shared" si="11"/>
        <v>per 100 referrals</v>
      </c>
      <c r="C62" s="49">
        <f t="shared" si="11"/>
        <v>0.65</v>
      </c>
      <c r="D62" s="49">
        <f t="shared" si="11"/>
        <v>0.33</v>
      </c>
      <c r="E62" s="49">
        <f>MAX(C62:D62)</f>
        <v>0.65</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7.0000000000000007E-2</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0.05</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5.2009999999999996</v>
      </c>
      <c r="D66" s="56">
        <f>D60</f>
        <v>0.66</v>
      </c>
      <c r="E66" s="56">
        <f>MAX(C66:D66)</f>
        <v>5.2009999999999996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0.04</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0.65</v>
      </c>
      <c r="D68" s="49">
        <f t="shared" si="12"/>
        <v>0.33</v>
      </c>
      <c r="E68" s="49">
        <f>MAX(C68:D68)</f>
        <v>0.65</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7.0000000000000007E-2</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0.05</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Ionia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119</v>
      </c>
      <c r="R8" s="1">
        <f>'All Minorities'!L8</f>
        <v>20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f>'All Minorities'!G11</f>
        <v>0.68939393939393945</v>
      </c>
      <c r="L11" s="1">
        <f>'Black or African-American'!L11</f>
        <v>40</v>
      </c>
      <c r="M11" s="1">
        <f>Hispanic!L11</f>
        <v>40</v>
      </c>
      <c r="N11" s="1" t="e">
        <f>Asian!L11</f>
        <v>#VALUE!</v>
      </c>
      <c r="O11" s="1" t="e">
        <f>Hawaiian!L11</f>
        <v>#VALUE!</v>
      </c>
      <c r="P11" s="1" t="e">
        <f>'Am Indian'!L11</f>
        <v>#VALUE!</v>
      </c>
      <c r="Q11" s="1">
        <f>'Other - Mixed'!L11</f>
        <v>139</v>
      </c>
      <c r="R11" s="1">
        <f>'All Minorities'!L11</f>
        <v>2</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f>Hispanic!L12</f>
        <v>40</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f>Hispanic!L13</f>
        <v>40</v>
      </c>
      <c r="N13" s="1" t="e">
        <f>Asian!L13</f>
        <v>#VALUE!</v>
      </c>
      <c r="O13" s="1" t="e">
        <f>Hawaiian!L13</f>
        <v>#VALUE!</v>
      </c>
      <c r="P13" s="1" t="e">
        <f>'Am Indian'!L13</f>
        <v>#VALUE!</v>
      </c>
      <c r="Q13" s="1">
        <f>'Other - Mixed'!L13</f>
        <v>139</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f>Hispanic!L14</f>
        <v>40</v>
      </c>
      <c r="N14" s="1" t="e">
        <f>Asian!L14</f>
        <v>#VALUE!</v>
      </c>
      <c r="O14" s="1" t="e">
        <f>Hawaiian!L14</f>
        <v>#VALUE!</v>
      </c>
      <c r="P14" s="1" t="e">
        <f>'Am Indian'!L14</f>
        <v>#VALUE!</v>
      </c>
      <c r="Q14" s="1">
        <f>'Other - Mixed'!L14</f>
        <v>119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5861</v>
      </c>
      <c r="D3" s="57">
        <f>'Data Entry'!C6</f>
        <v>5201</v>
      </c>
      <c r="E3" s="57">
        <f>'Data Entry'!D6</f>
        <v>95</v>
      </c>
      <c r="F3" s="57">
        <f>'Data Entry'!E6</f>
        <v>498</v>
      </c>
      <c r="G3" s="57">
        <f>'Data Entry'!F6</f>
        <v>38</v>
      </c>
      <c r="H3" s="57">
        <f>'Data Entry'!G6</f>
        <v>0</v>
      </c>
      <c r="I3" s="57">
        <f>'Data Entry'!H6</f>
        <v>29</v>
      </c>
      <c r="J3" s="57">
        <f>'Data Entry'!I6</f>
        <v>0</v>
      </c>
      <c r="K3" s="57">
        <f>'Data Entry'!J6</f>
        <v>660</v>
      </c>
    </row>
    <row r="4" spans="2:11" ht="15" customHeight="1" x14ac:dyDescent="0.25">
      <c r="B4" s="16" t="s">
        <v>8</v>
      </c>
      <c r="C4" s="1">
        <f>IF((C$3&gt;0),(1000*('Data Entry'!B7/'Data Entry'!B$6)), 0)</f>
        <v>4.6067224023204236</v>
      </c>
      <c r="D4" s="1">
        <f>IF((D$3&gt;0),(1000*('Data Entry'!C7/'Data Entry'!C$6)), 0)</f>
        <v>4.4222264949048258</v>
      </c>
      <c r="E4" s="1">
        <f>IF((E$3&gt;0),(1000*('Data Entry'!D7/'Data Entry'!D$6)), 0)</f>
        <v>10.526315789473683</v>
      </c>
      <c r="F4" s="1">
        <f>IF((F$3&gt;0),(1000*('Data Entry'!E7/'Data Entry'!E$6)), 0)</f>
        <v>6.024096385542169</v>
      </c>
      <c r="G4" s="1">
        <f>IF((G$3&gt;0),(1000*('Data Entry'!F7/'Data Entry'!F$6)), 0)</f>
        <v>0</v>
      </c>
      <c r="H4" s="1">
        <f>IF((H$3&gt;0),(1000*('Data Entry'!G7/'Data Entry'!G$6)), 0)</f>
        <v>0</v>
      </c>
      <c r="I4" s="1">
        <f>IF((I$3&gt;0),(1000*('Data Entry'!H7/'Data Entry'!H$6)), 0)</f>
        <v>0</v>
      </c>
      <c r="J4" s="1">
        <f>IF((J$3&gt;0),(1000*('Data Entry'!I7/'Data Entry'!I$6)), 0)</f>
        <v>0</v>
      </c>
      <c r="K4" s="1">
        <f>IF((K$3&gt;0),(1000*('Data Entry'!J7/'Data Entry'!J$6)), 0)</f>
        <v>6.0606060606060606</v>
      </c>
    </row>
    <row r="5" spans="2:11" ht="15" customHeight="1" x14ac:dyDescent="0.25">
      <c r="B5" s="16" t="s">
        <v>9</v>
      </c>
      <c r="C5" s="1">
        <f>IF((C$3&gt;0),(1000*('Data Entry'!B8/'Data Entry'!B$6)), 0)</f>
        <v>16.720696126940794</v>
      </c>
      <c r="D5" s="1">
        <f>IF((D$3&gt;0),(1000*('Data Entry'!C8/'Data Entry'!C$6)), 0)</f>
        <v>12.497596616035379</v>
      </c>
      <c r="E5" s="1">
        <f>IF((E$3&gt;0),(1000*('Data Entry'!D8/'Data Entry'!D$6)), 0)</f>
        <v>10.526315789473683</v>
      </c>
      <c r="F5" s="1">
        <f>IF((F$3&gt;0),(1000*('Data Entry'!E8/'Data Entry'!E$6)), 0)</f>
        <v>8.0321285140562235</v>
      </c>
      <c r="G5" s="1">
        <f>IF((G$3&gt;0),(1000*('Data Entry'!F8/'Data Entry'!F$6)), 0)</f>
        <v>0</v>
      </c>
      <c r="H5" s="1">
        <f>IF((H$3&gt;0),(1000*('Data Entry'!G8/'Data Entry'!G$6)), 0)</f>
        <v>0</v>
      </c>
      <c r="I5" s="1">
        <f>IF((I$3&gt;0),(1000*('Data Entry'!H8/'Data Entry'!H$6)), 0)</f>
        <v>0</v>
      </c>
      <c r="J5" s="1">
        <f>IF((J$3&gt;0),(1000*('Data Entry'!I8/'Data Entry'!I$6)), 0)</f>
        <v>0</v>
      </c>
      <c r="K5" s="1">
        <f>IF((K$3&gt;0),(1000*('Data Entry'!J8/'Data Entry'!J$6)), 0)</f>
        <v>50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1.5355741341068077</v>
      </c>
      <c r="D7" s="1">
        <f>IF((D$3&gt;0),(1000*('Data Entry'!C10/'Data Entry'!C$6)), 0)</f>
        <v>1.3458950201884252</v>
      </c>
      <c r="E7" s="1">
        <f>IF((E$3&gt;0),(1000*('Data Entry'!D10/'Data Entry'!D$6)), 0)</f>
        <v>0</v>
      </c>
      <c r="F7" s="1">
        <f>IF((F$3&gt;0),(1000*('Data Entry'!E10/'Data Entry'!E$6)), 0)</f>
        <v>2.0080321285140559</v>
      </c>
      <c r="G7" s="1">
        <f>IF((G$3&gt;0),(1000*('Data Entry'!F10/'Data Entry'!F$6)), 0)</f>
        <v>0</v>
      </c>
      <c r="H7" s="1">
        <f>IF((H$3&gt;0),(1000*('Data Entry'!G10/'Data Entry'!G$6)), 0)</f>
        <v>0</v>
      </c>
      <c r="I7" s="1">
        <f>IF((I$3&gt;0),(1000*('Data Entry'!H10/'Data Entry'!H$6)), 0)</f>
        <v>0</v>
      </c>
      <c r="J7" s="1">
        <f>IF((J$3&gt;0),(1000*('Data Entry'!I10/'Data Entry'!I$6)), 0)</f>
        <v>0</v>
      </c>
      <c r="K7" s="1">
        <f>IF((K$3&gt;0),(1000*('Data Entry'!J10/'Data Entry'!J$6)), 0)</f>
        <v>3.0303030303030303</v>
      </c>
    </row>
    <row r="8" spans="2:11" ht="15" customHeight="1" x14ac:dyDescent="0.25">
      <c r="B8" s="16" t="s">
        <v>95</v>
      </c>
      <c r="C8" s="1">
        <f>IF((C$3&gt;0),(1000*('Data Entry'!B11/'Data Entry'!B$6)), 0)</f>
        <v>4.6067224023204236</v>
      </c>
      <c r="D8" s="1">
        <f>IF((D$3&gt;0),(1000*('Data Entry'!C11/'Data Entry'!C$6)), 0)</f>
        <v>3.8454143433955008</v>
      </c>
      <c r="E8" s="1">
        <f>IF((E$3&gt;0),(1000*('Data Entry'!D11/'Data Entry'!D$6)), 0)</f>
        <v>0</v>
      </c>
      <c r="F8" s="1">
        <f>IF((F$3&gt;0),(1000*('Data Entry'!E11/'Data Entry'!E$6)), 0)</f>
        <v>2.0080321285140559</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10.606060606060607</v>
      </c>
    </row>
    <row r="9" spans="2:11" ht="15" customHeight="1" x14ac:dyDescent="0.25">
      <c r="B9" s="16" t="s">
        <v>13</v>
      </c>
      <c r="C9" s="1">
        <f>IF((C$3&gt;0),(1000*('Data Entry'!B12/'Data Entry'!B$6)), 0)</f>
        <v>3.9242450093840646</v>
      </c>
      <c r="D9" s="1">
        <f>IF((D$3&gt;0),(1000*('Data Entry'!C12/'Data Entry'!C$6)), 0)</f>
        <v>3.4608729090559511</v>
      </c>
      <c r="E9" s="1">
        <f>IF((E$3&gt;0),(1000*('Data Entry'!D12/'Data Entry'!D$6)), 0)</f>
        <v>0</v>
      </c>
      <c r="F9" s="1">
        <f>IF((F$3&gt;0),(1000*('Data Entry'!E12/'Data Entry'!E$6)), 0)</f>
        <v>2.0080321285140559</v>
      </c>
      <c r="G9" s="1">
        <f>IF((G$3&gt;0),(1000*('Data Entry'!F12/'Data Entry'!F$6)), 0)</f>
        <v>0</v>
      </c>
      <c r="H9" s="1">
        <f>IF((H$3&gt;0),(1000*('Data Entry'!G12/'Data Entry'!G$6)), 0)</f>
        <v>0</v>
      </c>
      <c r="I9" s="1">
        <f>IF((I$3&gt;0),(1000*('Data Entry'!H12/'Data Entry'!H$6)), 0)</f>
        <v>0</v>
      </c>
      <c r="J9" s="1">
        <f>IF((J$3&gt;0),(1000*('Data Entry'!I12/'Data Entry'!I$6)), 0)</f>
        <v>0</v>
      </c>
      <c r="K9" s="1">
        <f>IF((K$3&gt;0),(1000*('Data Entry'!J12/'Data Entry'!J$6)), 0)</f>
        <v>7.5757575757575761</v>
      </c>
    </row>
    <row r="10" spans="2:11" ht="15" customHeight="1" x14ac:dyDescent="0.25">
      <c r="B10" s="16" t="s">
        <v>14</v>
      </c>
      <c r="C10" s="1">
        <f>IF((C$3&gt;0),(1000*('Data Entry'!B13/'Data Entry'!B$6)), 0)</f>
        <v>3.2417676164477052</v>
      </c>
      <c r="D10" s="1">
        <f>IF((D$3&gt;0),(1000*('Data Entry'!C13/'Data Entry'!C$6)), 0)</f>
        <v>2.8840607575466257</v>
      </c>
      <c r="E10" s="1">
        <f>IF((E$3&gt;0),(1000*('Data Entry'!D13/'Data Entry'!D$6)), 0)</f>
        <v>0</v>
      </c>
      <c r="F10" s="1">
        <f>IF((F$3&gt;0),(1000*('Data Entry'!E13/'Data Entry'!E$6)), 0)</f>
        <v>2.0080321285140559</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6.0606060606060606</v>
      </c>
    </row>
    <row r="11" spans="2:11" ht="25.5" customHeight="1" x14ac:dyDescent="0.25">
      <c r="B11" s="16" t="s">
        <v>15</v>
      </c>
      <c r="C11" s="1">
        <f>IF((C$3&gt;0),(1000*('Data Entry'!B14/'Data Entry'!B$6)), 0)</f>
        <v>1.1943354376386282</v>
      </c>
      <c r="D11" s="1">
        <f>IF((D$3&gt;0),(1000*('Data Entry'!C14/'Data Entry'!C$6)), 0)</f>
        <v>0.76908286867910014</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4.545454545454545</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Ionia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2.380320366132723</v>
      </c>
      <c r="E19" s="72">
        <f t="shared" si="1"/>
        <v>1.3622315348349923</v>
      </c>
      <c r="F19" s="72" t="str">
        <f t="shared" si="1"/>
        <v>--</v>
      </c>
      <c r="G19" s="72" t="str">
        <f t="shared" si="1"/>
        <v>--</v>
      </c>
      <c r="H19" s="72" t="str">
        <f t="shared" si="1"/>
        <v>--</v>
      </c>
      <c r="I19" s="72" t="str">
        <f t="shared" si="1"/>
        <v>--</v>
      </c>
      <c r="J19" s="73">
        <f t="shared" si="1"/>
        <v>1.3704874835309619</v>
      </c>
    </row>
    <row r="20" spans="2:10" ht="15" customHeight="1" x14ac:dyDescent="0.25">
      <c r="B20" s="71" t="s">
        <v>9</v>
      </c>
      <c r="C20" s="72">
        <f t="shared" ref="C20:J27" si="2">IF(AND(($D5&gt;0),(D5&gt;0)), (D5/$D5),"--")</f>
        <v>1</v>
      </c>
      <c r="D20" s="72">
        <f t="shared" si="2"/>
        <v>0.84226720647773268</v>
      </c>
      <c r="E20" s="72">
        <f t="shared" si="2"/>
        <v>0.64269385233240639</v>
      </c>
      <c r="F20" s="72" t="str">
        <f t="shared" si="2"/>
        <v>--</v>
      </c>
      <c r="G20" s="72" t="str">
        <f t="shared" si="2"/>
        <v>--</v>
      </c>
      <c r="H20" s="72" t="str">
        <f t="shared" si="2"/>
        <v>--</v>
      </c>
      <c r="I20" s="72" t="str">
        <f t="shared" si="2"/>
        <v>--</v>
      </c>
      <c r="J20" s="73">
        <f t="shared" si="2"/>
        <v>4.0007692307692304</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f t="shared" si="2"/>
        <v>1.4919678714859437</v>
      </c>
      <c r="F22" s="72" t="str">
        <f t="shared" si="2"/>
        <v>--</v>
      </c>
      <c r="G22" s="72" t="str">
        <f t="shared" si="2"/>
        <v>--</v>
      </c>
      <c r="H22" s="72" t="str">
        <f t="shared" si="2"/>
        <v>--</v>
      </c>
      <c r="I22" s="72" t="str">
        <f t="shared" si="2"/>
        <v>--</v>
      </c>
      <c r="J22" s="73">
        <f t="shared" si="2"/>
        <v>2.2515151515151515</v>
      </c>
    </row>
    <row r="23" spans="2:10" ht="15" customHeight="1" x14ac:dyDescent="0.25">
      <c r="B23" s="71" t="s">
        <v>95</v>
      </c>
      <c r="C23" s="72">
        <f t="shared" si="2"/>
        <v>1</v>
      </c>
      <c r="D23" s="72" t="str">
        <f t="shared" si="2"/>
        <v>--</v>
      </c>
      <c r="E23" s="72">
        <f t="shared" si="2"/>
        <v>0.52218875502008022</v>
      </c>
      <c r="F23" s="72" t="str">
        <f t="shared" si="2"/>
        <v>--</v>
      </c>
      <c r="G23" s="72" t="str">
        <f t="shared" si="2"/>
        <v>--</v>
      </c>
      <c r="H23" s="72" t="str">
        <f t="shared" si="2"/>
        <v>--</v>
      </c>
      <c r="I23" s="72" t="str">
        <f t="shared" si="2"/>
        <v>--</v>
      </c>
      <c r="J23" s="73">
        <f t="shared" si="2"/>
        <v>2.7581060606060608</v>
      </c>
    </row>
    <row r="24" spans="2:10" ht="15" customHeight="1" x14ac:dyDescent="0.25">
      <c r="B24" s="71" t="s">
        <v>13</v>
      </c>
      <c r="C24" s="72">
        <f t="shared" si="2"/>
        <v>1</v>
      </c>
      <c r="D24" s="72" t="str">
        <f t="shared" si="2"/>
        <v>--</v>
      </c>
      <c r="E24" s="72">
        <f t="shared" si="2"/>
        <v>0.58020972780008906</v>
      </c>
      <c r="F24" s="72" t="str">
        <f t="shared" si="2"/>
        <v>--</v>
      </c>
      <c r="G24" s="72" t="str">
        <f t="shared" si="2"/>
        <v>--</v>
      </c>
      <c r="H24" s="72" t="str">
        <f t="shared" si="2"/>
        <v>--</v>
      </c>
      <c r="I24" s="72" t="str">
        <f t="shared" si="2"/>
        <v>--</v>
      </c>
      <c r="J24" s="73">
        <f t="shared" si="2"/>
        <v>2.188973063973064</v>
      </c>
    </row>
    <row r="25" spans="2:10" ht="15" customHeight="1" x14ac:dyDescent="0.25">
      <c r="B25" s="71" t="s">
        <v>14</v>
      </c>
      <c r="C25" s="72">
        <f t="shared" si="2"/>
        <v>1</v>
      </c>
      <c r="D25" s="72" t="str">
        <f t="shared" si="2"/>
        <v>--</v>
      </c>
      <c r="E25" s="72">
        <f t="shared" si="2"/>
        <v>0.69625167336010696</v>
      </c>
      <c r="F25" s="72" t="str">
        <f t="shared" si="2"/>
        <v>--</v>
      </c>
      <c r="G25" s="72" t="str">
        <f t="shared" si="2"/>
        <v>--</v>
      </c>
      <c r="H25" s="72" t="str">
        <f t="shared" si="2"/>
        <v>--</v>
      </c>
      <c r="I25" s="72" t="str">
        <f t="shared" si="2"/>
        <v>--</v>
      </c>
      <c r="J25" s="73">
        <f t="shared" si="2"/>
        <v>2.1014141414141414</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f t="shared" si="2"/>
        <v>5.9102272727272727</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Ionia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5201</v>
      </c>
      <c r="D7" s="105">
        <f>'Data Entry'!D6</f>
        <v>95</v>
      </c>
      <c r="E7" s="106"/>
      <c r="F7" s="107">
        <f>'Data Entry'!E6</f>
        <v>498</v>
      </c>
      <c r="G7" s="106"/>
      <c r="H7" s="107">
        <f>'Data Entry'!F6</f>
        <v>38</v>
      </c>
      <c r="I7" s="106"/>
      <c r="J7" s="107">
        <f>'Data Entry'!G6</f>
        <v>0</v>
      </c>
      <c r="K7" s="106"/>
      <c r="L7" s="107">
        <f>'Data Entry'!H6</f>
        <v>29</v>
      </c>
      <c r="M7" s="106"/>
      <c r="N7" s="107">
        <f>'Data Entry'!I6</f>
        <v>0</v>
      </c>
      <c r="O7" s="106"/>
      <c r="P7" s="107">
        <f>'Data Entry'!J6</f>
        <v>660</v>
      </c>
      <c r="Q7" s="108"/>
    </row>
    <row r="8" spans="2:26" s="1" customFormat="1" ht="15" customHeight="1" x14ac:dyDescent="0.3">
      <c r="B8" s="149" t="s">
        <v>8</v>
      </c>
      <c r="C8" s="104">
        <f>'Data Entry'!C7</f>
        <v>23</v>
      </c>
      <c r="D8" s="105">
        <f>'Data Entry'!D7</f>
        <v>1</v>
      </c>
      <c r="E8" s="106" t="str">
        <f>'Black or African-American'!$G7</f>
        <v>**</v>
      </c>
      <c r="F8" s="107">
        <f>'Data Entry'!E7</f>
        <v>3</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4</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x14ac:dyDescent="0.3">
      <c r="B9" s="149" t="s">
        <v>134</v>
      </c>
      <c r="C9" s="104">
        <f>'Data Entry'!C8</f>
        <v>65</v>
      </c>
      <c r="D9" s="109">
        <f>'Data Entry'!D8</f>
        <v>1</v>
      </c>
      <c r="E9" s="110" t="str">
        <f>'Black or African-American'!$G8</f>
        <v>**</v>
      </c>
      <c r="F9" s="111">
        <f>'Data Entry'!E8</f>
        <v>4</v>
      </c>
      <c r="G9" s="110" t="str">
        <f>Hispanic!G8</f>
        <v>**</v>
      </c>
      <c r="H9" s="111">
        <f>'Data Entry'!F8</f>
        <v>0</v>
      </c>
      <c r="I9" s="110" t="str">
        <f>Asian!G8</f>
        <v>*</v>
      </c>
      <c r="J9" s="111">
        <f>'Data Entry'!G8</f>
        <v>0</v>
      </c>
      <c r="K9" s="110" t="str">
        <f>Hawaiian!G8</f>
        <v>*</v>
      </c>
      <c r="L9" s="111">
        <f>'Data Entry'!H8</f>
        <v>0</v>
      </c>
      <c r="M9" s="110" t="str">
        <f>'Am Indian'!G8</f>
        <v>*</v>
      </c>
      <c r="N9" s="111">
        <f>'Data Entry'!I8</f>
        <v>28</v>
      </c>
      <c r="O9" s="110" t="str">
        <f>'Other - Mixed'!G8</f>
        <v>*</v>
      </c>
      <c r="P9" s="111">
        <f>'Data Entry'!J8</f>
        <v>33</v>
      </c>
      <c r="Q9" s="112" t="str">
        <f>'All Minorities'!G8</f>
        <v>**</v>
      </c>
      <c r="R9"/>
      <c r="T9" s="1">
        <f>'Black or African-American'!L8</f>
        <v>40</v>
      </c>
      <c r="U9" s="1">
        <f>Hispanic!L8</f>
        <v>40</v>
      </c>
      <c r="V9" s="1">
        <f>Asian!L8</f>
        <v>139</v>
      </c>
      <c r="W9" s="1">
        <f>Hawaiian!L8</f>
        <v>139</v>
      </c>
      <c r="X9" s="1">
        <f>'Am Indian'!L8</f>
        <v>139</v>
      </c>
      <c r="Y9" s="1">
        <f>'Other - Mixed'!L8</f>
        <v>119</v>
      </c>
      <c r="Z9" s="1">
        <f>'All Minorities'!L8</f>
        <v>20</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7</v>
      </c>
      <c r="D11" s="109">
        <f>'Data Entry'!D10</f>
        <v>0</v>
      </c>
      <c r="E11" s="110" t="str">
        <f>'Black or African-American'!$G10</f>
        <v>**</v>
      </c>
      <c r="F11" s="111">
        <f>'Data Entry'!E10</f>
        <v>1</v>
      </c>
      <c r="G11" s="110" t="str">
        <f>Hispanic!G10</f>
        <v>**</v>
      </c>
      <c r="H11" s="111">
        <f>'Data Entry'!F10</f>
        <v>0</v>
      </c>
      <c r="I11" s="110" t="str">
        <f>Asian!G10</f>
        <v>*</v>
      </c>
      <c r="J11" s="111">
        <f>'Data Entry'!G10</f>
        <v>0</v>
      </c>
      <c r="K11" s="110" t="str">
        <f>Hawaiian!G10</f>
        <v>*</v>
      </c>
      <c r="L11" s="111">
        <f>'Data Entry'!H10</f>
        <v>0</v>
      </c>
      <c r="M11" s="110" t="str">
        <f>'Am Indian'!G10</f>
        <v>*</v>
      </c>
      <c r="N11" s="111">
        <f>'Data Entry'!I10</f>
        <v>1</v>
      </c>
      <c r="O11" s="110" t="str">
        <f>'Other - Mixed'!G10</f>
        <v>*</v>
      </c>
      <c r="P11" s="111">
        <f>'Data Entry'!J10</f>
        <v>2</v>
      </c>
      <c r="Q11" s="112"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x14ac:dyDescent="0.3">
      <c r="B12" s="149" t="s">
        <v>95</v>
      </c>
      <c r="C12" s="104">
        <f>'Data Entry'!C11</f>
        <v>20</v>
      </c>
      <c r="D12" s="113">
        <f>'Data Entry'!D11</f>
        <v>0</v>
      </c>
      <c r="E12" s="114" t="str">
        <f>'Black or African-American'!$G11</f>
        <v>**</v>
      </c>
      <c r="F12" s="115">
        <f>'Data Entry'!E11</f>
        <v>1</v>
      </c>
      <c r="G12" s="114" t="str">
        <f>Hispanic!G11</f>
        <v>**</v>
      </c>
      <c r="H12" s="115">
        <f>'Data Entry'!F11</f>
        <v>0</v>
      </c>
      <c r="I12" s="114" t="str">
        <f>Asian!G11</f>
        <v>*</v>
      </c>
      <c r="J12" s="115">
        <f>'Data Entry'!G11</f>
        <v>0</v>
      </c>
      <c r="K12" s="114" t="str">
        <f>Hawaiian!G11</f>
        <v>*</v>
      </c>
      <c r="L12" s="115">
        <f>'Data Entry'!H11</f>
        <v>0</v>
      </c>
      <c r="M12" s="114" t="str">
        <f>'Am Indian'!G11</f>
        <v>*</v>
      </c>
      <c r="N12" s="115">
        <f>'Data Entry'!I11</f>
        <v>6</v>
      </c>
      <c r="O12" s="114" t="str">
        <f>'Other - Mixed'!G11</f>
        <v>*</v>
      </c>
      <c r="P12" s="115">
        <f>'Data Entry'!J11</f>
        <v>7</v>
      </c>
      <c r="Q12" s="116">
        <f>'All Minorities'!G11</f>
        <v>0.68939393939393945</v>
      </c>
      <c r="R12"/>
      <c r="T12" s="1">
        <f>'Black or African-American'!L11</f>
        <v>40</v>
      </c>
      <c r="U12" s="1">
        <f>Hispanic!L11</f>
        <v>40</v>
      </c>
      <c r="V12" s="1" t="e">
        <f>Asian!L11</f>
        <v>#VALUE!</v>
      </c>
      <c r="W12" s="1" t="e">
        <f>Hawaiian!L11</f>
        <v>#VALUE!</v>
      </c>
      <c r="X12" s="1" t="e">
        <f>'Am Indian'!L11</f>
        <v>#VALUE!</v>
      </c>
      <c r="Y12" s="1">
        <f>'Other - Mixed'!L11</f>
        <v>139</v>
      </c>
      <c r="Z12" s="1">
        <f>'All Minorities'!L11</f>
        <v>2</v>
      </c>
    </row>
    <row r="13" spans="2:26" s="1" customFormat="1" ht="15" customHeight="1" x14ac:dyDescent="0.3">
      <c r="B13" s="149" t="s">
        <v>13</v>
      </c>
      <c r="C13" s="104">
        <f>'Data Entry'!C12</f>
        <v>18</v>
      </c>
      <c r="D13" s="109">
        <f>'Data Entry'!D12</f>
        <v>0</v>
      </c>
      <c r="E13" s="110" t="str">
        <f>'Black or African-American'!$G12</f>
        <v>--</v>
      </c>
      <c r="F13" s="111">
        <f>'Data Entry'!E12</f>
        <v>1</v>
      </c>
      <c r="G13" s="110" t="str">
        <f>Hispanic!G12</f>
        <v>**</v>
      </c>
      <c r="H13" s="111">
        <f>'Data Entry'!F12</f>
        <v>0</v>
      </c>
      <c r="I13" s="110" t="str">
        <f>Asian!G12</f>
        <v>*</v>
      </c>
      <c r="J13" s="111">
        <f>'Data Entry'!G12</f>
        <v>0</v>
      </c>
      <c r="K13" s="110" t="str">
        <f>Hawaiian!G12</f>
        <v>*</v>
      </c>
      <c r="L13" s="111">
        <f>'Data Entry'!H12</f>
        <v>0</v>
      </c>
      <c r="M13" s="110" t="str">
        <f>'Am Indian'!G12</f>
        <v>*</v>
      </c>
      <c r="N13" s="111">
        <f>'Data Entry'!I12</f>
        <v>4</v>
      </c>
      <c r="O13" s="110" t="str">
        <f>'Other - Mixed'!G12</f>
        <v>*</v>
      </c>
      <c r="P13" s="111">
        <f>'Data Entry'!J12</f>
        <v>5</v>
      </c>
      <c r="Q13" s="112" t="str">
        <f>'All Minorities'!G12</f>
        <v>**</v>
      </c>
      <c r="R13"/>
      <c r="T13" s="1" t="e">
        <f>'Black or African-American'!L12</f>
        <v>#VALUE!</v>
      </c>
      <c r="U13" s="1">
        <f>Hispanic!L12</f>
        <v>40</v>
      </c>
      <c r="V13" s="1" t="e">
        <f>Asian!L12</f>
        <v>#VALUE!</v>
      </c>
      <c r="W13" s="1" t="e">
        <f>Hawaiian!L12</f>
        <v>#VALUE!</v>
      </c>
      <c r="X13" s="1" t="e">
        <f>'Am Indian'!L12</f>
        <v>#VALUE!</v>
      </c>
      <c r="Y13" s="1">
        <f>'Other - Mixed'!L12</f>
        <v>139</v>
      </c>
      <c r="Z13" s="1">
        <f>'All Minorities'!L12</f>
        <v>40</v>
      </c>
    </row>
    <row r="14" spans="2:26" s="1" customFormat="1" ht="15" customHeight="1" x14ac:dyDescent="0.3">
      <c r="B14" s="149" t="s">
        <v>133</v>
      </c>
      <c r="C14" s="104">
        <f>'Data Entry'!C13</f>
        <v>15</v>
      </c>
      <c r="D14" s="113">
        <f>'Data Entry'!D13</f>
        <v>0</v>
      </c>
      <c r="E14" s="114" t="str">
        <f>'Black or African-American'!$G13</f>
        <v>--</v>
      </c>
      <c r="F14" s="115">
        <f>'Data Entry'!E13</f>
        <v>1</v>
      </c>
      <c r="G14" s="114" t="str">
        <f>Hispanic!G13</f>
        <v>**</v>
      </c>
      <c r="H14" s="115">
        <f>'Data Entry'!F13</f>
        <v>0</v>
      </c>
      <c r="I14" s="114" t="str">
        <f>Asian!G13</f>
        <v>*</v>
      </c>
      <c r="J14" s="115">
        <f>'Data Entry'!G13</f>
        <v>0</v>
      </c>
      <c r="K14" s="114" t="str">
        <f>Hawaiian!G13</f>
        <v>*</v>
      </c>
      <c r="L14" s="115">
        <f>'Data Entry'!H13</f>
        <v>0</v>
      </c>
      <c r="M14" s="114" t="str">
        <f>'Am Indian'!G13</f>
        <v>*</v>
      </c>
      <c r="N14" s="115">
        <f>'Data Entry'!I13</f>
        <v>3</v>
      </c>
      <c r="O14" s="114" t="str">
        <f>'Other - Mixed'!G13</f>
        <v>*</v>
      </c>
      <c r="P14" s="115">
        <f>'Data Entry'!J13</f>
        <v>4</v>
      </c>
      <c r="Q14" s="116" t="str">
        <f>'All Minorities'!G13</f>
        <v>**</v>
      </c>
      <c r="R14"/>
      <c r="T14" s="1" t="e">
        <f>'Black or African-American'!L13</f>
        <v>#VALUE!</v>
      </c>
      <c r="U14" s="1">
        <f>Hispanic!L13</f>
        <v>40</v>
      </c>
      <c r="V14" s="1" t="e">
        <f>Asian!L13</f>
        <v>#VALUE!</v>
      </c>
      <c r="W14" s="1" t="e">
        <f>Hawaiian!L13</f>
        <v>#VALUE!</v>
      </c>
      <c r="X14" s="1" t="e">
        <f>'Am Indian'!L13</f>
        <v>#VALUE!</v>
      </c>
      <c r="Y14" s="1">
        <f>'Other - Mixed'!L13</f>
        <v>139</v>
      </c>
      <c r="Z14" s="1">
        <f>'All Minorities'!L13</f>
        <v>40</v>
      </c>
    </row>
    <row r="15" spans="2:26" s="1" customFormat="1" ht="33" x14ac:dyDescent="0.3">
      <c r="B15" s="151" t="s">
        <v>123</v>
      </c>
      <c r="C15" s="104">
        <f>'Data Entry'!C14</f>
        <v>4</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3</v>
      </c>
      <c r="O15" s="110" t="str">
        <f>'Other - Mixed'!G14</f>
        <v>*</v>
      </c>
      <c r="P15" s="111">
        <f>'Data Entry'!J14</f>
        <v>3</v>
      </c>
      <c r="Q15" s="112" t="str">
        <f>'All Minorities'!G14</f>
        <v>**</v>
      </c>
      <c r="R15"/>
      <c r="T15" s="1" t="e">
        <f>'Black or African-American'!L14</f>
        <v>#VALUE!</v>
      </c>
      <c r="U15" s="1">
        <f>Hispanic!L14</f>
        <v>40</v>
      </c>
      <c r="V15" s="1" t="e">
        <f>Asian!L14</f>
        <v>#VALUE!</v>
      </c>
      <c r="W15" s="1" t="e">
        <f>Hawaiian!L14</f>
        <v>#VALUE!</v>
      </c>
      <c r="X15" s="1" t="e">
        <f>'Am Indian'!L14</f>
        <v>#VALUE!</v>
      </c>
      <c r="Y15" s="1">
        <f>'Other - Mixed'!L14</f>
        <v>119</v>
      </c>
      <c r="Z15" s="1">
        <f>'All Minorities'!L14</f>
        <v>40</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Ionia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Ionia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7.8803030303030308</v>
      </c>
    </row>
    <row r="8" spans="1:12" ht="25.5" customHeight="1" x14ac:dyDescent="0.2">
      <c r="A8" s="158" t="str">
        <f>CONCATENATE("Confinement, total N=", 'Data Entry'!B14)</f>
        <v>Confinement, total N=7</v>
      </c>
      <c r="B8" s="157">
        <f>'Data Entry'!D14/'Data Entry'!B14</f>
        <v>0</v>
      </c>
      <c r="C8" s="157">
        <f>'Data Entry'!E14/'Data Entry'!B14</f>
        <v>0</v>
      </c>
      <c r="D8" s="157">
        <f>'Data Entry'!F14/'Data Entry'!B14</f>
        <v>0</v>
      </c>
      <c r="E8" s="157">
        <f>'Data Entry'!G14/'Data Entry'!B14</f>
        <v>0</v>
      </c>
      <c r="F8" s="157">
        <f>'Data Entry'!H14/'Data Entry'!B14</f>
        <v>0</v>
      </c>
      <c r="G8" s="157">
        <f>'Data Entry'!I14/'Data Entry'!B14</f>
        <v>0.42857142857142855</v>
      </c>
      <c r="H8" s="157">
        <f>SUM(D8:G8)/'Data Entry'!B14</f>
        <v>6.1224489795918366E-2</v>
      </c>
      <c r="I8" s="157">
        <f>'Data Entry'!C14/'Data Entry'!B14</f>
        <v>0.5714285714285714</v>
      </c>
      <c r="K8" s="97" t="str">
        <f>A8</f>
        <v>Confinement, total N=7</v>
      </c>
      <c r="L8">
        <f>I14/(SUM(B14:G14))</f>
        <v>7.8803030303030308</v>
      </c>
    </row>
    <row r="9" spans="1:12" x14ac:dyDescent="0.2">
      <c r="A9" s="132" t="str">
        <f>CONCATENATE("Delinquent Findings, total N=", 'Data Entry'!B12)</f>
        <v>Delinquent Findings, total N=23</v>
      </c>
      <c r="B9" s="157">
        <f>'Data Entry'!D12/'Data Entry'!B12</f>
        <v>0</v>
      </c>
      <c r="C9" s="157">
        <f>'Data Entry'!E12/'Data Entry'!B12</f>
        <v>4.3478260869565216E-2</v>
      </c>
      <c r="D9" s="157">
        <f>'Data Entry'!F12/'Data Entry'!B12</f>
        <v>0</v>
      </c>
      <c r="E9" s="157">
        <f>'Data Entry'!G12/'Data Entry'!B12</f>
        <v>0</v>
      </c>
      <c r="F9" s="157">
        <f>'Data Entry'!H12/'Data Entry'!B12</f>
        <v>0</v>
      </c>
      <c r="G9" s="157">
        <f>'Data Entry'!I12/'Data Entry'!B12</f>
        <v>0.17391304347826086</v>
      </c>
      <c r="H9" s="157">
        <f>SUM(D9:G9)/'Data Entry'!B12</f>
        <v>7.5614366729678641E-3</v>
      </c>
      <c r="I9" s="157">
        <f>'Data Entry'!C12/'Data Entry'!B12</f>
        <v>0.78260869565217395</v>
      </c>
      <c r="K9" s="97" t="str">
        <f t="shared" si="0"/>
        <v>Delinquent Findings, total N=23</v>
      </c>
      <c r="L9">
        <f>I14/(SUM(B14:G14))</f>
        <v>7.8803030303030308</v>
      </c>
    </row>
    <row r="10" spans="1:12" x14ac:dyDescent="0.2">
      <c r="A10" s="132" t="str">
        <f>CONCATENATE("Petitions, total N=", 'Data Entry'!B11)</f>
        <v>Petitions, total N=27</v>
      </c>
      <c r="B10" s="157">
        <f>'Data Entry'!D11/'Data Entry'!B11</f>
        <v>0</v>
      </c>
      <c r="C10" s="157">
        <f>'Data Entry'!E11/'Data Entry'!B11</f>
        <v>3.7037037037037035E-2</v>
      </c>
      <c r="D10" s="157">
        <f>'Data Entry'!F11/'Data Entry'!B11</f>
        <v>0</v>
      </c>
      <c r="E10" s="157">
        <f>'Data Entry'!G11/'Data Entry'!B11</f>
        <v>0</v>
      </c>
      <c r="F10" s="157">
        <f>'Data Entry'!H11/'Data Entry'!B11</f>
        <v>0</v>
      </c>
      <c r="G10" s="157">
        <f>'Data Entry'!I11/'Data Entry'!B11</f>
        <v>0.22222222222222221</v>
      </c>
      <c r="H10" s="157">
        <f>SUM(D10:G10)/'Data Entry'!B11</f>
        <v>8.2304526748971183E-3</v>
      </c>
      <c r="I10" s="157">
        <f>'Data Entry'!C11/'Data Entry'!B11</f>
        <v>0.7407407407407407</v>
      </c>
      <c r="K10" s="97" t="str">
        <f t="shared" si="0"/>
        <v>Petitions, total N=27</v>
      </c>
      <c r="L10">
        <f>I14/(SUM(B14:G14))</f>
        <v>7.8803030303030308</v>
      </c>
    </row>
    <row r="11" spans="1:12" x14ac:dyDescent="0.2">
      <c r="A11" s="132" t="str">
        <f>CONCATENATE("Detentions, total N=", 'Data Entry'!B10)</f>
        <v>Detentions, total N=9</v>
      </c>
      <c r="B11" s="157">
        <f>'Data Entry'!D10/'Data Entry'!B10</f>
        <v>0</v>
      </c>
      <c r="C11" s="157">
        <f>'Data Entry'!E10/'Data Entry'!B10</f>
        <v>0.1111111111111111</v>
      </c>
      <c r="D11" s="157">
        <f>'Data Entry'!F10/'Data Entry'!B10</f>
        <v>0</v>
      </c>
      <c r="E11" s="157">
        <f>'Data Entry'!G10/'Data Entry'!B10</f>
        <v>0</v>
      </c>
      <c r="F11" s="157">
        <f>'Data Entry'!H10/'Data Entry'!B10</f>
        <v>0</v>
      </c>
      <c r="G11" s="157">
        <f>'Data Entry'!I10/'Data Entry'!B10</f>
        <v>0.1111111111111111</v>
      </c>
      <c r="H11" s="157">
        <f>SUM(D11:G11)/'Data Entry'!B10</f>
        <v>1.2345679012345678E-2</v>
      </c>
      <c r="I11" s="157">
        <f>'Data Entry'!C10/'Data Entry'!B10</f>
        <v>0.77777777777777779</v>
      </c>
      <c r="K11" s="97" t="str">
        <f t="shared" si="0"/>
        <v>Detentions, total N=9</v>
      </c>
      <c r="L11">
        <f>I14/(SUM(B14:G14))</f>
        <v>7.8803030303030308</v>
      </c>
    </row>
    <row r="12" spans="1:12" x14ac:dyDescent="0.2">
      <c r="A12" s="132" t="str">
        <f>CONCATENATE("Referrals, total N=", 'Data Entry'!B8)</f>
        <v>Referrals, total N=98</v>
      </c>
      <c r="B12" s="157">
        <f>'Data Entry'!D8/'Data Entry'!B8</f>
        <v>1.020408163265306E-2</v>
      </c>
      <c r="C12" s="157">
        <f>'Data Entry'!E8/'Data Entry'!B8</f>
        <v>4.0816326530612242E-2</v>
      </c>
      <c r="D12" s="157">
        <f>'Data Entry'!F8/'Data Entry'!B8</f>
        <v>0</v>
      </c>
      <c r="E12" s="157">
        <f>'Data Entry'!G8/'Data Entry'!B8</f>
        <v>0</v>
      </c>
      <c r="F12" s="157">
        <f>'Data Entry'!H8/'Data Entry'!B8</f>
        <v>0</v>
      </c>
      <c r="G12" s="157">
        <f>'Data Entry'!I8/'Data Entry'!B8</f>
        <v>0.2857142857142857</v>
      </c>
      <c r="H12" s="157">
        <f>SUM(D12:G12)/'Data Entry'!B8</f>
        <v>2.9154518950437317E-3</v>
      </c>
      <c r="I12" s="157">
        <f>'Data Entry'!C8/'Data Entry'!B8</f>
        <v>0.66326530612244894</v>
      </c>
      <c r="K12" s="97" t="str">
        <f t="shared" si="0"/>
        <v>Referrals, total N=98</v>
      </c>
      <c r="L12">
        <f>I14/(SUM(B14:G14))</f>
        <v>7.8803030303030308</v>
      </c>
    </row>
    <row r="13" spans="1:12" x14ac:dyDescent="0.2">
      <c r="A13" s="132" t="str">
        <f>CONCATENATE("Arrests, total N=", 'Data Entry'!B7)</f>
        <v>Arrests, total N=27</v>
      </c>
      <c r="B13" s="157">
        <f>'Data Entry'!D7/'Data Entry'!B7</f>
        <v>3.7037037037037035E-2</v>
      </c>
      <c r="C13" s="157">
        <f>'Data Entry'!E7/'Data Entry'!B7</f>
        <v>0.1111111111111111</v>
      </c>
      <c r="D13" s="157">
        <f>'Data Entry'!F7/'Data Entry'!B7</f>
        <v>0</v>
      </c>
      <c r="E13" s="157">
        <f>'Data Entry'!G7/'Data Entry'!B7</f>
        <v>0</v>
      </c>
      <c r="F13" s="157">
        <f>'Data Entry'!H7/'Data Entry'!B7</f>
        <v>0</v>
      </c>
      <c r="G13" s="157">
        <f>'Data Entry'!I7/'Data Entry'!B7</f>
        <v>0</v>
      </c>
      <c r="H13" s="157">
        <f>SUM(D13:G13)/'Data Entry'!B7</f>
        <v>0</v>
      </c>
      <c r="I13" s="157">
        <f>'Data Entry'!C7/'Data Entry'!B7</f>
        <v>0.85185185185185186</v>
      </c>
      <c r="K13" s="97" t="str">
        <f t="shared" si="0"/>
        <v>Arrests, total N=27</v>
      </c>
      <c r="L13">
        <f>I14/(SUM(B14:G14))</f>
        <v>7.8803030303030308</v>
      </c>
    </row>
    <row r="14" spans="1:12" x14ac:dyDescent="0.2">
      <c r="A14" s="132" t="str">
        <f>CONCATENATE("Population, total N=", 'Data Entry'!B6)</f>
        <v>Population, total N=5861</v>
      </c>
      <c r="B14" s="157">
        <f>'Data Entry'!D6/'Data Entry'!B6</f>
        <v>1.6208838082238525E-2</v>
      </c>
      <c r="C14" s="157">
        <f>'Data Entry'!E6/'Data Entry'!B6</f>
        <v>8.4968435420576693E-2</v>
      </c>
      <c r="D14" s="157">
        <f>'Data Entry'!F6/'Data Entry'!B6</f>
        <v>6.4835352328954108E-3</v>
      </c>
      <c r="E14" s="157">
        <f>'Data Entry'!G6/'Data Entry'!B6</f>
        <v>0</v>
      </c>
      <c r="F14" s="157">
        <f>'Data Entry'!H6/'Data Entry'!B6</f>
        <v>4.947961098788603E-3</v>
      </c>
      <c r="G14" s="157">
        <f>'Data Entry'!I6/'Data Entry'!B6</f>
        <v>0</v>
      </c>
      <c r="H14" s="157">
        <f>SUM(D14:G14)/'Data Entry'!B6</f>
        <v>1.9504344534523143E-6</v>
      </c>
      <c r="I14" s="157">
        <f>'Data Entry'!C6/'Data Entry'!B6</f>
        <v>0.88739123016550081</v>
      </c>
      <c r="K14" s="97" t="str">
        <f t="shared" si="0"/>
        <v>Population, total N=5861</v>
      </c>
      <c r="L14">
        <f>I14/(SUM(B14:G14))</f>
        <v>7.8803030303030308</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Ionia</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5201</v>
      </c>
      <c r="D7" s="105">
        <f>'Data Entry'!D6</f>
        <v>95</v>
      </c>
      <c r="E7" s="106"/>
      <c r="F7" s="107">
        <f>'Data Entry'!E6</f>
        <v>498</v>
      </c>
      <c r="G7" s="106"/>
      <c r="H7" s="107">
        <f>'Data Entry'!F6</f>
        <v>38</v>
      </c>
      <c r="I7" s="106"/>
      <c r="J7" s="107">
        <f>'Data Entry'!J6</f>
        <v>660</v>
      </c>
      <c r="K7" s="108"/>
    </row>
    <row r="8" spans="2:30" s="1" customFormat="1" ht="15" customHeight="1" x14ac:dyDescent="0.3">
      <c r="B8" s="125" t="s">
        <v>8</v>
      </c>
      <c r="C8" s="104">
        <f>'Data Entry'!C7</f>
        <v>23</v>
      </c>
      <c r="D8" s="105">
        <f>'Data Entry'!D7</f>
        <v>1</v>
      </c>
      <c r="E8" s="106" t="str">
        <f>'Black or African-American'!$G7</f>
        <v>**</v>
      </c>
      <c r="F8" s="107">
        <f>'Data Entry'!E7</f>
        <v>3</v>
      </c>
      <c r="G8" s="106" t="str">
        <f>Hispanic!G7</f>
        <v>**</v>
      </c>
      <c r="H8" s="107">
        <f>'Data Entry'!F7</f>
        <v>0</v>
      </c>
      <c r="I8" s="106" t="str">
        <f>Asian!G7</f>
        <v>*</v>
      </c>
      <c r="J8" s="107">
        <f>'Data Entry'!J7</f>
        <v>4</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x14ac:dyDescent="0.3">
      <c r="B9" s="125" t="s">
        <v>134</v>
      </c>
      <c r="C9" s="104">
        <f>'Data Entry'!C8</f>
        <v>65</v>
      </c>
      <c r="D9" s="109">
        <f>'Data Entry'!D8</f>
        <v>1</v>
      </c>
      <c r="E9" s="110" t="str">
        <f>'Black or African-American'!$G8</f>
        <v>**</v>
      </c>
      <c r="F9" s="111">
        <f>'Data Entry'!E8</f>
        <v>4</v>
      </c>
      <c r="G9" s="110" t="str">
        <f>Hispanic!G8</f>
        <v>**</v>
      </c>
      <c r="H9" s="111">
        <f>'Data Entry'!F8</f>
        <v>0</v>
      </c>
      <c r="I9" s="110" t="str">
        <f>Asian!G8</f>
        <v>*</v>
      </c>
      <c r="J9" s="111">
        <f>'Data Entry'!J8</f>
        <v>33</v>
      </c>
      <c r="K9" s="112" t="str">
        <f>'All Minorities'!G8</f>
        <v>**</v>
      </c>
      <c r="L9"/>
      <c r="N9" s="1">
        <f>'Black or African-American'!L8</f>
        <v>40</v>
      </c>
      <c r="O9" s="1">
        <f>Hispanic!L8</f>
        <v>40</v>
      </c>
      <c r="P9" s="1">
        <f>Asian!L8</f>
        <v>139</v>
      </c>
      <c r="Q9" s="1">
        <f>Hawaiian!L8</f>
        <v>139</v>
      </c>
      <c r="R9" s="1">
        <f>'Am Indian'!L8</f>
        <v>139</v>
      </c>
      <c r="S9" s="1">
        <f>'Other - Mixed'!L8</f>
        <v>119</v>
      </c>
      <c r="T9" s="1">
        <f>'All Minorities'!L8</f>
        <v>20</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7</v>
      </c>
      <c r="D11" s="109">
        <f>'Data Entry'!D10</f>
        <v>0</v>
      </c>
      <c r="E11" s="110" t="str">
        <f>'Black or African-American'!$G10</f>
        <v>**</v>
      </c>
      <c r="F11" s="111">
        <f>'Data Entry'!E10</f>
        <v>1</v>
      </c>
      <c r="G11" s="110" t="str">
        <f>Hispanic!G10</f>
        <v>**</v>
      </c>
      <c r="H11" s="111">
        <f>'Data Entry'!F10</f>
        <v>0</v>
      </c>
      <c r="I11" s="110" t="str">
        <f>Asian!G10</f>
        <v>*</v>
      </c>
      <c r="J11" s="111">
        <f>'Data Entry'!J10</f>
        <v>2</v>
      </c>
      <c r="K11" s="112"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x14ac:dyDescent="0.3">
      <c r="B12" s="125" t="s">
        <v>95</v>
      </c>
      <c r="C12" s="104">
        <f>'Data Entry'!C11</f>
        <v>20</v>
      </c>
      <c r="D12" s="113">
        <f>'Data Entry'!D11</f>
        <v>0</v>
      </c>
      <c r="E12" s="114" t="str">
        <f>'Black or African-American'!$G11</f>
        <v>**</v>
      </c>
      <c r="F12" s="115">
        <f>'Data Entry'!E11</f>
        <v>1</v>
      </c>
      <c r="G12" s="114" t="str">
        <f>Hispanic!G11</f>
        <v>**</v>
      </c>
      <c r="H12" s="115">
        <f>'Data Entry'!F11</f>
        <v>0</v>
      </c>
      <c r="I12" s="114" t="str">
        <f>Asian!G11</f>
        <v>*</v>
      </c>
      <c r="J12" s="115">
        <f>'Data Entry'!J11</f>
        <v>7</v>
      </c>
      <c r="K12" s="116">
        <f>'All Minorities'!G11</f>
        <v>0.68939393939393945</v>
      </c>
      <c r="L12"/>
      <c r="N12" s="1">
        <f>'Black or African-American'!L11</f>
        <v>40</v>
      </c>
      <c r="O12" s="1">
        <f>Hispanic!L11</f>
        <v>40</v>
      </c>
      <c r="P12" s="1" t="e">
        <f>Asian!L11</f>
        <v>#VALUE!</v>
      </c>
      <c r="Q12" s="1" t="e">
        <f>Hawaiian!L11</f>
        <v>#VALUE!</v>
      </c>
      <c r="R12" s="1" t="e">
        <f>'Am Indian'!L11</f>
        <v>#VALUE!</v>
      </c>
      <c r="S12" s="1">
        <f>'Other - Mixed'!L11</f>
        <v>139</v>
      </c>
      <c r="T12" s="1">
        <f>'All Minorities'!L11</f>
        <v>2</v>
      </c>
    </row>
    <row r="13" spans="2:30" s="1" customFormat="1" ht="15" customHeight="1" x14ac:dyDescent="0.3">
      <c r="B13" s="125" t="s">
        <v>13</v>
      </c>
      <c r="C13" s="104">
        <f>'Data Entry'!C12</f>
        <v>18</v>
      </c>
      <c r="D13" s="109">
        <f>'Data Entry'!D12</f>
        <v>0</v>
      </c>
      <c r="E13" s="110" t="str">
        <f>'Black or African-American'!$G12</f>
        <v>--</v>
      </c>
      <c r="F13" s="111">
        <f>'Data Entry'!E12</f>
        <v>1</v>
      </c>
      <c r="G13" s="110" t="str">
        <f>Hispanic!G12</f>
        <v>**</v>
      </c>
      <c r="H13" s="111">
        <f>'Data Entry'!F12</f>
        <v>0</v>
      </c>
      <c r="I13" s="110" t="str">
        <f>Asian!G12</f>
        <v>*</v>
      </c>
      <c r="J13" s="111">
        <f>'Data Entry'!J12</f>
        <v>5</v>
      </c>
      <c r="K13" s="112" t="str">
        <f>'All Minorities'!G12</f>
        <v>**</v>
      </c>
      <c r="L13"/>
      <c r="N13" s="1" t="e">
        <f>'Black or African-American'!L12</f>
        <v>#VALUE!</v>
      </c>
      <c r="O13" s="1">
        <f>Hispanic!L12</f>
        <v>40</v>
      </c>
      <c r="P13" s="1" t="e">
        <f>Asian!L12</f>
        <v>#VALUE!</v>
      </c>
      <c r="Q13" s="1" t="e">
        <f>Hawaiian!L12</f>
        <v>#VALUE!</v>
      </c>
      <c r="R13" s="1" t="e">
        <f>'Am Indian'!L12</f>
        <v>#VALUE!</v>
      </c>
      <c r="S13" s="1">
        <f>'Other - Mixed'!L12</f>
        <v>139</v>
      </c>
      <c r="T13" s="1">
        <f>'All Minorities'!L12</f>
        <v>40</v>
      </c>
      <c r="W13" s="135"/>
      <c r="X13" s="135"/>
      <c r="Y13" s="135"/>
      <c r="Z13" s="135"/>
      <c r="AA13" s="135"/>
      <c r="AB13" s="135"/>
      <c r="AC13" s="135"/>
      <c r="AD13" s="135"/>
    </row>
    <row r="14" spans="2:30" s="1" customFormat="1" ht="15" customHeight="1" x14ac:dyDescent="0.3">
      <c r="B14" s="125" t="s">
        <v>14</v>
      </c>
      <c r="C14" s="104">
        <f>'Data Entry'!C13</f>
        <v>15</v>
      </c>
      <c r="D14" s="113">
        <f>'Data Entry'!D13</f>
        <v>0</v>
      </c>
      <c r="E14" s="114" t="str">
        <f>'Black or African-American'!$G13</f>
        <v>--</v>
      </c>
      <c r="F14" s="115">
        <f>'Data Entry'!E13</f>
        <v>1</v>
      </c>
      <c r="G14" s="114" t="str">
        <f>Hispanic!G13</f>
        <v>**</v>
      </c>
      <c r="H14" s="115">
        <f>'Data Entry'!F13</f>
        <v>0</v>
      </c>
      <c r="I14" s="114" t="str">
        <f>Asian!G13</f>
        <v>*</v>
      </c>
      <c r="J14" s="115">
        <f>'Data Entry'!J13</f>
        <v>4</v>
      </c>
      <c r="K14" s="116" t="str">
        <f>'All Minorities'!G13</f>
        <v>**</v>
      </c>
      <c r="L14"/>
      <c r="N14" s="1" t="e">
        <f>'Black or African-American'!L13</f>
        <v>#VALUE!</v>
      </c>
      <c r="O14" s="1">
        <f>Hispanic!L13</f>
        <v>40</v>
      </c>
      <c r="P14" s="1" t="e">
        <f>Asian!L13</f>
        <v>#VALUE!</v>
      </c>
      <c r="Q14" s="1" t="e">
        <f>Hawaiian!L13</f>
        <v>#VALUE!</v>
      </c>
      <c r="R14" s="1" t="e">
        <f>'Am Indian'!L13</f>
        <v>#VALUE!</v>
      </c>
      <c r="S14" s="1">
        <f>'Other - Mixed'!L13</f>
        <v>139</v>
      </c>
      <c r="T14" s="1">
        <f>'All Minorities'!L13</f>
        <v>40</v>
      </c>
      <c r="W14" s="135"/>
      <c r="X14" s="135"/>
      <c r="Y14" s="135"/>
      <c r="Z14" s="135"/>
      <c r="AA14" s="135"/>
      <c r="AB14" s="135"/>
      <c r="AC14" s="135"/>
      <c r="AD14" s="135"/>
    </row>
    <row r="15" spans="2:30" s="1" customFormat="1" ht="33" x14ac:dyDescent="0.3">
      <c r="B15" s="130" t="s">
        <v>123</v>
      </c>
      <c r="C15" s="104">
        <f>'Data Entry'!C14</f>
        <v>4</v>
      </c>
      <c r="D15" s="109">
        <f>'Data Entry'!D14</f>
        <v>0</v>
      </c>
      <c r="E15" s="110" t="str">
        <f>'Black or African-American'!$G14</f>
        <v>--</v>
      </c>
      <c r="F15" s="111">
        <f>'Data Entry'!E14</f>
        <v>0</v>
      </c>
      <c r="G15" s="110" t="str">
        <f>Hispanic!G14</f>
        <v>**</v>
      </c>
      <c r="H15" s="111">
        <f>'Data Entry'!F14</f>
        <v>0</v>
      </c>
      <c r="I15" s="110" t="str">
        <f>Asian!G14</f>
        <v>*</v>
      </c>
      <c r="J15" s="111">
        <f>'Data Entry'!J14</f>
        <v>3</v>
      </c>
      <c r="K15" s="112" t="str">
        <f>'All Minorities'!G14</f>
        <v>**</v>
      </c>
      <c r="L15"/>
      <c r="N15" s="1" t="e">
        <f>'Black or African-American'!L14</f>
        <v>#VALUE!</v>
      </c>
      <c r="O15" s="1">
        <f>Hispanic!L14</f>
        <v>40</v>
      </c>
      <c r="P15" s="1" t="e">
        <f>Asian!L14</f>
        <v>#VALUE!</v>
      </c>
      <c r="Q15" s="1" t="e">
        <f>Hawaiian!L14</f>
        <v>#VALUE!</v>
      </c>
      <c r="R15" s="1" t="e">
        <f>'Am Indian'!L14</f>
        <v>#VALUE!</v>
      </c>
      <c r="S15" s="1">
        <f>'Other - Mixed'!L14</f>
        <v>119</v>
      </c>
      <c r="T15" s="1">
        <f>'All Minorities'!L14</f>
        <v>40</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Ionia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5201</v>
      </c>
      <c r="D6" s="34"/>
      <c r="E6" s="33">
        <f>'Data Entry'!D6</f>
        <v>95</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4.4222264949048267</v>
      </c>
      <c r="E7" s="33">
        <f>'Data Entry'!D7</f>
        <v>1</v>
      </c>
      <c r="F7" s="34">
        <f>IF((AND($E$7&gt;0,$D$66&gt;0)),($E$7/$D$66),0)</f>
        <v>10.526315789473685</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94</v>
      </c>
      <c r="P7" s="42">
        <f t="shared" ref="P7:P15" si="2">C7</f>
        <v>23</v>
      </c>
      <c r="Q7" s="42">
        <f>C6-C7</f>
        <v>5178</v>
      </c>
      <c r="R7" s="42">
        <f t="shared" ref="R7:R15" si="3">SUM(N7:Q7)</f>
        <v>5296</v>
      </c>
      <c r="S7" s="30">
        <f t="shared" ref="S7:S15" si="4">R7*((((N7*Q7)-(O7*P7))^2))</f>
        <v>48173771776</v>
      </c>
      <c r="T7" s="30">
        <f t="shared" ref="T7:T15" si="5">(N7+O7)*(P7+Q7)*(N7+P7)*(O7+Q7)</f>
        <v>62516852160</v>
      </c>
      <c r="U7" s="31">
        <f t="shared" ref="U7:U15" si="6">IF((S7&gt;0),S7/T7,"- -")</f>
        <v>0.77057257541867896</v>
      </c>
    </row>
    <row r="8" spans="2:21" ht="18" customHeight="1" x14ac:dyDescent="0.25">
      <c r="B8" s="32" t="str">
        <f>'Data Entry'!A8</f>
        <v>3. Refer to Juvenile Court</v>
      </c>
      <c r="C8" s="33">
        <f>'Data Entry'!C8</f>
        <v>65</v>
      </c>
      <c r="D8" s="34">
        <f>IF((AND(C67&gt;0,C8&gt;0)),(C8/C67),0)</f>
        <v>282.60869565217388</v>
      </c>
      <c r="E8" s="33">
        <f>'Data Entry'!D8</f>
        <v>1</v>
      </c>
      <c r="F8" s="34">
        <f>IF((AND($E$8&gt;0,$D$67&gt;0)),($E8/$D67),0)</f>
        <v>100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v>
      </c>
      <c r="O8" s="42">
        <f>((D67*L67)-E8)+0.05</f>
        <v>0.05</v>
      </c>
      <c r="P8" s="42">
        <f t="shared" si="2"/>
        <v>65</v>
      </c>
      <c r="Q8" s="42">
        <f>(C$67*L67)-C8</f>
        <v>-42</v>
      </c>
      <c r="R8" s="42">
        <f t="shared" si="3"/>
        <v>24.049999999999997</v>
      </c>
      <c r="S8" s="30">
        <f t="shared" si="4"/>
        <v>49243.878124999996</v>
      </c>
      <c r="T8" s="30">
        <f t="shared" si="5"/>
        <v>-66864.10500000001</v>
      </c>
      <c r="U8" s="31">
        <f t="shared" si="6"/>
        <v>-0.73647703988560065</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65</v>
      </c>
      <c r="R9" s="42">
        <f t="shared" si="3"/>
        <v>66</v>
      </c>
      <c r="S9" s="30">
        <f t="shared" si="4"/>
        <v>0</v>
      </c>
      <c r="T9" s="30">
        <f t="shared" si="5"/>
        <v>0</v>
      </c>
      <c r="U9" s="31" t="str">
        <f t="shared" si="6"/>
        <v>- -</v>
      </c>
    </row>
    <row r="10" spans="2:21" ht="18" customHeight="1" x14ac:dyDescent="0.25">
      <c r="B10" s="32" t="str">
        <f>'Data Entry'!A10</f>
        <v>5. Cases Involving Secure Detention</v>
      </c>
      <c r="C10" s="33">
        <f>'Data Entry'!C10</f>
        <v>7</v>
      </c>
      <c r="D10" s="34">
        <f>IF(((AND(C68&gt;0,C10&gt;0))),(C10/(C68)),0)</f>
        <v>10.769230769230768</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1</v>
      </c>
      <c r="P10" s="42">
        <f t="shared" si="2"/>
        <v>7</v>
      </c>
      <c r="Q10" s="42">
        <f>(C$68*L68)-C10</f>
        <v>58</v>
      </c>
      <c r="R10" s="42">
        <f t="shared" si="3"/>
        <v>66</v>
      </c>
      <c r="S10" s="30">
        <f t="shared" si="4"/>
        <v>3234</v>
      </c>
      <c r="T10" s="30">
        <f t="shared" si="5"/>
        <v>26845</v>
      </c>
      <c r="U10" s="31">
        <f t="shared" si="6"/>
        <v>0.12046936114732724</v>
      </c>
    </row>
    <row r="11" spans="2:21" ht="18" customHeight="1" x14ac:dyDescent="0.25">
      <c r="B11" s="32" t="str">
        <f>'Data Entry'!A11</f>
        <v>6. Cases Petitioned (Charge Filed)</v>
      </c>
      <c r="C11" s="33">
        <f>'Data Entry'!C11</f>
        <v>20</v>
      </c>
      <c r="D11" s="34">
        <f>IF(((AND(C68&gt;0,C11&gt;0))),(C11/(C68)),0)</f>
        <v>30.769230769230766</v>
      </c>
      <c r="E11" s="33">
        <f>'Data Entry'!D11</f>
        <v>0</v>
      </c>
      <c r="F11" s="34">
        <f>IF(((AND($E$11&gt;0,$D$68&gt;0))),($E$11/($D$68)),0)</f>
        <v>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0</v>
      </c>
      <c r="O11" s="42">
        <f>(D$68*L68)-E11</f>
        <v>1</v>
      </c>
      <c r="P11" s="42">
        <f t="shared" si="2"/>
        <v>20</v>
      </c>
      <c r="Q11" s="42">
        <f>(C$68*L68)-C11</f>
        <v>45</v>
      </c>
      <c r="R11" s="42">
        <f t="shared" si="3"/>
        <v>66</v>
      </c>
      <c r="S11" s="30">
        <f t="shared" si="4"/>
        <v>26400</v>
      </c>
      <c r="T11" s="30">
        <f t="shared" si="5"/>
        <v>59800</v>
      </c>
      <c r="U11" s="31">
        <f t="shared" si="6"/>
        <v>0.4414715719063545</v>
      </c>
    </row>
    <row r="12" spans="2:21" ht="18" customHeight="1" x14ac:dyDescent="0.25">
      <c r="B12" s="32" t="str">
        <f>'Data Entry'!A12</f>
        <v>7. Cases Resulting in Delinquent Findings</v>
      </c>
      <c r="C12" s="33">
        <f>'Data Entry'!C12</f>
        <v>18</v>
      </c>
      <c r="D12" s="34">
        <f>IF(((AND(C69&gt;0,C12&gt;0))),(C12/(C69)),0)</f>
        <v>90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18</v>
      </c>
      <c r="Q12" s="42">
        <f>(C69*L69)-C12</f>
        <v>2</v>
      </c>
      <c r="R12" s="42">
        <f t="shared" si="3"/>
        <v>20</v>
      </c>
      <c r="S12" s="30">
        <f t="shared" si="4"/>
        <v>0</v>
      </c>
      <c r="T12" s="30">
        <f t="shared" si="5"/>
        <v>0</v>
      </c>
      <c r="U12" s="31" t="str">
        <f t="shared" si="6"/>
        <v>- -</v>
      </c>
    </row>
    <row r="13" spans="2:21" ht="18" customHeight="1" x14ac:dyDescent="0.25">
      <c r="B13" s="32" t="str">
        <f>'Data Entry'!A13</f>
        <v>8. Cases Resulting in Probation Placement</v>
      </c>
      <c r="C13" s="33">
        <f>'Data Entry'!C13</f>
        <v>15</v>
      </c>
      <c r="D13" s="34">
        <f>IF(((AND(C70&gt;0,C13&gt;0))),(C13/(C70)),0)</f>
        <v>83.333333333333343</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15</v>
      </c>
      <c r="Q13" s="42">
        <f>(C70*L70)-C13</f>
        <v>3</v>
      </c>
      <c r="R13" s="42">
        <f t="shared" si="3"/>
        <v>18</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4</v>
      </c>
      <c r="D14" s="34">
        <f>IF(((AND(C70&gt;0,C14&gt;0))), ((C14/(C70))),0)</f>
        <v>22.222222222222221</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4</v>
      </c>
      <c r="Q14" s="42">
        <f>(C70*L70)-C14</f>
        <v>14</v>
      </c>
      <c r="R14" s="42">
        <f t="shared" si="3"/>
        <v>18</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20</v>
      </c>
      <c r="R15" s="42">
        <f t="shared" si="3"/>
        <v>20</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5.2009999999999996</v>
      </c>
      <c r="D42" s="56">
        <f>E6/1000</f>
        <v>9.5000000000000001E-2</v>
      </c>
      <c r="E42" s="56">
        <f>MAX(C42:D42)</f>
        <v>5.2009999999999996</v>
      </c>
      <c r="G42" s="1" t="str">
        <f>B42</f>
        <v>per 1000 youth</v>
      </c>
      <c r="L42" s="57">
        <v>1000</v>
      </c>
      <c r="M42" s="57"/>
      <c r="R42" s="49"/>
    </row>
    <row r="43" spans="2:18" ht="15" hidden="1" customHeight="1" x14ac:dyDescent="0.25">
      <c r="B43" s="49" t="s">
        <v>87</v>
      </c>
      <c r="C43" s="56">
        <f>C7/100</f>
        <v>0.23</v>
      </c>
      <c r="D43" s="56">
        <f>E7/100</f>
        <v>0.01</v>
      </c>
      <c r="E43" s="56">
        <f>MAX(C43:D43,0)</f>
        <v>0.23</v>
      </c>
      <c r="G43" s="1" t="str">
        <f>B43</f>
        <v>per 100 arrests</v>
      </c>
      <c r="L43" s="57">
        <v>100</v>
      </c>
      <c r="M43" s="57"/>
      <c r="R43" s="49"/>
    </row>
    <row r="44" spans="2:18" ht="15" hidden="1" customHeight="1" x14ac:dyDescent="0.25">
      <c r="B44" s="49" t="s">
        <v>88</v>
      </c>
      <c r="C44" s="56">
        <f>C8/100</f>
        <v>0.65</v>
      </c>
      <c r="D44" s="56">
        <f>E8/100</f>
        <v>0.01</v>
      </c>
      <c r="E44" s="56">
        <f>MAX(C44:D44,0)</f>
        <v>0.65</v>
      </c>
      <c r="G44" s="1" t="str">
        <f>B44</f>
        <v>per 100 referrals</v>
      </c>
      <c r="L44" s="57">
        <v>100</v>
      </c>
      <c r="M44" s="57"/>
      <c r="R44" s="49"/>
    </row>
    <row r="45" spans="2:18" ht="15" hidden="1" customHeight="1" x14ac:dyDescent="0.25">
      <c r="B45" s="49" t="s">
        <v>89</v>
      </c>
      <c r="C45" s="49">
        <f>C11/100</f>
        <v>0.2</v>
      </c>
      <c r="D45" s="49">
        <f>E11/100</f>
        <v>0</v>
      </c>
      <c r="E45" s="56">
        <f>MAX(C45:D45,0)</f>
        <v>0.2</v>
      </c>
      <c r="G45" s="1" t="str">
        <f>B45</f>
        <v>per 100 youth petitioned</v>
      </c>
      <c r="L45" s="57">
        <v>100</v>
      </c>
      <c r="M45" s="57"/>
      <c r="R45" s="49"/>
    </row>
    <row r="46" spans="2:18" ht="15" hidden="1" customHeight="1" x14ac:dyDescent="0.25">
      <c r="B46" s="49" t="s">
        <v>90</v>
      </c>
      <c r="C46" s="49">
        <f>C12/100</f>
        <v>0.18</v>
      </c>
      <c r="D46" s="49">
        <f>E12/100</f>
        <v>0</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5.2009999999999996</v>
      </c>
      <c r="D48" s="56">
        <f>D42</f>
        <v>9.5000000000000001E-2</v>
      </c>
      <c r="E48" s="56">
        <f>MAX(C48:D48)</f>
        <v>5.2009999999999996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0.23</v>
      </c>
      <c r="D49" s="49">
        <f t="shared" si="9"/>
        <v>0.01</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0.65</v>
      </c>
      <c r="D50" s="49">
        <f t="shared" si="9"/>
        <v>0.01</v>
      </c>
      <c r="E50" s="49">
        <f>MAX(C50:D50)</f>
        <v>0.65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5.2009999999999996</v>
      </c>
      <c r="D54" s="56">
        <f>D48</f>
        <v>9.5000000000000001E-2</v>
      </c>
      <c r="E54" s="56">
        <f>MAX(C54:D54)</f>
        <v>5.2009999999999996</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0.01</v>
      </c>
      <c r="E55" s="49">
        <f>MAX(C55:D55)</f>
        <v>0.23</v>
      </c>
      <c r="G55" s="1" t="str">
        <f>G49</f>
        <v>per 100 arrests</v>
      </c>
      <c r="L55" s="58">
        <f>IF(($E49&gt;0),L49,L48)</f>
        <v>100</v>
      </c>
      <c r="M55" s="58"/>
    </row>
    <row r="56" spans="2:18" ht="15" hidden="1" customHeight="1" x14ac:dyDescent="0.25">
      <c r="B56" s="49" t="str">
        <f t="shared" si="10"/>
        <v>per 100 referrals</v>
      </c>
      <c r="C56" s="49">
        <f t="shared" si="10"/>
        <v>0.65</v>
      </c>
      <c r="D56" s="49">
        <f t="shared" si="10"/>
        <v>0.01</v>
      </c>
      <c r="E56" s="49">
        <f>MAX(C56:D56)</f>
        <v>0.65</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5.2009999999999996</v>
      </c>
      <c r="D60" s="56">
        <f>D54</f>
        <v>9.5000000000000001E-2</v>
      </c>
      <c r="E60" s="56">
        <f>MAX(C60:D60)</f>
        <v>5.2009999999999996</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0.01</v>
      </c>
      <c r="E61" s="49">
        <f>MAX(C61:D61)</f>
        <v>0.23</v>
      </c>
      <c r="G61" s="1" t="str">
        <f>G55</f>
        <v>per 100 arrests</v>
      </c>
      <c r="L61" s="58">
        <f>IF(($E55&gt;0),L55,L54)</f>
        <v>100</v>
      </c>
      <c r="M61" s="58"/>
    </row>
    <row r="62" spans="2:18" ht="15" hidden="1" customHeight="1" x14ac:dyDescent="0.25">
      <c r="B62" s="49" t="str">
        <f t="shared" si="11"/>
        <v>per 100 referrals</v>
      </c>
      <c r="C62" s="49">
        <f t="shared" si="11"/>
        <v>0.65</v>
      </c>
      <c r="D62" s="49">
        <f t="shared" si="11"/>
        <v>0.01</v>
      </c>
      <c r="E62" s="49">
        <f>MAX(C62:D62)</f>
        <v>0.65</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5.2009999999999996</v>
      </c>
      <c r="D66" s="56">
        <f>D60</f>
        <v>9.5000000000000001E-2</v>
      </c>
      <c r="E66" s="56">
        <f>MAX(C66:D66)</f>
        <v>5.2009999999999996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0.01</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0.65</v>
      </c>
      <c r="D68" s="49">
        <f t="shared" si="12"/>
        <v>0.01</v>
      </c>
      <c r="E68" s="49">
        <f>MAX(C68:D68)</f>
        <v>0.65</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Ionia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5201</v>
      </c>
      <c r="D6" s="34"/>
      <c r="E6" s="33">
        <f>'Data Entry'!F6</f>
        <v>38</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4.4222264949048267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38</v>
      </c>
      <c r="P7" s="42">
        <f t="shared" ref="P7:P15" si="4">C7</f>
        <v>23</v>
      </c>
      <c r="Q7" s="42">
        <f>C6-C7</f>
        <v>5178</v>
      </c>
      <c r="R7" s="42">
        <f t="shared" ref="R7:R15" si="5">SUM(N7:Q7)</f>
        <v>5239</v>
      </c>
      <c r="S7" s="30">
        <f t="shared" ref="S7:S15" si="6">R7*((((N7*Q7)-(O7*P7))^2))</f>
        <v>4001946364</v>
      </c>
      <c r="T7" s="30">
        <f t="shared" ref="T7:T15" si="7">(N7+O7)*(P7+Q7)*(N7+P7)*(O7+Q7)</f>
        <v>23710235584</v>
      </c>
      <c r="U7" s="31">
        <f t="shared" ref="U7:U15" si="8">IF((S7&gt;0),S7/T7,"- -")</f>
        <v>0.16878560104651891</v>
      </c>
    </row>
    <row r="8" spans="2:21" ht="18" customHeight="1" x14ac:dyDescent="0.25">
      <c r="B8" s="32" t="str">
        <f>'Data Entry'!A8</f>
        <v>3. Refer to Juvenile Court</v>
      </c>
      <c r="C8" s="33">
        <f>'Data Entry'!C8</f>
        <v>65</v>
      </c>
      <c r="D8" s="34">
        <f>IF((AND(C67&gt;0,C8&gt;0)),(C8/C67),0)</f>
        <v>282.60869565217388</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65</v>
      </c>
      <c r="Q8" s="42">
        <f>(C$67*L67)-C8</f>
        <v>-42</v>
      </c>
      <c r="R8" s="42">
        <f t="shared" si="5"/>
        <v>23.049999999999997</v>
      </c>
      <c r="S8" s="30">
        <f t="shared" si="6"/>
        <v>243.46562499999996</v>
      </c>
      <c r="T8" s="30">
        <f t="shared" si="7"/>
        <v>-3135.7625000000007</v>
      </c>
      <c r="U8" s="31">
        <f t="shared" si="8"/>
        <v>-7.7641602321604358E-2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65</v>
      </c>
      <c r="R9" s="42">
        <f t="shared" si="5"/>
        <v>65</v>
      </c>
      <c r="S9" s="30">
        <f t="shared" si="6"/>
        <v>0</v>
      </c>
      <c r="T9" s="30">
        <f t="shared" si="7"/>
        <v>0</v>
      </c>
      <c r="U9" s="31" t="str">
        <f t="shared" si="8"/>
        <v>- -</v>
      </c>
    </row>
    <row r="10" spans="2:21" ht="18" customHeight="1" x14ac:dyDescent="0.25">
      <c r="B10" s="32" t="str">
        <f>'Data Entry'!A10</f>
        <v>5. Cases Involving Secure Detention</v>
      </c>
      <c r="C10" s="33">
        <f>'Data Entry'!C10</f>
        <v>7</v>
      </c>
      <c r="D10" s="34">
        <f>IF(((AND(C68&gt;0,C10&gt;0))),(C10/(C68)),0)</f>
        <v>10.769230769230768</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58</v>
      </c>
      <c r="R10" s="42">
        <f t="shared" si="5"/>
        <v>65</v>
      </c>
      <c r="S10" s="30">
        <f t="shared" si="6"/>
        <v>0</v>
      </c>
      <c r="T10" s="30">
        <f t="shared" si="7"/>
        <v>0</v>
      </c>
      <c r="U10" s="31" t="str">
        <f t="shared" si="8"/>
        <v>- -</v>
      </c>
    </row>
    <row r="11" spans="2:21" ht="18" customHeight="1" x14ac:dyDescent="0.25">
      <c r="B11" s="32" t="str">
        <f>'Data Entry'!A11</f>
        <v>6. Cases Petitioned (Charge Filed)</v>
      </c>
      <c r="C11" s="33">
        <f>'Data Entry'!C11</f>
        <v>20</v>
      </c>
      <c r="D11" s="34">
        <f>IF(((AND(C68&gt;0,C11&gt;0))),(C11/(C68)),0)</f>
        <v>30.769230769230766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45</v>
      </c>
      <c r="R11" s="42">
        <f t="shared" si="5"/>
        <v>65</v>
      </c>
      <c r="S11" s="30">
        <f t="shared" si="6"/>
        <v>0</v>
      </c>
      <c r="T11" s="30">
        <f t="shared" si="7"/>
        <v>0</v>
      </c>
      <c r="U11" s="31" t="str">
        <f t="shared" si="8"/>
        <v>- -</v>
      </c>
    </row>
    <row r="12" spans="2:21" ht="18" customHeight="1" x14ac:dyDescent="0.25">
      <c r="B12" s="32" t="str">
        <f>'Data Entry'!A12</f>
        <v>7. Cases Resulting in Delinquent Findings</v>
      </c>
      <c r="C12" s="33">
        <f>'Data Entry'!C12</f>
        <v>18</v>
      </c>
      <c r="D12" s="34">
        <f>IF(((AND(C69&gt;0,C12&gt;0))),(C12/(C69)),0)</f>
        <v>90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2</v>
      </c>
      <c r="R12" s="42">
        <f t="shared" si="5"/>
        <v>20</v>
      </c>
      <c r="S12" s="30">
        <f t="shared" si="6"/>
        <v>0</v>
      </c>
      <c r="T12" s="30">
        <f t="shared" si="7"/>
        <v>0</v>
      </c>
      <c r="U12" s="31" t="str">
        <f t="shared" si="8"/>
        <v>- -</v>
      </c>
    </row>
    <row r="13" spans="2:21" ht="18" customHeight="1" x14ac:dyDescent="0.25">
      <c r="B13" s="32" t="str">
        <f>'Data Entry'!A13</f>
        <v>8. Cases Resulting in Probation Placement</v>
      </c>
      <c r="C13" s="33">
        <f>'Data Entry'!C13</f>
        <v>15</v>
      </c>
      <c r="D13" s="34">
        <f>IF(((AND(C70&gt;0,C13&gt;0))),(C13/(C70)),0)</f>
        <v>83.333333333333343</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15</v>
      </c>
      <c r="Q13" s="42">
        <f>(C70*L70)-C13</f>
        <v>3</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v>
      </c>
      <c r="D14" s="34">
        <f>IF(((AND(C70&gt;0,C14&gt;0))), ((C14/(C70))),0)</f>
        <v>22.222222222222221</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14</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5.2009999999999996</v>
      </c>
      <c r="D42" s="56">
        <f>E6/1000</f>
        <v>3.7999999999999999E-2</v>
      </c>
      <c r="E42" s="56">
        <f>MAX(C42:D42)</f>
        <v>5.2009999999999996</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0.65</v>
      </c>
      <c r="D44" s="56">
        <f>E8/100</f>
        <v>0</v>
      </c>
      <c r="E44" s="56">
        <f>MAX(C44:D44,0)</f>
        <v>0.65</v>
      </c>
      <c r="G44" s="1" t="str">
        <f>B44</f>
        <v>per 100 referrals</v>
      </c>
      <c r="L44" s="57">
        <v>100</v>
      </c>
      <c r="M44" s="57"/>
      <c r="R44" s="49"/>
    </row>
    <row r="45" spans="2:18" ht="15" hidden="1" customHeight="1" x14ac:dyDescent="0.25">
      <c r="B45" s="49" t="s">
        <v>89</v>
      </c>
      <c r="C45" s="49">
        <f>C11/100</f>
        <v>0.2</v>
      </c>
      <c r="D45" s="49">
        <f>E11/100</f>
        <v>0</v>
      </c>
      <c r="E45" s="56">
        <f>MAX(C45:D45,0)</f>
        <v>0.2</v>
      </c>
      <c r="G45" s="1" t="str">
        <f>B45</f>
        <v>per 100 youth petitioned</v>
      </c>
      <c r="L45" s="57">
        <v>100</v>
      </c>
      <c r="M45" s="57"/>
      <c r="R45" s="49"/>
    </row>
    <row r="46" spans="2:18" ht="15" hidden="1" customHeight="1" x14ac:dyDescent="0.25">
      <c r="B46" s="49" t="s">
        <v>90</v>
      </c>
      <c r="C46" s="49">
        <f>C12/100</f>
        <v>0.18</v>
      </c>
      <c r="D46" s="49">
        <f>E12/100</f>
        <v>0</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5.2009999999999996</v>
      </c>
      <c r="D48" s="56">
        <f>D42</f>
        <v>3.7999999999999999E-2</v>
      </c>
      <c r="E48" s="56">
        <f>MAX(C48:D48)</f>
        <v>5.2009999999999996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0.65</v>
      </c>
      <c r="D50" s="49">
        <f t="shared" si="9"/>
        <v>0</v>
      </c>
      <c r="E50" s="49">
        <f>MAX(C50:D50)</f>
        <v>0.65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5.2009999999999996</v>
      </c>
      <c r="D54" s="56">
        <f>D48</f>
        <v>3.7999999999999999E-2</v>
      </c>
      <c r="E54" s="56">
        <f>MAX(C54:D54)</f>
        <v>5.2009999999999996</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0.65</v>
      </c>
      <c r="D56" s="49">
        <f t="shared" si="10"/>
        <v>0</v>
      </c>
      <c r="E56" s="49">
        <f>MAX(C56:D56)</f>
        <v>0.65</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5.2009999999999996</v>
      </c>
      <c r="D60" s="56">
        <f>D54</f>
        <v>3.7999999999999999E-2</v>
      </c>
      <c r="E60" s="56">
        <f>MAX(C60:D60)</f>
        <v>5.2009999999999996</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0.65</v>
      </c>
      <c r="D62" s="49">
        <f t="shared" si="11"/>
        <v>0</v>
      </c>
      <c r="E62" s="49">
        <f>MAX(C62:D62)</f>
        <v>0.65</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5.2009999999999996</v>
      </c>
      <c r="D66" s="56">
        <f>D60</f>
        <v>3.7999999999999999E-2</v>
      </c>
      <c r="E66" s="56">
        <f>MAX(C66:D66)</f>
        <v>5.2009999999999996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0.65</v>
      </c>
      <c r="D68" s="49">
        <f t="shared" si="12"/>
        <v>0</v>
      </c>
      <c r="E68" s="49">
        <f>MAX(C68:D68)</f>
        <v>0.65</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Ionia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5201</v>
      </c>
      <c r="D6" s="34"/>
      <c r="E6" s="33">
        <f>'Data Entry'!E6</f>
        <v>498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4.4222264949048267</v>
      </c>
      <c r="E7" s="33">
        <f>'Data Entry'!E7</f>
        <v>3</v>
      </c>
      <c r="F7" s="34">
        <f>IF((AND($E$7&gt;0,$D$66&gt;0)),($E$7/$D$66),0)</f>
        <v>6.024096385542169</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3</v>
      </c>
      <c r="O7" s="42">
        <f>E6-E7</f>
        <v>495</v>
      </c>
      <c r="P7" s="42">
        <f t="shared" ref="P7:P15" si="4">C7</f>
        <v>23</v>
      </c>
      <c r="Q7" s="42">
        <f>C6-C7</f>
        <v>5178</v>
      </c>
      <c r="R7" s="42">
        <f t="shared" ref="R7:R15" si="5">SUM(N7:Q7)</f>
        <v>5699</v>
      </c>
      <c r="S7" s="30">
        <f t="shared" ref="S7:S15" si="6">R7*((((N7*Q7)-(O7*P7))^2))</f>
        <v>98103731499</v>
      </c>
      <c r="T7" s="30">
        <f t="shared" ref="T7:T15" si="7">(N7+O7)*(P7+Q7)*(N7+P7)*(O7+Q7)</f>
        <v>382034274804</v>
      </c>
      <c r="U7" s="31">
        <f t="shared" ref="U7:U15" si="8">IF((S7&gt;0),S7/T7,"- -")</f>
        <v>0.25679301038979141</v>
      </c>
    </row>
    <row r="8" spans="2:21" ht="18" customHeight="1" x14ac:dyDescent="0.25">
      <c r="B8" s="32" t="str">
        <f>'Data Entry'!A8</f>
        <v>3. Refer to Juvenile Court</v>
      </c>
      <c r="C8" s="33">
        <f>'Data Entry'!C8</f>
        <v>65</v>
      </c>
      <c r="D8" s="34">
        <f>IF((AND(C67&gt;0,C8&gt;0)),(C8/C67),0)</f>
        <v>282.60869565217388</v>
      </c>
      <c r="E8" s="33">
        <f>'Data Entry'!E8</f>
        <v>4</v>
      </c>
      <c r="F8" s="34">
        <f>IF((AND($E$8&gt;0,$D$67&gt;0)),($E8/$D67),0)</f>
        <v>133.33333333333334</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4</v>
      </c>
      <c r="O8" s="42">
        <f>((D67*L67)-E8)+0.05</f>
        <v>-0.95</v>
      </c>
      <c r="P8" s="42">
        <f t="shared" si="4"/>
        <v>65</v>
      </c>
      <c r="Q8" s="42">
        <f>(C$67*L67)-C8</f>
        <v>-42</v>
      </c>
      <c r="R8" s="42">
        <f t="shared" si="5"/>
        <v>26.049999999999997</v>
      </c>
      <c r="S8" s="30">
        <f t="shared" si="6"/>
        <v>294080.07812499994</v>
      </c>
      <c r="T8" s="30">
        <f t="shared" si="7"/>
        <v>-207893.0325</v>
      </c>
      <c r="U8" s="31">
        <f t="shared" si="8"/>
        <v>-1.4145739979284777</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65</v>
      </c>
      <c r="R9" s="42">
        <f t="shared" si="5"/>
        <v>69</v>
      </c>
      <c r="S9" s="30">
        <f t="shared" si="6"/>
        <v>0</v>
      </c>
      <c r="T9" s="30">
        <f t="shared" si="7"/>
        <v>0</v>
      </c>
      <c r="U9" s="31" t="str">
        <f t="shared" si="8"/>
        <v>- -</v>
      </c>
    </row>
    <row r="10" spans="2:21" ht="18" customHeight="1" x14ac:dyDescent="0.25">
      <c r="B10" s="32" t="str">
        <f>'Data Entry'!A10</f>
        <v>5. Cases Involving Secure Detention</v>
      </c>
      <c r="C10" s="33">
        <f>'Data Entry'!C10</f>
        <v>7</v>
      </c>
      <c r="D10" s="34">
        <f>IF(((AND(C68&gt;0,C10&gt;0))),(C10/(C68)),0)</f>
        <v>10.769230769230768</v>
      </c>
      <c r="E10" s="33">
        <f>'Data Entry'!E10</f>
        <v>1</v>
      </c>
      <c r="F10" s="34">
        <f>IF(((AND($E$10&gt;0,$D$68&gt;0))),($E$10/($D$68)),0)</f>
        <v>25</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3</v>
      </c>
      <c r="P10" s="42">
        <f t="shared" si="4"/>
        <v>7</v>
      </c>
      <c r="Q10" s="42">
        <f>(C$68*L68)-C10</f>
        <v>58</v>
      </c>
      <c r="R10" s="42">
        <f t="shared" si="5"/>
        <v>69</v>
      </c>
      <c r="S10" s="30">
        <f t="shared" si="6"/>
        <v>94461</v>
      </c>
      <c r="T10" s="30">
        <f t="shared" si="7"/>
        <v>126880</v>
      </c>
      <c r="U10" s="31">
        <f t="shared" si="8"/>
        <v>0.74449085750315258</v>
      </c>
    </row>
    <row r="11" spans="2:21" ht="18" customHeight="1" x14ac:dyDescent="0.25">
      <c r="B11" s="32" t="str">
        <f>'Data Entry'!A11</f>
        <v>6. Cases Petitioned (Charge Filed)</v>
      </c>
      <c r="C11" s="33">
        <f>'Data Entry'!C11</f>
        <v>20</v>
      </c>
      <c r="D11" s="34">
        <f>IF(((AND(C68&gt;0,C11&gt;0))),(C11/(C68)),0)</f>
        <v>30.769230769230766</v>
      </c>
      <c r="E11" s="33">
        <f>'Data Entry'!E11</f>
        <v>1</v>
      </c>
      <c r="F11" s="34">
        <f>IF(((AND($E$11&gt;0,$D$68&gt;0))),($E$11/($D$68)),0)</f>
        <v>25</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3</v>
      </c>
      <c r="P11" s="42">
        <f t="shared" si="4"/>
        <v>20</v>
      </c>
      <c r="Q11" s="42">
        <f>(C$68*L68)-C11</f>
        <v>45</v>
      </c>
      <c r="R11" s="42">
        <f t="shared" si="5"/>
        <v>69</v>
      </c>
      <c r="S11" s="30">
        <f t="shared" si="6"/>
        <v>15525</v>
      </c>
      <c r="T11" s="30">
        <f t="shared" si="7"/>
        <v>262080</v>
      </c>
      <c r="U11" s="31">
        <f t="shared" si="8"/>
        <v>5.923763736263736E-2</v>
      </c>
    </row>
    <row r="12" spans="2:21" ht="18" customHeight="1" x14ac:dyDescent="0.25">
      <c r="B12" s="32" t="str">
        <f>'Data Entry'!A12</f>
        <v>7. Cases Resulting in Delinquent Findings</v>
      </c>
      <c r="C12" s="33">
        <f>'Data Entry'!C12</f>
        <v>18</v>
      </c>
      <c r="D12" s="34">
        <f>IF(((AND(C69&gt;0,C12&gt;0))),(C12/(C69)),0)</f>
        <v>90</v>
      </c>
      <c r="E12" s="33">
        <f>'Data Entry'!E12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18</v>
      </c>
      <c r="Q12" s="42">
        <f>(C69*L69)-C12</f>
        <v>2</v>
      </c>
      <c r="R12" s="42">
        <f t="shared" si="5"/>
        <v>21</v>
      </c>
      <c r="S12" s="30">
        <f t="shared" si="6"/>
        <v>84</v>
      </c>
      <c r="T12" s="30">
        <f t="shared" si="7"/>
        <v>760</v>
      </c>
      <c r="U12" s="31">
        <f t="shared" si="8"/>
        <v>0.11052631578947368</v>
      </c>
    </row>
    <row r="13" spans="2:21" ht="18" customHeight="1" x14ac:dyDescent="0.25">
      <c r="B13" s="32" t="str">
        <f>'Data Entry'!A13</f>
        <v>8. Cases Resulting in Probation Placement</v>
      </c>
      <c r="C13" s="33">
        <f>'Data Entry'!C13</f>
        <v>15</v>
      </c>
      <c r="D13" s="34">
        <f>IF(((AND(C70&gt;0,C13&gt;0))),(C13/(C70)),0)</f>
        <v>83.333333333333343</v>
      </c>
      <c r="E13" s="33">
        <f>'Data Entry'!E13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15</v>
      </c>
      <c r="Q13" s="42">
        <f>(C70*L70)-C13</f>
        <v>3</v>
      </c>
      <c r="R13" s="42">
        <f t="shared" si="5"/>
        <v>19</v>
      </c>
      <c r="S13" s="30">
        <f t="shared" si="6"/>
        <v>171</v>
      </c>
      <c r="T13" s="30">
        <f t="shared" si="7"/>
        <v>864</v>
      </c>
      <c r="U13" s="31">
        <f t="shared" si="8"/>
        <v>0.19791666666666666</v>
      </c>
    </row>
    <row r="14" spans="2:21" ht="30.75" customHeight="1" x14ac:dyDescent="0.25">
      <c r="B14" s="32" t="str">
        <f>'Data Entry'!A14</f>
        <v xml:space="preserve">9. Cases Resulting in Confinement in Secure Juvenile Correctional Facilities </v>
      </c>
      <c r="C14" s="33">
        <f>'Data Entry'!C14</f>
        <v>4</v>
      </c>
      <c r="D14" s="34">
        <f>IF(((AND(C70&gt;0,C14&gt;0))), ((C14/(C70))),0)</f>
        <v>22.222222222222221</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4</v>
      </c>
      <c r="Q14" s="42">
        <f>(C70*L70)-C14</f>
        <v>14</v>
      </c>
      <c r="R14" s="42">
        <f t="shared" si="5"/>
        <v>19</v>
      </c>
      <c r="S14" s="30">
        <f t="shared" si="6"/>
        <v>304</v>
      </c>
      <c r="T14" s="30">
        <f t="shared" si="7"/>
        <v>1080</v>
      </c>
      <c r="U14" s="31">
        <f t="shared" si="8"/>
        <v>0.2814814814814815</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20</v>
      </c>
      <c r="R15" s="42">
        <f t="shared" si="5"/>
        <v>21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5.2009999999999996</v>
      </c>
      <c r="D42" s="56">
        <f>E6/1000</f>
        <v>0.498</v>
      </c>
      <c r="E42" s="56">
        <f>MAX(C42:D42)</f>
        <v>5.2009999999999996</v>
      </c>
      <c r="G42" s="1" t="str">
        <f>B42</f>
        <v>per 1000 youth</v>
      </c>
      <c r="L42" s="57">
        <v>1000</v>
      </c>
      <c r="M42" s="57"/>
      <c r="R42" s="49"/>
    </row>
    <row r="43" spans="2:18" ht="15" hidden="1" customHeight="1" x14ac:dyDescent="0.25">
      <c r="B43" s="49" t="s">
        <v>87</v>
      </c>
      <c r="C43" s="56">
        <f>C7/100</f>
        <v>0.23</v>
      </c>
      <c r="D43" s="56">
        <f>E7/100</f>
        <v>0.03</v>
      </c>
      <c r="E43" s="56">
        <f>MAX(C43:D43,0)</f>
        <v>0.23</v>
      </c>
      <c r="G43" s="1" t="str">
        <f>B43</f>
        <v>per 100 arrests</v>
      </c>
      <c r="L43" s="57">
        <v>100</v>
      </c>
      <c r="M43" s="57"/>
      <c r="R43" s="49"/>
    </row>
    <row r="44" spans="2:18" ht="15" hidden="1" customHeight="1" x14ac:dyDescent="0.25">
      <c r="B44" s="49" t="s">
        <v>88</v>
      </c>
      <c r="C44" s="56">
        <f>C8/100</f>
        <v>0.65</v>
      </c>
      <c r="D44" s="56">
        <f>E8/100</f>
        <v>0.04</v>
      </c>
      <c r="E44" s="56">
        <f>MAX(C44:D44,0)</f>
        <v>0.65</v>
      </c>
      <c r="G44" s="1" t="str">
        <f>B44</f>
        <v>per 100 referrals</v>
      </c>
      <c r="L44" s="57">
        <v>100</v>
      </c>
      <c r="M44" s="57"/>
      <c r="R44" s="49"/>
    </row>
    <row r="45" spans="2:18" ht="15" hidden="1" customHeight="1" x14ac:dyDescent="0.25">
      <c r="B45" s="49" t="s">
        <v>89</v>
      </c>
      <c r="C45" s="49">
        <f>C11/100</f>
        <v>0.2</v>
      </c>
      <c r="D45" s="49">
        <f>E11/100</f>
        <v>0.01</v>
      </c>
      <c r="E45" s="56">
        <f>MAX(C45:D45,0)</f>
        <v>0.2</v>
      </c>
      <c r="G45" s="1" t="str">
        <f>B45</f>
        <v>per 100 youth petitioned</v>
      </c>
      <c r="L45" s="57">
        <v>100</v>
      </c>
      <c r="M45" s="57"/>
      <c r="R45" s="49"/>
    </row>
    <row r="46" spans="2:18" ht="15" hidden="1" customHeight="1" x14ac:dyDescent="0.25">
      <c r="B46" s="49" t="s">
        <v>90</v>
      </c>
      <c r="C46" s="49">
        <f>C12/100</f>
        <v>0.18</v>
      </c>
      <c r="D46" s="49">
        <f>E12/100</f>
        <v>0.01</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5.2009999999999996</v>
      </c>
      <c r="D48" s="56">
        <f>D42</f>
        <v>0.498</v>
      </c>
      <c r="E48" s="56">
        <f>MAX(C48:D48)</f>
        <v>5.2009999999999996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0.03</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0.65</v>
      </c>
      <c r="D50" s="49">
        <f t="shared" si="9"/>
        <v>0.04</v>
      </c>
      <c r="E50" s="49">
        <f>MAX(C50:D50)</f>
        <v>0.65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0.01</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0.01</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5.2009999999999996</v>
      </c>
      <c r="D54" s="56">
        <f>D48</f>
        <v>0.498</v>
      </c>
      <c r="E54" s="56">
        <f>MAX(C54:D54)</f>
        <v>5.2009999999999996</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0.03</v>
      </c>
      <c r="E55" s="49">
        <f>MAX(C55:D55)</f>
        <v>0.23</v>
      </c>
      <c r="G55" s="1" t="str">
        <f>G49</f>
        <v>per 100 arrests</v>
      </c>
      <c r="L55" s="58">
        <f>IF(($E49&gt;0),L49,L48)</f>
        <v>100</v>
      </c>
      <c r="M55" s="58"/>
    </row>
    <row r="56" spans="2:18" ht="15" hidden="1" customHeight="1" x14ac:dyDescent="0.25">
      <c r="B56" s="49" t="str">
        <f t="shared" si="10"/>
        <v>per 100 referrals</v>
      </c>
      <c r="C56" s="49">
        <f t="shared" si="10"/>
        <v>0.65</v>
      </c>
      <c r="D56" s="49">
        <f t="shared" si="10"/>
        <v>0.04</v>
      </c>
      <c r="E56" s="49">
        <f>MAX(C56:D56)</f>
        <v>0.65</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0.01</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0.01</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5.2009999999999996</v>
      </c>
      <c r="D60" s="56">
        <f>D54</f>
        <v>0.498</v>
      </c>
      <c r="E60" s="56">
        <f>MAX(C60:D60)</f>
        <v>5.2009999999999996</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0.03</v>
      </c>
      <c r="E61" s="49">
        <f>MAX(C61:D61)</f>
        <v>0.23</v>
      </c>
      <c r="G61" s="1" t="str">
        <f>G55</f>
        <v>per 100 arrests</v>
      </c>
      <c r="L61" s="58">
        <f>IF(($E55&gt;0),L55,L54)</f>
        <v>100</v>
      </c>
      <c r="M61" s="58"/>
    </row>
    <row r="62" spans="2:18" ht="15" hidden="1" customHeight="1" x14ac:dyDescent="0.25">
      <c r="B62" s="49" t="str">
        <f t="shared" si="11"/>
        <v>per 100 referrals</v>
      </c>
      <c r="C62" s="49">
        <f t="shared" si="11"/>
        <v>0.65</v>
      </c>
      <c r="D62" s="49">
        <f t="shared" si="11"/>
        <v>0.04</v>
      </c>
      <c r="E62" s="49">
        <f>MAX(C62:D62)</f>
        <v>0.65</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0.01</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0.01</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5.2009999999999996</v>
      </c>
      <c r="D66" s="56">
        <f>D60</f>
        <v>0.498</v>
      </c>
      <c r="E66" s="56">
        <f>MAX(C66:D66)</f>
        <v>5.2009999999999996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0.03</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0.65</v>
      </c>
      <c r="D68" s="49">
        <f t="shared" si="12"/>
        <v>0.04</v>
      </c>
      <c r="E68" s="49">
        <f>MAX(C68:D68)</f>
        <v>0.65</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0.01</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0.01</v>
      </c>
      <c r="E70" s="56">
        <f>MAX(C70:D70)</f>
        <v>0.18</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Ionia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5201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4.4222264949048267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23</v>
      </c>
      <c r="Q7" s="42">
        <f>C6-C7</f>
        <v>5178</v>
      </c>
      <c r="R7" s="42">
        <f t="shared" ref="R7:R15" si="5">SUM(N7:Q7)</f>
        <v>5201</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65</v>
      </c>
      <c r="D8" s="34">
        <f>IF((AND(C67&gt;0,C8&gt;0)),(C8/C67),0)</f>
        <v>282.60869565217388</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65</v>
      </c>
      <c r="Q8" s="42">
        <f>(C$67*L67)-C8</f>
        <v>-42</v>
      </c>
      <c r="R8" s="42">
        <f t="shared" si="5"/>
        <v>23.049999999999997</v>
      </c>
      <c r="S8" s="30">
        <f t="shared" si="6"/>
        <v>243.46562499999996</v>
      </c>
      <c r="T8" s="30">
        <f t="shared" si="7"/>
        <v>-3135.7625000000007</v>
      </c>
      <c r="U8" s="31">
        <f t="shared" si="8"/>
        <v>-7.7641602321604358E-2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65</v>
      </c>
      <c r="R9" s="42">
        <f t="shared" si="5"/>
        <v>65</v>
      </c>
      <c r="S9" s="30">
        <f t="shared" si="6"/>
        <v>0</v>
      </c>
      <c r="T9" s="30">
        <f t="shared" si="7"/>
        <v>0</v>
      </c>
      <c r="U9" s="31" t="str">
        <f t="shared" si="8"/>
        <v>- -</v>
      </c>
    </row>
    <row r="10" spans="2:21" ht="18" customHeight="1" x14ac:dyDescent="0.25">
      <c r="B10" s="32" t="str">
        <f>'Data Entry'!A10</f>
        <v>5. Cases Involving Secure Detention</v>
      </c>
      <c r="C10" s="33">
        <f>'Data Entry'!C10</f>
        <v>7</v>
      </c>
      <c r="D10" s="34">
        <f>IF(((AND(C68&gt;0,C10&gt;0))),(C10/(C68)),0)</f>
        <v>10.769230769230768</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58</v>
      </c>
      <c r="R10" s="42">
        <f t="shared" si="5"/>
        <v>65</v>
      </c>
      <c r="S10" s="30">
        <f t="shared" si="6"/>
        <v>0</v>
      </c>
      <c r="T10" s="30">
        <f t="shared" si="7"/>
        <v>0</v>
      </c>
      <c r="U10" s="31" t="str">
        <f t="shared" si="8"/>
        <v>- -</v>
      </c>
    </row>
    <row r="11" spans="2:21" ht="18" customHeight="1" x14ac:dyDescent="0.25">
      <c r="B11" s="32" t="str">
        <f>'Data Entry'!A11</f>
        <v>6. Cases Petitioned (Charge Filed)</v>
      </c>
      <c r="C11" s="33">
        <f>'Data Entry'!C11</f>
        <v>20</v>
      </c>
      <c r="D11" s="34">
        <f>IF(((AND(C68&gt;0,C11&gt;0))),(C11/(C68)),0)</f>
        <v>30.769230769230766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45</v>
      </c>
      <c r="R11" s="42">
        <f t="shared" si="5"/>
        <v>65</v>
      </c>
      <c r="S11" s="30">
        <f t="shared" si="6"/>
        <v>0</v>
      </c>
      <c r="T11" s="30">
        <f t="shared" si="7"/>
        <v>0</v>
      </c>
      <c r="U11" s="31" t="str">
        <f t="shared" si="8"/>
        <v>- -</v>
      </c>
    </row>
    <row r="12" spans="2:21" ht="18" customHeight="1" x14ac:dyDescent="0.25">
      <c r="B12" s="32" t="str">
        <f>'Data Entry'!A12</f>
        <v>7. Cases Resulting in Delinquent Findings</v>
      </c>
      <c r="C12" s="33">
        <f>'Data Entry'!C12</f>
        <v>18</v>
      </c>
      <c r="D12" s="34">
        <f>IF(((AND(C69&gt;0,C12&gt;0))),(C12/(C69)),0)</f>
        <v>90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2</v>
      </c>
      <c r="R12" s="42">
        <f t="shared" si="5"/>
        <v>20</v>
      </c>
      <c r="S12" s="30">
        <f t="shared" si="6"/>
        <v>0</v>
      </c>
      <c r="T12" s="30">
        <f t="shared" si="7"/>
        <v>0</v>
      </c>
      <c r="U12" s="31" t="str">
        <f t="shared" si="8"/>
        <v>- -</v>
      </c>
    </row>
    <row r="13" spans="2:21" ht="18" customHeight="1" x14ac:dyDescent="0.25">
      <c r="B13" s="32" t="str">
        <f>'Data Entry'!A13</f>
        <v>8. Cases Resulting in Probation Placement</v>
      </c>
      <c r="C13" s="33">
        <f>'Data Entry'!C13</f>
        <v>15</v>
      </c>
      <c r="D13" s="34">
        <f>IF(((AND(C70&gt;0,C13&gt;0))),(C13/(C70)),0)</f>
        <v>83.333333333333343</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15</v>
      </c>
      <c r="Q13" s="42">
        <f>(C70*L70)-C13</f>
        <v>3</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v>
      </c>
      <c r="D14" s="34">
        <f>IF(((AND(C70&gt;0,C14&gt;0))), ((C14/(C70))),0)</f>
        <v>22.222222222222221</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14</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5.2009999999999996</v>
      </c>
      <c r="D42" s="56">
        <f>E6/1000</f>
        <v>0</v>
      </c>
      <c r="E42" s="56">
        <f>MAX(C42:D42)</f>
        <v>5.2009999999999996</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0.65</v>
      </c>
      <c r="D44" s="56">
        <f>E8/100</f>
        <v>0</v>
      </c>
      <c r="E44" s="56">
        <f>MAX(C44:D44,0)</f>
        <v>0.65</v>
      </c>
      <c r="G44" s="1" t="str">
        <f>B44</f>
        <v>per 100 referrals</v>
      </c>
      <c r="L44" s="57">
        <v>100</v>
      </c>
      <c r="M44" s="57"/>
      <c r="R44" s="49"/>
    </row>
    <row r="45" spans="2:18" ht="15" hidden="1" customHeight="1" x14ac:dyDescent="0.25">
      <c r="B45" s="49" t="s">
        <v>89</v>
      </c>
      <c r="C45" s="49">
        <f>C11/100</f>
        <v>0.2</v>
      </c>
      <c r="D45" s="49">
        <f>E11/100</f>
        <v>0</v>
      </c>
      <c r="E45" s="56">
        <f>MAX(C45:D45,0)</f>
        <v>0.2</v>
      </c>
      <c r="G45" s="1" t="str">
        <f>B45</f>
        <v>per 100 youth petitioned</v>
      </c>
      <c r="L45" s="57">
        <v>100</v>
      </c>
      <c r="M45" s="57"/>
      <c r="R45" s="49"/>
    </row>
    <row r="46" spans="2:18" ht="15" hidden="1" customHeight="1" x14ac:dyDescent="0.25">
      <c r="B46" s="49" t="s">
        <v>90</v>
      </c>
      <c r="C46" s="49">
        <f>C12/100</f>
        <v>0.18</v>
      </c>
      <c r="D46" s="49">
        <f>E12/100</f>
        <v>0</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5.2009999999999996</v>
      </c>
      <c r="D48" s="56">
        <f>D42</f>
        <v>0</v>
      </c>
      <c r="E48" s="56">
        <f>MAX(C48:D48)</f>
        <v>5.2009999999999996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0.65</v>
      </c>
      <c r="D50" s="49">
        <f t="shared" si="9"/>
        <v>0</v>
      </c>
      <c r="E50" s="49">
        <f>MAX(C50:D50)</f>
        <v>0.65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5.2009999999999996</v>
      </c>
      <c r="D54" s="56">
        <f>D48</f>
        <v>0</v>
      </c>
      <c r="E54" s="56">
        <f>MAX(C54:D54)</f>
        <v>5.2009999999999996</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0.65</v>
      </c>
      <c r="D56" s="49">
        <f t="shared" si="10"/>
        <v>0</v>
      </c>
      <c r="E56" s="49">
        <f>MAX(C56:D56)</f>
        <v>0.65</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5.2009999999999996</v>
      </c>
      <c r="D60" s="56">
        <f>D54</f>
        <v>0</v>
      </c>
      <c r="E60" s="56">
        <f>MAX(C60:D60)</f>
        <v>5.2009999999999996</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0.65</v>
      </c>
      <c r="D62" s="49">
        <f t="shared" si="11"/>
        <v>0</v>
      </c>
      <c r="E62" s="49">
        <f>MAX(C62:D62)</f>
        <v>0.65</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5.2009999999999996</v>
      </c>
      <c r="D66" s="56">
        <f>D60</f>
        <v>0</v>
      </c>
      <c r="E66" s="56">
        <f>MAX(C66:D66)</f>
        <v>5.2009999999999996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0.65</v>
      </c>
      <c r="D68" s="49">
        <f t="shared" si="12"/>
        <v>0</v>
      </c>
      <c r="E68" s="49">
        <f>MAX(C68:D68)</f>
        <v>0.65</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Ionia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5201</v>
      </c>
      <c r="D6" s="34"/>
      <c r="E6" s="33">
        <f>'Data Entry'!H6</f>
        <v>29</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23</v>
      </c>
      <c r="D7" s="34">
        <f>IF((AND(C66&gt;0,C7&gt;0)),(C7/C66),0)</f>
        <v>4.4222264949048267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29</v>
      </c>
      <c r="P7" s="42">
        <f t="shared" ref="P7:P15" si="4">C7</f>
        <v>23</v>
      </c>
      <c r="Q7" s="42">
        <f>C6-C7</f>
        <v>5178</v>
      </c>
      <c r="R7" s="42">
        <f t="shared" ref="R7:R15" si="5">SUM(N7:Q7)</f>
        <v>5230</v>
      </c>
      <c r="S7" s="30">
        <f t="shared" ref="S7:S15" si="6">R7*((((N7*Q7)-(O7*P7))^2))</f>
        <v>2326769470</v>
      </c>
      <c r="T7" s="30">
        <f t="shared" ref="T7:T15" si="7">(N7+O7)*(P7+Q7)*(N7+P7)*(O7+Q7)</f>
        <v>18063431869</v>
      </c>
      <c r="U7" s="31">
        <f t="shared" ref="U7:U15" si="8">IF((S7&gt;0),S7/T7,"- -")</f>
        <v>0.12881104138317936</v>
      </c>
    </row>
    <row r="8" spans="2:21" ht="18" customHeight="1" x14ac:dyDescent="0.25">
      <c r="B8" s="32" t="str">
        <f>'Data Entry'!A8</f>
        <v>3. Refer to Juvenile Court</v>
      </c>
      <c r="C8" s="33">
        <f>'Data Entry'!C8</f>
        <v>65</v>
      </c>
      <c r="D8" s="34">
        <f>IF((AND(C67&gt;0,C8&gt;0)),(C8/C67),0)</f>
        <v>282.60869565217388</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65</v>
      </c>
      <c r="Q8" s="42">
        <f>(C$67*L67)-C8</f>
        <v>-42</v>
      </c>
      <c r="R8" s="42">
        <f t="shared" si="5"/>
        <v>23.049999999999997</v>
      </c>
      <c r="S8" s="30">
        <f t="shared" si="6"/>
        <v>243.46562499999996</v>
      </c>
      <c r="T8" s="30">
        <f t="shared" si="7"/>
        <v>-3135.7625000000007</v>
      </c>
      <c r="U8" s="31">
        <f t="shared" si="8"/>
        <v>-7.7641602321604358E-2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65</v>
      </c>
      <c r="R9" s="42">
        <f t="shared" si="5"/>
        <v>65</v>
      </c>
      <c r="S9" s="30">
        <f t="shared" si="6"/>
        <v>0</v>
      </c>
      <c r="T9" s="30">
        <f t="shared" si="7"/>
        <v>0</v>
      </c>
      <c r="U9" s="31" t="str">
        <f t="shared" si="8"/>
        <v>- -</v>
      </c>
    </row>
    <row r="10" spans="2:21" ht="18" customHeight="1" x14ac:dyDescent="0.25">
      <c r="B10" s="32" t="str">
        <f>'Data Entry'!A10</f>
        <v>5. Cases Involving Secure Detention</v>
      </c>
      <c r="C10" s="33">
        <f>'Data Entry'!C10</f>
        <v>7</v>
      </c>
      <c r="D10" s="34">
        <f>IF(((AND(C68&gt;0,C10&gt;0))),(C10/(C68)),0)</f>
        <v>10.769230769230768</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v>
      </c>
      <c r="Q10" s="42">
        <f>(C$68*L68)-C10</f>
        <v>58</v>
      </c>
      <c r="R10" s="42">
        <f t="shared" si="5"/>
        <v>65</v>
      </c>
      <c r="S10" s="30">
        <f t="shared" si="6"/>
        <v>0</v>
      </c>
      <c r="T10" s="30">
        <f t="shared" si="7"/>
        <v>0</v>
      </c>
      <c r="U10" s="31" t="str">
        <f t="shared" si="8"/>
        <v>- -</v>
      </c>
    </row>
    <row r="11" spans="2:21" ht="18" customHeight="1" x14ac:dyDescent="0.25">
      <c r="B11" s="32" t="str">
        <f>'Data Entry'!A11</f>
        <v>6. Cases Petitioned (Charge Filed)</v>
      </c>
      <c r="C11" s="33">
        <f>'Data Entry'!C11</f>
        <v>20</v>
      </c>
      <c r="D11" s="34">
        <f>IF(((AND(C68&gt;0,C11&gt;0))),(C11/(C68)),0)</f>
        <v>30.769230769230766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45</v>
      </c>
      <c r="R11" s="42">
        <f t="shared" si="5"/>
        <v>65</v>
      </c>
      <c r="S11" s="30">
        <f t="shared" si="6"/>
        <v>0</v>
      </c>
      <c r="T11" s="30">
        <f t="shared" si="7"/>
        <v>0</v>
      </c>
      <c r="U11" s="31" t="str">
        <f t="shared" si="8"/>
        <v>- -</v>
      </c>
    </row>
    <row r="12" spans="2:21" ht="18" customHeight="1" x14ac:dyDescent="0.25">
      <c r="B12" s="32" t="str">
        <f>'Data Entry'!A12</f>
        <v>7. Cases Resulting in Delinquent Findings</v>
      </c>
      <c r="C12" s="33">
        <f>'Data Entry'!C12</f>
        <v>18</v>
      </c>
      <c r="D12" s="34">
        <f>IF(((AND(C69&gt;0,C12&gt;0))),(C12/(C69)),0)</f>
        <v>90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2</v>
      </c>
      <c r="R12" s="42">
        <f t="shared" si="5"/>
        <v>20</v>
      </c>
      <c r="S12" s="30">
        <f t="shared" si="6"/>
        <v>0</v>
      </c>
      <c r="T12" s="30">
        <f t="shared" si="7"/>
        <v>0</v>
      </c>
      <c r="U12" s="31" t="str">
        <f t="shared" si="8"/>
        <v>- -</v>
      </c>
    </row>
    <row r="13" spans="2:21" ht="18" customHeight="1" x14ac:dyDescent="0.25">
      <c r="B13" s="32" t="str">
        <f>'Data Entry'!A13</f>
        <v>8. Cases Resulting in Probation Placement</v>
      </c>
      <c r="C13" s="33">
        <f>'Data Entry'!C13</f>
        <v>15</v>
      </c>
      <c r="D13" s="34">
        <f>IF(((AND(C70&gt;0,C13&gt;0))),(C13/(C70)),0)</f>
        <v>83.333333333333343</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15</v>
      </c>
      <c r="Q13" s="42">
        <f>(C70*L70)-C13</f>
        <v>3</v>
      </c>
      <c r="R13" s="42">
        <f t="shared" si="5"/>
        <v>18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4</v>
      </c>
      <c r="D14" s="34">
        <f>IF(((AND(C70&gt;0,C14&gt;0))), ((C14/(C70))),0)</f>
        <v>22.222222222222221</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4</v>
      </c>
      <c r="Q14" s="42">
        <f>(C70*L70)-C14</f>
        <v>14</v>
      </c>
      <c r="R14" s="42">
        <f t="shared" si="5"/>
        <v>18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5.2009999999999996</v>
      </c>
      <c r="D42" s="56">
        <f>E6/1000</f>
        <v>2.9000000000000001E-2</v>
      </c>
      <c r="E42" s="56">
        <f>MAX(C42:D42)</f>
        <v>5.2009999999999996</v>
      </c>
      <c r="G42" s="1" t="str">
        <f>B42</f>
        <v>per 1000 youth</v>
      </c>
      <c r="L42" s="57">
        <v>1000</v>
      </c>
      <c r="M42" s="57"/>
      <c r="R42" s="49"/>
    </row>
    <row r="43" spans="2:18" ht="15" hidden="1" customHeight="1" x14ac:dyDescent="0.25">
      <c r="B43" s="49" t="s">
        <v>87</v>
      </c>
      <c r="C43" s="56">
        <f>C7/100</f>
        <v>0.23</v>
      </c>
      <c r="D43" s="56">
        <f>E7/100</f>
        <v>0</v>
      </c>
      <c r="E43" s="56">
        <f>MAX(C43:D43,0)</f>
        <v>0.23</v>
      </c>
      <c r="G43" s="1" t="str">
        <f>B43</f>
        <v>per 100 arrests</v>
      </c>
      <c r="L43" s="57">
        <v>100</v>
      </c>
      <c r="M43" s="57"/>
      <c r="R43" s="49"/>
    </row>
    <row r="44" spans="2:18" ht="15" hidden="1" customHeight="1" x14ac:dyDescent="0.25">
      <c r="B44" s="49" t="s">
        <v>88</v>
      </c>
      <c r="C44" s="56">
        <f>C8/100</f>
        <v>0.65</v>
      </c>
      <c r="D44" s="56">
        <f>E8/100</f>
        <v>0</v>
      </c>
      <c r="E44" s="56">
        <f>MAX(C44:D44,0)</f>
        <v>0.65</v>
      </c>
      <c r="G44" s="1" t="str">
        <f>B44</f>
        <v>per 100 referrals</v>
      </c>
      <c r="L44" s="57">
        <v>100</v>
      </c>
      <c r="M44" s="57"/>
      <c r="R44" s="49"/>
    </row>
    <row r="45" spans="2:18" ht="15" hidden="1" customHeight="1" x14ac:dyDescent="0.25">
      <c r="B45" s="49" t="s">
        <v>89</v>
      </c>
      <c r="C45" s="49">
        <f>C11/100</f>
        <v>0.2</v>
      </c>
      <c r="D45" s="49">
        <f>E11/100</f>
        <v>0</v>
      </c>
      <c r="E45" s="56">
        <f>MAX(C45:D45,0)</f>
        <v>0.2</v>
      </c>
      <c r="G45" s="1" t="str">
        <f>B45</f>
        <v>per 100 youth petitioned</v>
      </c>
      <c r="L45" s="57">
        <v>100</v>
      </c>
      <c r="M45" s="57"/>
      <c r="R45" s="49"/>
    </row>
    <row r="46" spans="2:18" ht="15" hidden="1" customHeight="1" x14ac:dyDescent="0.25">
      <c r="B46" s="49" t="s">
        <v>90</v>
      </c>
      <c r="C46" s="49">
        <f>C12/100</f>
        <v>0.18</v>
      </c>
      <c r="D46" s="49">
        <f>E12/100</f>
        <v>0</v>
      </c>
      <c r="E46" s="56">
        <f>MAX(C46:D46)</f>
        <v>0.18</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5.2009999999999996</v>
      </c>
      <c r="D48" s="56">
        <f>D42</f>
        <v>2.9000000000000001E-2</v>
      </c>
      <c r="E48" s="56">
        <f>MAX(C48:D48)</f>
        <v>5.2009999999999996</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0.23</v>
      </c>
      <c r="D49" s="49">
        <f t="shared" si="9"/>
        <v>0</v>
      </c>
      <c r="E49" s="49">
        <f>MAX(C49:D49)</f>
        <v>0.23</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0.65</v>
      </c>
      <c r="D50" s="49">
        <f t="shared" si="9"/>
        <v>0</v>
      </c>
      <c r="E50" s="49">
        <f>MAX(C50:D50)</f>
        <v>0.65</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x14ac:dyDescent="0.25">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5.2009999999999996</v>
      </c>
      <c r="D54" s="56">
        <f>D48</f>
        <v>2.9000000000000001E-2</v>
      </c>
      <c r="E54" s="56">
        <f>MAX(C54:D54)</f>
        <v>5.2009999999999996</v>
      </c>
      <c r="G54" s="1" t="str">
        <f>G48</f>
        <v>per 1000 youth</v>
      </c>
      <c r="L54" s="58">
        <f>L48</f>
        <v>1000</v>
      </c>
      <c r="M54" s="58"/>
    </row>
    <row r="55" spans="2:18" ht="15" hidden="1" customHeight="1" x14ac:dyDescent="0.25">
      <c r="B55" s="49" t="str">
        <f t="shared" ref="B55:D56" si="10">IF(($E49&gt;0),B49,B48)</f>
        <v>per 100 arrests</v>
      </c>
      <c r="C55" s="49">
        <f t="shared" si="10"/>
        <v>0.23</v>
      </c>
      <c r="D55" s="49">
        <f t="shared" si="10"/>
        <v>0</v>
      </c>
      <c r="E55" s="49">
        <f>MAX(C55:D55)</f>
        <v>0.23</v>
      </c>
      <c r="G55" s="1" t="str">
        <f>G49</f>
        <v>per 100 arrests</v>
      </c>
      <c r="L55" s="58">
        <f>IF(($E49&gt;0),L49,L48)</f>
        <v>100</v>
      </c>
      <c r="M55" s="58"/>
    </row>
    <row r="56" spans="2:18" ht="15" hidden="1" customHeight="1" x14ac:dyDescent="0.25">
      <c r="B56" s="49" t="str">
        <f t="shared" si="10"/>
        <v>per 100 referrals</v>
      </c>
      <c r="C56" s="49">
        <f t="shared" si="10"/>
        <v>0.65</v>
      </c>
      <c r="D56" s="49">
        <f t="shared" si="10"/>
        <v>0</v>
      </c>
      <c r="E56" s="49">
        <f>MAX(C56:D56)</f>
        <v>0.65</v>
      </c>
      <c r="G56" s="1" t="str">
        <f>G50</f>
        <v>per 100 referrals</v>
      </c>
      <c r="L56" s="58">
        <f>IF(($E50&gt;0),L50,L49)</f>
        <v>100</v>
      </c>
      <c r="M56" s="58"/>
    </row>
    <row r="57" spans="2:18" ht="15" hidden="1" customHeight="1" x14ac:dyDescent="0.25">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x14ac:dyDescent="0.25">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5.2009999999999996</v>
      </c>
      <c r="D60" s="56">
        <f>D54</f>
        <v>2.9000000000000001E-2</v>
      </c>
      <c r="E60" s="56">
        <f>MAX(C60:D60)</f>
        <v>5.2009999999999996</v>
      </c>
      <c r="G60" s="1" t="str">
        <f>G54</f>
        <v>per 1000 youth</v>
      </c>
      <c r="L60" s="58">
        <f>L54</f>
        <v>1000</v>
      </c>
      <c r="M60" s="58"/>
    </row>
    <row r="61" spans="2:18" ht="15" hidden="1" customHeight="1" x14ac:dyDescent="0.25">
      <c r="B61" s="49" t="str">
        <f t="shared" ref="B61:D62" si="11">IF(($E55&gt;0),B55,B54)</f>
        <v>per 100 arrests</v>
      </c>
      <c r="C61" s="49">
        <f t="shared" si="11"/>
        <v>0.23</v>
      </c>
      <c r="D61" s="49">
        <f t="shared" si="11"/>
        <v>0</v>
      </c>
      <c r="E61" s="49">
        <f>MAX(C61:D61)</f>
        <v>0.23</v>
      </c>
      <c r="G61" s="1" t="str">
        <f>G55</f>
        <v>per 100 arrests</v>
      </c>
      <c r="L61" s="58">
        <f>IF(($E55&gt;0),L55,L54)</f>
        <v>100</v>
      </c>
      <c r="M61" s="58"/>
    </row>
    <row r="62" spans="2:18" ht="15" hidden="1" customHeight="1" x14ac:dyDescent="0.25">
      <c r="B62" s="49" t="str">
        <f t="shared" si="11"/>
        <v>per 100 referrals</v>
      </c>
      <c r="C62" s="49">
        <f t="shared" si="11"/>
        <v>0.65</v>
      </c>
      <c r="D62" s="49">
        <f t="shared" si="11"/>
        <v>0</v>
      </c>
      <c r="E62" s="49">
        <f>MAX(C62:D62)</f>
        <v>0.65</v>
      </c>
      <c r="G62" s="1" t="str">
        <f>G56</f>
        <v>per 100 referrals</v>
      </c>
      <c r="L62" s="58">
        <f>IF(($E56&gt;0),L56,L55)</f>
        <v>100</v>
      </c>
      <c r="M62" s="58"/>
    </row>
    <row r="63" spans="2:18" ht="15" hidden="1" customHeight="1" x14ac:dyDescent="0.25">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x14ac:dyDescent="0.25">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5.2009999999999996</v>
      </c>
      <c r="D66" s="56">
        <f>D60</f>
        <v>2.9000000000000001E-2</v>
      </c>
      <c r="E66" s="56">
        <f>MAX(C66:D66)</f>
        <v>5.2009999999999996</v>
      </c>
      <c r="G66" s="1" t="str">
        <f>G60</f>
        <v>per 1000 youth</v>
      </c>
      <c r="L66" s="58">
        <f>L60</f>
        <v>1000</v>
      </c>
      <c r="M66" s="58">
        <f>IF((B66=G66),1,2)</f>
        <v>1</v>
      </c>
    </row>
    <row r="67" spans="2:13" ht="15" hidden="1" customHeight="1" x14ac:dyDescent="0.25">
      <c r="B67" s="49" t="str">
        <f t="shared" ref="B67:D68" si="12">IF(($E61&gt;0),B61,B60)</f>
        <v>per 100 arrests</v>
      </c>
      <c r="C67" s="49">
        <f t="shared" si="12"/>
        <v>0.23</v>
      </c>
      <c r="D67" s="49">
        <f t="shared" si="12"/>
        <v>0</v>
      </c>
      <c r="E67" s="49">
        <f>MAX(C67:D67)</f>
        <v>0.23</v>
      </c>
      <c r="G67" s="1" t="str">
        <f>G61</f>
        <v>per 100 arrests</v>
      </c>
      <c r="L67" s="58">
        <f>IF(($E61&gt;0),L61,L60)</f>
        <v>100</v>
      </c>
      <c r="M67" s="58">
        <f>IF((B67=G67),1,2)</f>
        <v>1</v>
      </c>
    </row>
    <row r="68" spans="2:13" ht="15" hidden="1" customHeight="1" x14ac:dyDescent="0.25">
      <c r="B68" s="49" t="str">
        <f t="shared" si="12"/>
        <v>per 100 referrals</v>
      </c>
      <c r="C68" s="49">
        <f t="shared" si="12"/>
        <v>0.65</v>
      </c>
      <c r="D68" s="49">
        <f t="shared" si="12"/>
        <v>0</v>
      </c>
      <c r="E68" s="49">
        <f>MAX(C68:D68)</f>
        <v>0.65</v>
      </c>
      <c r="G68" s="1" t="str">
        <f>G62</f>
        <v>per 100 referrals</v>
      </c>
      <c r="L68" s="58">
        <f>IF(($E62&gt;0),L62,L61)</f>
        <v>100</v>
      </c>
      <c r="M68" s="58">
        <f>IF((B68=G68),1,2)</f>
        <v>1</v>
      </c>
    </row>
    <row r="69" spans="2:13" ht="15" hidden="1" customHeight="1" x14ac:dyDescent="0.25">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U47JMPN4QEAR-1806752177-30178</_dlc_DocId>
    <_dlc_DocIdUrl xmlns="ac3811b5-0f3e-49e2-ba69-f2ffa0c782af">
      <Url>https://michiganphi.sharepoint.com/sites/CMDMC/_layouts/15/DocIdRedir.aspx?ID=U47JMPN4QEAR-1806752177-30178</Url>
      <Description>U47JMPN4QEAR-1806752177-30178</Description>
    </_dlc_DocIdUrl>
  </documentManagement>
</p:properties>
</file>

<file path=customXml/itemProps1.xml><?xml version="1.0" encoding="utf-8"?>
<ds:datastoreItem xmlns:ds="http://schemas.openxmlformats.org/officeDocument/2006/customXml" ds:itemID="{8E95703F-6DE3-49E9-9B55-1A4449EAF607}"/>
</file>

<file path=customXml/itemProps2.xml><?xml version="1.0" encoding="utf-8"?>
<ds:datastoreItem xmlns:ds="http://schemas.openxmlformats.org/officeDocument/2006/customXml" ds:itemID="{55AB6049-1B58-46F6-B34F-D1479DD5AA24}"/>
</file>

<file path=customXml/itemProps3.xml><?xml version="1.0" encoding="utf-8"?>
<ds:datastoreItem xmlns:ds="http://schemas.openxmlformats.org/officeDocument/2006/customXml" ds:itemID="{0CF03362-3CE2-40A5-A7E8-A76EB82C2D28}"/>
</file>

<file path=customXml/itemProps4.xml><?xml version="1.0" encoding="utf-8"?>
<ds:datastoreItem xmlns:ds="http://schemas.openxmlformats.org/officeDocument/2006/customXml" ds:itemID="{4C2B8C2E-14D0-499B-8FD2-A38DE6A0A1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19b065f8-f826-4c7b-ae40-ff41c6f96d19</vt:lpwstr>
  </property>
</Properties>
</file>