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7615D44D-1AA1-40E4-87A9-6298F5AB5CF5}" xr6:coauthVersionLast="47" xr6:coauthVersionMax="47" xr10:uidLastSave="{DB0D97D7-27F2-42D2-8DEA-6DAC881DE755}"/>
  <bookViews>
    <workbookView xWindow="-120" yWindow="-120" windowWidth="29040" windowHeight="15720" tabRatio="674"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52" i="3"/>
  <c r="G58" i="3" s="1"/>
  <c r="G64" i="3" s="1"/>
  <c r="G70" i="3" s="1"/>
  <c r="L54" i="3"/>
  <c r="L60" i="3"/>
  <c r="L66" i="3"/>
  <c r="G69"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F27" i="8"/>
  <c r="M66"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3" i="6"/>
  <c r="C49" i="6" s="1"/>
  <c r="E46" i="3"/>
  <c r="L52" i="3"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49" i="6"/>
  <c r="B49" i="6"/>
  <c r="D23" i="10"/>
  <c r="C48" i="7"/>
  <c r="E42" i="7"/>
  <c r="C54" i="8"/>
  <c r="E48" i="8"/>
  <c r="H26" i="10"/>
  <c r="D26" i="10"/>
  <c r="I26" i="10"/>
  <c r="C26" i="10"/>
  <c r="E20" i="10"/>
  <c r="C20" i="10"/>
  <c r="G20" i="10"/>
  <c r="H20" i="10"/>
  <c r="D20" i="10"/>
  <c r="G23" i="10"/>
  <c r="G19" i="10"/>
  <c r="E44" i="7"/>
  <c r="H23" i="10"/>
  <c r="E22" i="10"/>
  <c r="E25" i="10"/>
  <c r="F20" i="10"/>
  <c r="D50" i="6" l="1"/>
  <c r="L50" i="6"/>
  <c r="B52" i="3"/>
  <c r="D50" i="5"/>
  <c r="E50" i="5" s="1"/>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E51" i="2" s="1"/>
  <c r="E49" i="5"/>
  <c r="C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8" l="1"/>
  <c r="L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64" i="5" l="1"/>
  <c r="L64" i="5"/>
  <c r="C64" i="5"/>
  <c r="D64" i="5"/>
  <c r="E58" i="8"/>
  <c r="L64" i="8" s="1"/>
  <c r="L64" i="3"/>
  <c r="C57" i="8"/>
  <c r="B56" i="8"/>
  <c r="L56"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C64" i="8"/>
  <c r="B64" i="8"/>
  <c r="I7" i="9"/>
  <c r="E57" i="8"/>
  <c r="B63" i="8" s="1"/>
  <c r="Q8" i="13"/>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E64" i="8"/>
  <c r="C63" i="8"/>
  <c r="D63" i="8"/>
  <c r="L63" i="8"/>
  <c r="D70" i="6"/>
  <c r="F13" i="6" s="1"/>
  <c r="E63" i="3"/>
  <c r="C69" i="3" s="1"/>
  <c r="D12" i="3" s="1"/>
  <c r="C70" i="6"/>
  <c r="C70" i="3"/>
  <c r="D14" i="3" s="1"/>
  <c r="L70" i="6"/>
  <c r="L69" i="7"/>
  <c r="C69" i="7"/>
  <c r="D12" i="7" s="1"/>
  <c r="L70" i="3"/>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L70" i="8" l="1"/>
  <c r="B70" i="8"/>
  <c r="M70" i="8" s="1"/>
  <c r="E63" i="8"/>
  <c r="D69" i="8" s="1"/>
  <c r="F15" i="8" s="1"/>
  <c r="C70" i="8"/>
  <c r="D70" i="8"/>
  <c r="F13" i="8" s="1"/>
  <c r="D15" i="3"/>
  <c r="E70" i="6"/>
  <c r="F14" i="6"/>
  <c r="O13" i="6"/>
  <c r="L69" i="3"/>
  <c r="Q12" i="3" s="1"/>
  <c r="D69" i="3"/>
  <c r="E69" i="3" s="1"/>
  <c r="Q13" i="3"/>
  <c r="B69" i="6"/>
  <c r="M69" i="6" s="1"/>
  <c r="O14" i="6"/>
  <c r="Q14" i="3"/>
  <c r="D13" i="3"/>
  <c r="O13" i="3"/>
  <c r="F14" i="3"/>
  <c r="Q14" i="6"/>
  <c r="Q13" i="6"/>
  <c r="D15" i="7"/>
  <c r="C69" i="6"/>
  <c r="D12" i="6" s="1"/>
  <c r="Q15" i="7"/>
  <c r="D13" i="6"/>
  <c r="B69" i="3"/>
  <c r="M69" i="3" s="1"/>
  <c r="D14" i="6"/>
  <c r="E69" i="7"/>
  <c r="Q12" i="7"/>
  <c r="F12" i="7"/>
  <c r="O12" i="7"/>
  <c r="O15" i="7"/>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F8" i="2"/>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F34" i="8"/>
  <c r="R14" i="5"/>
  <c r="S14" i="5" s="1"/>
  <c r="U14" i="5" s="1"/>
  <c r="J14" i="5" s="1"/>
  <c r="M14" i="5" s="1"/>
  <c r="F33" i="8"/>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U11" i="5" l="1"/>
  <c r="J11" i="5" s="1"/>
  <c r="O15" i="3"/>
  <c r="F12" i="8"/>
  <c r="Q14" i="8"/>
  <c r="C69" i="8"/>
  <c r="D12" i="8" s="1"/>
  <c r="L69" i="8"/>
  <c r="O15" i="8" s="1"/>
  <c r="Q13" i="8"/>
  <c r="B69" i="8"/>
  <c r="M69" i="8" s="1"/>
  <c r="D13" i="8"/>
  <c r="O14" i="8"/>
  <c r="D14" i="8"/>
  <c r="E70" i="8"/>
  <c r="O13" i="8"/>
  <c r="F14" i="8"/>
  <c r="T13" i="6"/>
  <c r="F15" i="3"/>
  <c r="F12" i="3"/>
  <c r="Q15" i="3"/>
  <c r="K15" i="3" s="1"/>
  <c r="O12" i="3"/>
  <c r="R12" i="3" s="1"/>
  <c r="S12" i="3" s="1"/>
  <c r="U13" i="4"/>
  <c r="J13" i="4" s="1"/>
  <c r="M13" i="4" s="1"/>
  <c r="G13" i="4" s="1"/>
  <c r="G14" i="16" s="1"/>
  <c r="F35" i="6"/>
  <c r="K15" i="7"/>
  <c r="R13" i="3"/>
  <c r="S13" i="3" s="1"/>
  <c r="F32" i="6"/>
  <c r="K13" i="3"/>
  <c r="R14" i="3"/>
  <c r="S14" i="3" s="1"/>
  <c r="T15" i="7"/>
  <c r="T13" i="3"/>
  <c r="U14" i="4"/>
  <c r="J14" i="4" s="1"/>
  <c r="M14" i="4" s="1"/>
  <c r="G14" i="4" s="1"/>
  <c r="G15" i="16" s="1"/>
  <c r="R15" i="7"/>
  <c r="S15" i="7" s="1"/>
  <c r="U15" i="7" s="1"/>
  <c r="J15" i="7" s="1"/>
  <c r="M15" i="7" s="1"/>
  <c r="R13" i="6"/>
  <c r="S13" i="6" s="1"/>
  <c r="U13" i="6" s="1"/>
  <c r="J13" i="6" s="1"/>
  <c r="M13" i="6" s="1"/>
  <c r="G13" i="6" s="1"/>
  <c r="G13" i="9" s="1"/>
  <c r="F32" i="3"/>
  <c r="R14" i="6"/>
  <c r="S14" i="6" s="1"/>
  <c r="F35" i="3"/>
  <c r="U9" i="4"/>
  <c r="J9" i="4" s="1"/>
  <c r="M9" i="4" s="1"/>
  <c r="G9" i="4" s="1"/>
  <c r="G10" i="16" s="1"/>
  <c r="T14" i="6"/>
  <c r="K14" i="6"/>
  <c r="K13" i="6"/>
  <c r="K12" i="7"/>
  <c r="D15" i="6"/>
  <c r="Q12" i="6"/>
  <c r="Q15" i="6"/>
  <c r="K14" i="3"/>
  <c r="T14" i="3"/>
  <c r="O12" i="6"/>
  <c r="R12" i="7"/>
  <c r="S12" i="7" s="1"/>
  <c r="U12" i="7" s="1"/>
  <c r="J12" i="7" s="1"/>
  <c r="M12" i="7" s="1"/>
  <c r="T12" i="7"/>
  <c r="E69" i="6"/>
  <c r="O15" i="6"/>
  <c r="U10" i="3"/>
  <c r="J10" i="3" s="1"/>
  <c r="M10" i="3" s="1"/>
  <c r="G10" i="3" s="1"/>
  <c r="I11" i="16" s="1"/>
  <c r="G11" i="3"/>
  <c r="E11" i="9" s="1"/>
  <c r="U10" i="4"/>
  <c r="J10" i="4" s="1"/>
  <c r="M10" i="4" s="1"/>
  <c r="G10" i="4" s="1"/>
  <c r="G11" i="16" s="1"/>
  <c r="F15" i="6"/>
  <c r="L11" i="4"/>
  <c r="O12" i="16" s="1"/>
  <c r="K8" i="7"/>
  <c r="O13" i="2"/>
  <c r="T8" i="7"/>
  <c r="U8" i="7" s="1"/>
  <c r="J8" i="7" s="1"/>
  <c r="M8" i="7" s="1"/>
  <c r="T13" i="7"/>
  <c r="Q10" i="7"/>
  <c r="F13" i="2"/>
  <c r="Q11" i="7"/>
  <c r="R8" i="6"/>
  <c r="S8" i="6" s="1"/>
  <c r="F14" i="2"/>
  <c r="E69" i="8"/>
  <c r="F10" i="7"/>
  <c r="F30" i="7"/>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D13" i="2"/>
  <c r="E70" i="2"/>
  <c r="Q14" i="2"/>
  <c r="K14" i="2"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4" i="8" l="1"/>
  <c r="Q15" i="8"/>
  <c r="R15" i="8" s="1"/>
  <c r="S15" i="8" s="1"/>
  <c r="F35" i="8"/>
  <c r="K13" i="8"/>
  <c r="F32" i="8"/>
  <c r="O12" i="8"/>
  <c r="Q12" i="8"/>
  <c r="T13" i="8"/>
  <c r="R14" i="8"/>
  <c r="S14" i="8" s="1"/>
  <c r="U14" i="8" s="1"/>
  <c r="J14" i="8" s="1"/>
  <c r="N30" i="8" s="1"/>
  <c r="R13" i="8"/>
  <c r="S13" i="8" s="1"/>
  <c r="K14" i="8"/>
  <c r="T12" i="3"/>
  <c r="U12" i="3" s="1"/>
  <c r="J12" i="3" s="1"/>
  <c r="R15" i="3"/>
  <c r="S15" i="3" s="1"/>
  <c r="T15" i="3"/>
  <c r="L13" i="4"/>
  <c r="O14" i="16" s="1"/>
  <c r="K12" i="3"/>
  <c r="U14" i="6"/>
  <c r="J14" i="6" s="1"/>
  <c r="M14" i="6" s="1"/>
  <c r="G14" i="6" s="1"/>
  <c r="M15" i="13" s="1"/>
  <c r="U14" i="3"/>
  <c r="J14" i="3" s="1"/>
  <c r="M14" i="3" s="1"/>
  <c r="G14" i="3" s="1"/>
  <c r="U13" i="3"/>
  <c r="J13" i="3" s="1"/>
  <c r="M13" i="3" s="1"/>
  <c r="G13" i="3" s="1"/>
  <c r="I14" i="13" s="1"/>
  <c r="K12" i="6"/>
  <c r="N30" i="4"/>
  <c r="L14" i="4"/>
  <c r="O15" i="16" s="1"/>
  <c r="L9" i="4"/>
  <c r="O10" i="16" s="1"/>
  <c r="M14" i="13"/>
  <c r="D9" i="9"/>
  <c r="G10" i="13"/>
  <c r="L15" i="7"/>
  <c r="S16" i="16" s="1"/>
  <c r="L13" i="6"/>
  <c r="R14" i="16" s="1"/>
  <c r="L12" i="7"/>
  <c r="S13" i="16" s="1"/>
  <c r="K15" i="6"/>
  <c r="I12" i="16"/>
  <c r="R15" i="6"/>
  <c r="S15" i="6" s="1"/>
  <c r="U15" i="6" s="1"/>
  <c r="J15" i="6" s="1"/>
  <c r="M15" i="6" s="1"/>
  <c r="G15" i="6" s="1"/>
  <c r="R12" i="6"/>
  <c r="S12" i="6" s="1"/>
  <c r="U12" i="6" s="1"/>
  <c r="J12" i="6" s="1"/>
  <c r="M12" i="6" s="1"/>
  <c r="G12" i="6" s="1"/>
  <c r="T12" i="6"/>
  <c r="T15" i="6"/>
  <c r="D10" i="9"/>
  <c r="I12" i="13"/>
  <c r="E10" i="9"/>
  <c r="L10" i="3"/>
  <c r="P11" i="16" s="1"/>
  <c r="I11" i="13"/>
  <c r="L10" i="4"/>
  <c r="O11" i="16" s="1"/>
  <c r="G11" i="13"/>
  <c r="U12" i="13"/>
  <c r="M11" i="9"/>
  <c r="T13" i="2"/>
  <c r="U8" i="6"/>
  <c r="J8" i="6" s="1"/>
  <c r="M8" i="6" s="1"/>
  <c r="G8" i="6" s="1"/>
  <c r="M9" i="13" s="1"/>
  <c r="R13" i="2"/>
  <c r="S13" i="2" s="1"/>
  <c r="T15" i="8"/>
  <c r="U15" i="8" s="1"/>
  <c r="J15" i="8" s="1"/>
  <c r="R10" i="7"/>
  <c r="S10" i="7" s="1"/>
  <c r="T11" i="7"/>
  <c r="T10" i="7"/>
  <c r="L8" i="2"/>
  <c r="N9" i="16" s="1"/>
  <c r="K13" i="2"/>
  <c r="R15" i="5"/>
  <c r="S15" i="5" s="1"/>
  <c r="U15" i="5" s="1"/>
  <c r="J15" i="5" s="1"/>
  <c r="M15" i="5" s="1"/>
  <c r="K11" i="7"/>
  <c r="K15" i="8"/>
  <c r="T9" i="7"/>
  <c r="R11" i="7"/>
  <c r="S11" i="7" s="1"/>
  <c r="U11" i="7" s="1"/>
  <c r="J11" i="7" s="1"/>
  <c r="K12" i="5"/>
  <c r="L12" i="5" s="1"/>
  <c r="Q13" i="16" s="1"/>
  <c r="T12" i="5"/>
  <c r="K10" i="7"/>
  <c r="R14" i="2"/>
  <c r="S14" i="2" s="1"/>
  <c r="D13" i="9"/>
  <c r="G14" i="13"/>
  <c r="K9" i="7"/>
  <c r="T14" i="2"/>
  <c r="V12" i="13"/>
  <c r="N11" i="9"/>
  <c r="T15" i="5"/>
  <c r="W14" i="13"/>
  <c r="L13" i="7"/>
  <c r="S14" i="16" s="1"/>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U15" i="3" l="1"/>
  <c r="J15" i="3" s="1"/>
  <c r="M15" i="3" s="1"/>
  <c r="G15" i="3" s="1"/>
  <c r="I16" i="16" s="1"/>
  <c r="U10" i="7"/>
  <c r="J10" i="7" s="1"/>
  <c r="U13" i="8"/>
  <c r="J13" i="8" s="1"/>
  <c r="M13" i="8" s="1"/>
  <c r="G13" i="8" s="1"/>
  <c r="K14" i="16" s="1"/>
  <c r="R12" i="8"/>
  <c r="S12" i="8" s="1"/>
  <c r="L12" i="3"/>
  <c r="P13" i="16" s="1"/>
  <c r="K12" i="8"/>
  <c r="T12" i="8"/>
  <c r="M12" i="3"/>
  <c r="G12" i="3" s="1"/>
  <c r="I13" i="16" s="1"/>
  <c r="U14" i="13"/>
  <c r="M13" i="9"/>
  <c r="L14" i="6"/>
  <c r="R15" i="16" s="1"/>
  <c r="U10" i="13"/>
  <c r="N30" i="6"/>
  <c r="G14" i="9"/>
  <c r="Y16" i="13"/>
  <c r="Q15" i="9"/>
  <c r="L14" i="3"/>
  <c r="P15" i="16" s="1"/>
  <c r="N30" i="3"/>
  <c r="U15" i="13"/>
  <c r="M14" i="9"/>
  <c r="L13" i="3"/>
  <c r="V14" i="13" s="1"/>
  <c r="M9" i="9"/>
  <c r="L15" i="3"/>
  <c r="P16" i="16" s="1"/>
  <c r="I16" i="13"/>
  <c r="E15" i="9"/>
  <c r="Y13" i="13"/>
  <c r="L12" i="6"/>
  <c r="R13" i="16" s="1"/>
  <c r="X14" i="13"/>
  <c r="P13" i="9"/>
  <c r="L15" i="6"/>
  <c r="R16" i="16" s="1"/>
  <c r="E13" i="9"/>
  <c r="I14" i="16"/>
  <c r="I15" i="16"/>
  <c r="I15" i="13"/>
  <c r="E14" i="9"/>
  <c r="U13" i="2"/>
  <c r="J13" i="2" s="1"/>
  <c r="M13" i="2" s="1"/>
  <c r="G13" i="2" s="1"/>
  <c r="E14" i="16" s="1"/>
  <c r="M14" i="8"/>
  <c r="G14" i="8" s="1"/>
  <c r="K15" i="16" s="1"/>
  <c r="L14" i="8"/>
  <c r="T15" i="16" s="1"/>
  <c r="Q12" i="9"/>
  <c r="M10" i="9"/>
  <c r="N10" i="9"/>
  <c r="V11" i="13"/>
  <c r="U11" i="13"/>
  <c r="U14" i="2"/>
  <c r="J14" i="2" s="1"/>
  <c r="M14" i="2" s="1"/>
  <c r="G14" i="2" s="1"/>
  <c r="E15" i="16" s="1"/>
  <c r="L8" i="6"/>
  <c r="R9" i="16" s="1"/>
  <c r="L10" i="7"/>
  <c r="S11" i="16" s="1"/>
  <c r="L15" i="5"/>
  <c r="Q16" i="16" s="1"/>
  <c r="T9" i="13"/>
  <c r="L8" i="9"/>
  <c r="G8" i="9"/>
  <c r="Q14" i="9"/>
  <c r="Y15" i="13"/>
  <c r="Y14" i="13"/>
  <c r="E9" i="13"/>
  <c r="Q13" i="9"/>
  <c r="L10" i="2"/>
  <c r="N11" i="16" s="1"/>
  <c r="M10" i="7"/>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I13" i="13"/>
  <c r="D8" i="9"/>
  <c r="G9" i="13"/>
  <c r="U9" i="8"/>
  <c r="J9" i="8" s="1"/>
  <c r="M9" i="8" s="1"/>
  <c r="G9" i="8" s="1"/>
  <c r="K10" i="16" s="1"/>
  <c r="C10" i="9"/>
  <c r="E11" i="13"/>
  <c r="N12" i="9"/>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V13" i="13" l="1"/>
  <c r="Q14" i="13"/>
  <c r="I13" i="9"/>
  <c r="L13" i="8"/>
  <c r="T14" i="16" s="1"/>
  <c r="U12" i="8"/>
  <c r="J12" i="8" s="1"/>
  <c r="M12" i="8" s="1"/>
  <c r="G12" i="8" s="1"/>
  <c r="K13" i="16" s="1"/>
  <c r="E12" i="9"/>
  <c r="X13" i="13"/>
  <c r="P14" i="9"/>
  <c r="X15" i="13"/>
  <c r="N15" i="9"/>
  <c r="V15" i="13"/>
  <c r="P12" i="9"/>
  <c r="N14" i="9"/>
  <c r="V16" i="13"/>
  <c r="P14" i="16"/>
  <c r="N13" i="9"/>
  <c r="P15" i="9"/>
  <c r="X16" i="13"/>
  <c r="Z15" i="13"/>
  <c r="L13" i="2"/>
  <c r="N14" i="16" s="1"/>
  <c r="I14" i="9"/>
  <c r="Q15" i="13"/>
  <c r="R14" i="9"/>
  <c r="N30" i="2"/>
  <c r="L14" i="2"/>
  <c r="N15" i="16" s="1"/>
  <c r="C13" i="9"/>
  <c r="E15" i="13"/>
  <c r="C14" i="9"/>
  <c r="E14"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3" i="9" l="1"/>
  <c r="Z14" i="13"/>
  <c r="L12" i="8"/>
  <c r="T13" i="16" s="1"/>
  <c r="Q13" i="13"/>
  <c r="I12" i="9"/>
  <c r="L13" i="9"/>
  <c r="T14" i="13"/>
  <c r="L14" i="9"/>
  <c r="T15" i="13"/>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<sst xmlns="http://schemas.openxmlformats.org/spreadsheetml/2006/main" count="654" uniqueCount="141">
  <si>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</si>
  <si>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</si>
  <si>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</si>
  <si>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</si>
  <si>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</si>
  <si>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</si>
  <si>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</si>
  <si>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</si>
  <si>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</si>
  <si>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</si>
  <si>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</si>
  <si>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</si>
  <si>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</si>
  <si>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</si>
  <si>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</si>
  <si>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</si>
  <si>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</si>
  <si>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</si>
  <si>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</si>
  <si>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</si>
  <si>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</si>
  <si>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</si>
  <si>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</si>
  <si>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</si>
  <si>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</si>
  <si>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</si>
  <si>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</si>
  <si>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</si>
  <si>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</si>
  <si>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</si>
  <si>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</si>
  <si>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</si>
  <si>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</si>
  <si>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</si>
  <si>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</si>
  <si>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</si>
  <si>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</si>
  <si>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</si>
  <si>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</si>
  <si>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</si>
  <si>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</si>
  <si>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</si>
  <si>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</si>
  <si>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</si>
  <si>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</si>
  <si>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</si>
  <si>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</si>
  <si>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</si>
  <si>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</si>
  <si>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</si>
  <si>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</si>
  <si>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</si>
  <si>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</si>
  <si>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</si>
  <si>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</si>
  <si>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</si>
  <si>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</si>
  <si>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</si>
  <si>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</si>
  <si>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</si>
  <si>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</si>
  <si>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</si>
  <si>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</si>
  <si>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</si>
  <si>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</si>
  <si>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</si>
  <si>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</si>
  <si>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</si>
  <si>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</si>
  <si>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</si>
  <si>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</si>
  <si>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</si>
  <si>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</si>
  <si>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</si>
  <si>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</si>
  <si>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</si>
  <si>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</si>
  <si>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</si>
  <si>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</si>
  <si>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</si>
  <si>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</si>
  <si>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</si>
  <si>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</si>
  <si>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</si>
  <si>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</si>
  <si>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</si>
  <si>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</si>
  <si>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</si>
  <si>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</si>
  <si>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</si>
  <si>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</si>
  <si>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</si>
  <si>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</si>
  <si>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</si>
  <si>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</si>
  <si>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</si>
  <si>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</si>
  <si>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</si>
  <si>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</si>
  <si>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</si>
  <si>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</si>
  <si>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</si>
  <si>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</si>
  <si>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</si>
  <si>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</si>
  <si>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</si>
  <si>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</si>
  <si>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</si>
  <si>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</si>
  <si>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</si>
  <si>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</si>
  <si>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</si>
  <si>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</si>
  <si>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</si>
  <si>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</si>
  <si>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</si>
  <si>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</si>
  <si>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</si>
  <si>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</si>
  <si>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</si>
  <si>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</si>
  <si>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</si>
  <si>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</si>
  <si>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</si>
  <si>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</si>
  <si>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</si>
  <si>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</si>
  <si>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</si>
  <si>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Ingham</t>
  </si>
  <si>
    <t>Item 3.Referral: Ingham County Juvenile Court</t>
  </si>
  <si>
    <t>Item 4.Diversion: Ingham County Juvenile Court</t>
  </si>
  <si>
    <t>Item 5.Detention: Ingham County Juvenile Court</t>
  </si>
  <si>
    <t>Item 6.Petitioned: Ingham County Juvenile Court</t>
  </si>
  <si>
    <t>Item 7.Delinquent: Ingham County Juvenile Court</t>
  </si>
  <si>
    <t>Item 8.Probation: Ingham County Juvenile Court</t>
  </si>
  <si>
    <t>Item 9.Confinement: Ingham County Juvenile Court</t>
  </si>
  <si>
    <t>Item 10.Transferred: Ingham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</si>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</sst>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Ingham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N=13</c:v>
                </c:pt>
                <c:pt idx="2">
                  <c:v>Delinquent Findings, total N=203</c:v>
                </c:pt>
                <c:pt idx="3">
                  <c:v>Petitions, total N=238</c:v>
                </c:pt>
                <c:pt idx="4">
                  <c:v>Detentions, total N=126</c:v>
                </c:pt>
                <c:pt idx="5">
                  <c:v>Referrals, total N=390</c:v>
                </c:pt>
                <c:pt idx="6">
                  <c:v>Arrests, total N=129</c:v>
                </c:pt>
                <c:pt idx="7">
                  <c:v>Population, total N=24593</c:v>
                </c:pt>
              </c:strCache>
            </c:strRef>
          </c:cat>
          <c:val>
            <c:numRef>
              <c:f>'Stacked 100%'!$B$7:$B$14</c:f>
              <c:numCache>
                <c:formatCode>0%</c:formatCode>
                <c:ptCount val="8"/>
                <c:pt idx="0">
                  <c:v>0.66666666666666663</c:v>
                </c:pt>
                <c:pt idx="1">
                  <c:v>0.69230769230769229</c:v>
                </c:pt>
                <c:pt idx="2">
                  <c:v>0.60591133004926112</c:v>
                </c:pt>
                <c:pt idx="3">
                  <c:v>0.62605042016806722</c:v>
                </c:pt>
                <c:pt idx="4">
                  <c:v>0.76190476190476186</c:v>
                </c:pt>
                <c:pt idx="5">
                  <c:v>0.56153846153846154</c:v>
                </c:pt>
                <c:pt idx="6">
                  <c:v>0.5968992248062015</c:v>
                </c:pt>
                <c:pt idx="7">
                  <c:v>0.19871508152726386</c:v>
                </c:pt>
              </c:numCache>
            </c:numRef>
          </c:val>
          <c:extLst>
            <c:ext xmlns:c16="http://schemas.microsoft.com/office/drawing/2014/chart" uri="{C3380CC4-5D6E-409C-BE32-E72D297353CC}">
              <c16:uniqueId val="{00000000-395D-47C1-A2E4-AE6E37450B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N=13</c:v>
                </c:pt>
                <c:pt idx="2">
                  <c:v>Delinquent Findings, total N=203</c:v>
                </c:pt>
                <c:pt idx="3">
                  <c:v>Petitions, total N=238</c:v>
                </c:pt>
                <c:pt idx="4">
                  <c:v>Detentions, total N=126</c:v>
                </c:pt>
                <c:pt idx="5">
                  <c:v>Referrals, total N=390</c:v>
                </c:pt>
                <c:pt idx="6">
                  <c:v>Arrests, total N=129</c:v>
                </c:pt>
                <c:pt idx="7">
                  <c:v>Population, total N=24593</c:v>
                </c:pt>
              </c:strCache>
            </c:strRef>
          </c:cat>
          <c:val>
            <c:numRef>
              <c:f>'Stacked 100%'!$C$7:$C$14</c:f>
              <c:numCache>
                <c:formatCode>0%</c:formatCode>
                <c:ptCount val="8"/>
                <c:pt idx="0">
                  <c:v>0</c:v>
                </c:pt>
                <c:pt idx="1">
                  <c:v>0.15384615384615385</c:v>
                </c:pt>
                <c:pt idx="2">
                  <c:v>5.9113300492610835E-2</c:v>
                </c:pt>
                <c:pt idx="3">
                  <c:v>5.8823529411764705E-2</c:v>
                </c:pt>
                <c:pt idx="4">
                  <c:v>4.7619047619047616E-2</c:v>
                </c:pt>
                <c:pt idx="5">
                  <c:v>5.8974358974358973E-2</c:v>
                </c:pt>
                <c:pt idx="6">
                  <c:v>3.875968992248062E-2</c:v>
                </c:pt>
                <c:pt idx="7">
                  <c:v>0.12767860773390802</c:v>
                </c:pt>
              </c:numCache>
            </c:numRef>
          </c:val>
          <c:extLst>
            <c:ext xmlns:c16="http://schemas.microsoft.com/office/drawing/2014/chart" uri="{C3380CC4-5D6E-409C-BE32-E72D297353CC}">
              <c16:uniqueId val="{00000001-395D-47C1-A2E4-AE6E37450B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N=3</c:v>
                </c:pt>
                <c:pt idx="1">
                  <c:v>Confinement, total N=13</c:v>
                </c:pt>
                <c:pt idx="2">
                  <c:v>Delinquent Findings, total N=203</c:v>
                </c:pt>
                <c:pt idx="3">
                  <c:v>Petitions, total N=238</c:v>
                </c:pt>
                <c:pt idx="4">
                  <c:v>Detentions, total N=126</c:v>
                </c:pt>
                <c:pt idx="5">
                  <c:v>Referrals, total N=390</c:v>
                </c:pt>
                <c:pt idx="6">
                  <c:v>Arrests, total N=129</c:v>
                </c:pt>
                <c:pt idx="7">
                  <c:v>Population, total N=24593</c:v>
                </c:pt>
              </c:strCache>
            </c:strRef>
          </c:cat>
          <c:val>
            <c:numRef>
              <c:f>'Stacked 100%'!$H$7:$H$14</c:f>
              <c:numCache>
                <c:formatCode>0%</c:formatCode>
                <c:ptCount val="8"/>
                <c:pt idx="0">
                  <c:v>0</c:v>
                </c:pt>
                <c:pt idx="1">
                  <c:v>0</c:v>
                </c:pt>
                <c:pt idx="2">
                  <c:v>1.4559926229707103E-4</c:v>
                </c:pt>
                <c:pt idx="3">
                  <c:v>1.5888708424546287E-4</c:v>
                </c:pt>
                <c:pt idx="4">
                  <c:v>0</c:v>
                </c:pt>
                <c:pt idx="5">
                  <c:v>1.3806706114398424E-4</c:v>
                </c:pt>
                <c:pt idx="6">
                  <c:v>1.2018508503094766E-4</c:v>
                </c:pt>
                <c:pt idx="7">
                  <c:v>2.9083242189720526E-6</c:v>
                </c:pt>
              </c:numCache>
            </c:numRef>
          </c:val>
          <c:extLst>
            <c:ext xmlns:c16="http://schemas.microsoft.com/office/drawing/2014/chart" uri="{C3380CC4-5D6E-409C-BE32-E72D297353CC}">
              <c16:uniqueId val="{00000002-395D-47C1-A2E4-AE6E37450B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N=13</c:v>
                </c:pt>
                <c:pt idx="2">
                  <c:v>Delinquent Findings, total N=203</c:v>
                </c:pt>
                <c:pt idx="3">
                  <c:v>Petitions, total N=238</c:v>
                </c:pt>
                <c:pt idx="4">
                  <c:v>Detentions, total N=126</c:v>
                </c:pt>
                <c:pt idx="5">
                  <c:v>Referrals, total N=390</c:v>
                </c:pt>
                <c:pt idx="6">
                  <c:v>Arrests, total N=129</c:v>
                </c:pt>
                <c:pt idx="7">
                  <c:v>Population, total N=24593</c:v>
                </c:pt>
              </c:strCache>
            </c:strRef>
          </c:cat>
          <c:val>
            <c:numRef>
              <c:f>'Stacked 100%'!$I$7:$I$14</c:f>
              <c:numCache>
                <c:formatCode>0%</c:formatCode>
                <c:ptCount val="8"/>
                <c:pt idx="0">
                  <c:v>0.33333333333333331</c:v>
                </c:pt>
                <c:pt idx="1">
                  <c:v>0.15384615384615385</c:v>
                </c:pt>
                <c:pt idx="2">
                  <c:v>0.30541871921182268</c:v>
                </c:pt>
                <c:pt idx="3">
                  <c:v>0.27731092436974791</c:v>
                </c:pt>
                <c:pt idx="4">
                  <c:v>0.19047619047619047</c:v>
                </c:pt>
                <c:pt idx="5">
                  <c:v>0.31538461538461537</c:v>
                </c:pt>
                <c:pt idx="6">
                  <c:v>0.29457364341085274</c:v>
                </c:pt>
                <c:pt idx="7">
                  <c:v>0.6020818932216484</c:v>
                </c:pt>
              </c:numCache>
            </c:numRef>
          </c:val>
          <c:extLst>
            <c:ext xmlns:c16="http://schemas.microsoft.com/office/drawing/2014/chart" uri="{C3380CC4-5D6E-409C-BE32-E72D297353CC}">
              <c16:uniqueId val="{00000003-395D-47C1-A2E4-AE6E37450B0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N=3</c:v>
                </c:pt>
                <c:pt idx="1">
                  <c:v>Confinement, total N=13</c:v>
                </c:pt>
                <c:pt idx="2">
                  <c:v>Delinquent Findings, total N=203</c:v>
                </c:pt>
                <c:pt idx="3">
                  <c:v>Petitions, total N=238</c:v>
                </c:pt>
                <c:pt idx="4">
                  <c:v>Detentions, total N=126</c:v>
                </c:pt>
                <c:pt idx="5">
                  <c:v>Referrals, total N=390</c:v>
                </c:pt>
                <c:pt idx="6">
                  <c:v>Arrests, total N=129</c:v>
                </c:pt>
                <c:pt idx="7">
                  <c:v>Population, total N=24593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95D-47C1-A2E4-AE6E37450B0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4" zoomScaleNormal="100" workbookViewId="0">
      <selection activeCell="K9" sqref="K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24593</v>
      </c>
      <c r="C6" s="11">
        <v>14807</v>
      </c>
      <c r="D6" s="11">
        <v>4887</v>
      </c>
      <c r="E6" s="11">
        <v>3140</v>
      </c>
      <c r="F6" s="11">
        <v>1620</v>
      </c>
      <c r="G6" s="11"/>
      <c r="H6" s="11">
        <v>139</v>
      </c>
      <c r="I6" s="11">
        <v>0</v>
      </c>
      <c r="J6" s="91">
        <f>SUM(D6:I6)</f>
        <v>9786</v>
      </c>
      <c r="K6" s="92"/>
    </row>
    <row r="7" spans="1:11" ht="15.75" customHeight="1" thickBot="1">
      <c r="A7" s="10" t="s">
        <v>8</v>
      </c>
      <c r="B7" s="11">
        <f t="shared" ref="B7:B15" si="0">SUM(C7:I7)+K7</f>
        <v>129</v>
      </c>
      <c r="C7" s="11">
        <v>38</v>
      </c>
      <c r="D7" s="11">
        <v>77</v>
      </c>
      <c r="E7" s="11">
        <v>5</v>
      </c>
      <c r="F7" s="11">
        <v>1</v>
      </c>
      <c r="G7" s="11">
        <v>0</v>
      </c>
      <c r="H7" s="11">
        <v>1</v>
      </c>
      <c r="I7" s="11"/>
      <c r="J7" s="91">
        <f t="shared" ref="J7:J15" si="1">SUM(D7:I7)</f>
        <v>84</v>
      </c>
      <c r="K7" s="92">
        <v>7</v>
      </c>
    </row>
    <row r="8" spans="1:11" ht="15.75" customHeight="1" thickBot="1">
      <c r="A8" s="10" t="s">
        <v>9</v>
      </c>
      <c r="B8" s="11">
        <f t="shared" si="0"/>
        <v>390</v>
      </c>
      <c r="C8" s="11">
        <v>123</v>
      </c>
      <c r="D8" s="11">
        <v>219</v>
      </c>
      <c r="E8" s="11">
        <v>23</v>
      </c>
      <c r="F8" s="11">
        <v>3</v>
      </c>
      <c r="G8" s="11"/>
      <c r="H8" s="11">
        <v>3</v>
      </c>
      <c r="I8" s="11">
        <v>15</v>
      </c>
      <c r="J8" s="91">
        <f t="shared" si="1"/>
        <v>263</v>
      </c>
      <c r="K8" s="92">
        <v>4</v>
      </c>
    </row>
    <row r="9" spans="1:11" ht="15.75" customHeight="1" thickBot="1">
      <c r="A9" s="10" t="s">
        <v>10</v>
      </c>
      <c r="B9" s="11">
        <f t="shared" si="0"/>
        <v>250</v>
      </c>
      <c r="C9" s="11">
        <v>95</v>
      </c>
      <c r="D9" s="11">
        <v>108</v>
      </c>
      <c r="E9" s="11">
        <v>22</v>
      </c>
      <c r="F9" s="11">
        <v>2</v>
      </c>
      <c r="G9" s="11"/>
      <c r="H9" s="11">
        <v>3</v>
      </c>
      <c r="I9" s="11">
        <v>14</v>
      </c>
      <c r="J9" s="91">
        <f t="shared" si="1"/>
        <v>149</v>
      </c>
      <c r="K9" s="92">
        <v>6</v>
      </c>
    </row>
    <row r="10" spans="1:11" ht="15.75" customHeight="1" thickBot="1">
      <c r="A10" s="10" t="s">
        <v>11</v>
      </c>
      <c r="B10" s="11">
        <f t="shared" si="0"/>
        <v>126</v>
      </c>
      <c r="C10" s="11">
        <v>24</v>
      </c>
      <c r="D10" s="11">
        <v>96</v>
      </c>
      <c r="E10" s="11">
        <v>6</v>
      </c>
      <c r="F10" s="11">
        <v>0</v>
      </c>
      <c r="G10" s="11"/>
      <c r="H10" s="11"/>
      <c r="I10" s="11"/>
      <c r="J10" s="91">
        <f t="shared" si="1"/>
        <v>102</v>
      </c>
      <c r="K10" s="92"/>
    </row>
    <row r="11" spans="1:11" ht="15.75" customHeight="1" thickBot="1">
      <c r="A11" s="10" t="s">
        <v>12</v>
      </c>
      <c r="B11" s="11">
        <f t="shared" si="0"/>
        <v>238</v>
      </c>
      <c r="C11" s="11">
        <v>66</v>
      </c>
      <c r="D11" s="11">
        <v>149</v>
      </c>
      <c r="E11" s="11">
        <v>14</v>
      </c>
      <c r="F11" s="11">
        <v>2</v>
      </c>
      <c r="G11" s="11"/>
      <c r="H11" s="11"/>
      <c r="I11" s="11">
        <v>7</v>
      </c>
      <c r="J11" s="91">
        <f t="shared" si="1"/>
        <v>172</v>
      </c>
      <c r="K11" s="92"/>
    </row>
    <row r="12" spans="1:11" ht="15.75" customHeight="1" thickBot="1">
      <c r="A12" s="10" t="s">
        <v>13</v>
      </c>
      <c r="B12" s="11">
        <f t="shared" si="0"/>
        <v>203</v>
      </c>
      <c r="C12" s="11">
        <v>62</v>
      </c>
      <c r="D12" s="11">
        <v>123</v>
      </c>
      <c r="E12" s="11">
        <v>12</v>
      </c>
      <c r="F12" s="11">
        <v>2</v>
      </c>
      <c r="G12" s="11"/>
      <c r="H12" s="11"/>
      <c r="I12" s="11">
        <v>4</v>
      </c>
      <c r="J12" s="91">
        <f t="shared" si="1"/>
        <v>141</v>
      </c>
      <c r="K12" s="92"/>
    </row>
    <row r="13" spans="1:11" ht="15.75" customHeight="1" thickBot="1">
      <c r="A13" s="10" t="s">
        <v>125</v>
      </c>
      <c r="B13" s="11">
        <f t="shared" si="0"/>
        <v>204</v>
      </c>
      <c r="C13" s="11">
        <v>61</v>
      </c>
      <c r="D13" s="11">
        <v>125</v>
      </c>
      <c r="E13" s="11">
        <v>12</v>
      </c>
      <c r="F13" s="11">
        <v>2</v>
      </c>
      <c r="G13" s="11"/>
      <c r="H13" s="11"/>
      <c r="I13" s="11">
        <v>4</v>
      </c>
      <c r="J13" s="91">
        <f t="shared" si="1"/>
        <v>143</v>
      </c>
      <c r="K13" s="92"/>
    </row>
    <row r="14" spans="1:11" ht="26.25" customHeight="1" thickBot="1">
      <c r="A14" s="10" t="s">
        <v>115</v>
      </c>
      <c r="B14" s="11">
        <f t="shared" si="0"/>
        <v>13</v>
      </c>
      <c r="C14" s="11">
        <v>2</v>
      </c>
      <c r="D14" s="11">
        <v>9</v>
      </c>
      <c r="E14" s="11">
        <v>2</v>
      </c>
      <c r="F14" s="11">
        <v>0</v>
      </c>
      <c r="G14" s="11"/>
      <c r="H14" s="11"/>
      <c r="I14" s="11"/>
      <c r="J14" s="91">
        <f t="shared" si="1"/>
        <v>11</v>
      </c>
      <c r="K14" s="92"/>
    </row>
    <row r="15" spans="1:11" ht="15.75" customHeight="1" thickBot="1">
      <c r="A15" s="10" t="s">
        <v>16</v>
      </c>
      <c r="B15" s="11">
        <f t="shared" si="0"/>
        <v>3</v>
      </c>
      <c r="C15" s="11">
        <v>1</v>
      </c>
      <c r="D15" s="11">
        <v>2</v>
      </c>
      <c r="E15" s="11">
        <v>0</v>
      </c>
      <c r="F15" s="11">
        <v>0</v>
      </c>
      <c r="G15" s="11"/>
      <c r="H15" s="11"/>
      <c r="I15" s="11"/>
      <c r="J15" s="91">
        <f t="shared" si="1"/>
        <v>2</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14807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2.5663537516039709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38</v>
      </c>
      <c r="Q7" s="42">
        <f>C6-C7</f>
        <v>14769</v>
      </c>
      <c r="R7" s="42">
        <f t="shared" ref="R7:R15" si="5">SUM(N7:Q7)</f>
        <v>14807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123</v>
      </c>
      <c r="D8" s="34">
        <f>IF((AND(C67&gt;0,C8&gt;0)),(C8/C67),0)</f>
        <v>323.68421052631578</v>
      </c>
      <c r="E8" s="33">
        <f>'Data Entry'!I8</f>
        <v>15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15</v>
      </c>
      <c r="O8" s="42">
        <f>((D67*L67)-E8)+0.05</f>
        <v>-14.95</v>
      </c>
      <c r="P8" s="42">
        <f t="shared" si="4"/>
        <v>123</v>
      </c>
      <c r="Q8" s="42">
        <f>(C$67*L67)-C8</f>
        <v>-85</v>
      </c>
      <c r="R8" s="42">
        <f t="shared" si="5"/>
        <v>38.049999999999997</v>
      </c>
      <c r="S8" s="30">
        <f t="shared" si="6"/>
        <v>12097115.596124995</v>
      </c>
      <c r="T8" s="30">
        <f t="shared" si="7"/>
        <v>-26206.890000000374</v>
      </c>
      <c r="U8" s="31">
        <f t="shared" si="8"/>
        <v>-461.60057893648667</v>
      </c>
    </row>
    <row r="9" spans="2:21" ht="18" customHeight="1">
      <c r="B9" s="32" t="str">
        <f>'Data Entry'!A9</f>
        <v xml:space="preserve">4. Cases Diverted </v>
      </c>
      <c r="C9" s="33">
        <f>'Data Entry'!C9</f>
        <v>95</v>
      </c>
      <c r="D9" s="34">
        <f>IF((AND(C68&gt;0,C9&gt;0)),((C9/C68)),0)</f>
        <v>77.235772357723576</v>
      </c>
      <c r="E9" s="33">
        <f>'Data Entry'!I9</f>
        <v>14</v>
      </c>
      <c r="F9" s="34">
        <f>IF((AND($E$9&gt;0,$D$68&gt;0)),(($E$9/$D$68)),0)</f>
        <v>93.333333333333343</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14</v>
      </c>
      <c r="O9" s="42">
        <f>(D$68*L68)-E9</f>
        <v>1</v>
      </c>
      <c r="P9" s="42">
        <f t="shared" si="4"/>
        <v>95</v>
      </c>
      <c r="Q9" s="42">
        <f>(C$68*L68)-C9</f>
        <v>28</v>
      </c>
      <c r="R9" s="42">
        <f t="shared" si="5"/>
        <v>138</v>
      </c>
      <c r="S9" s="30">
        <f t="shared" si="6"/>
        <v>12172842</v>
      </c>
      <c r="T9" s="30">
        <f t="shared" si="7"/>
        <v>5832045</v>
      </c>
      <c r="U9" s="31">
        <f t="shared" si="8"/>
        <v>2.0872338948001943</v>
      </c>
    </row>
    <row r="10" spans="2:21" ht="18" customHeight="1">
      <c r="B10" s="32" t="str">
        <f>'Data Entry'!A10</f>
        <v>5. Cases Involving Secure Detention</v>
      </c>
      <c r="C10" s="33">
        <f>'Data Entry'!C10</f>
        <v>24</v>
      </c>
      <c r="D10" s="34">
        <f>IF(((AND(C68&gt;0,C10&gt;0))),(C10/(C68)),0)</f>
        <v>19.512195121951219</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15</v>
      </c>
      <c r="P10" s="42">
        <f t="shared" si="4"/>
        <v>24</v>
      </c>
      <c r="Q10" s="42">
        <f>(C$68*L68)-C10</f>
        <v>99</v>
      </c>
      <c r="R10" s="42">
        <f t="shared" si="5"/>
        <v>138</v>
      </c>
      <c r="S10" s="30">
        <f t="shared" si="6"/>
        <v>17884800</v>
      </c>
      <c r="T10" s="30">
        <f t="shared" si="7"/>
        <v>5047920</v>
      </c>
      <c r="U10" s="31">
        <f t="shared" si="8"/>
        <v>3.5430038510911426</v>
      </c>
    </row>
    <row r="11" spans="2:21" ht="18" customHeight="1">
      <c r="B11" s="32" t="str">
        <f>'Data Entry'!A11</f>
        <v>6. Cases Petitioned (Charge Filed)</v>
      </c>
      <c r="C11" s="33">
        <f>'Data Entry'!C11</f>
        <v>66</v>
      </c>
      <c r="D11" s="34">
        <f>IF(((AND(C68&gt;0,C11&gt;0))),(C11/(C68)),0)</f>
        <v>53.658536585365852</v>
      </c>
      <c r="E11" s="33">
        <f>'Data Entry'!I11</f>
        <v>7</v>
      </c>
      <c r="F11" s="34">
        <f>IF(((AND($E$11&gt;0,$D$68&gt;0))),($E$11/($D$68)),0)</f>
        <v>46.666666666666671</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7</v>
      </c>
      <c r="O11" s="42">
        <f>(D$68*L68)-E11</f>
        <v>8</v>
      </c>
      <c r="P11" s="42">
        <f t="shared" si="4"/>
        <v>66</v>
      </c>
      <c r="Q11" s="42">
        <f>(C$68*L68)-C11</f>
        <v>57</v>
      </c>
      <c r="R11" s="42">
        <f t="shared" si="5"/>
        <v>138</v>
      </c>
      <c r="S11" s="30">
        <f t="shared" si="6"/>
        <v>2296458</v>
      </c>
      <c r="T11" s="30">
        <f t="shared" si="7"/>
        <v>8754525</v>
      </c>
      <c r="U11" s="31">
        <f t="shared" si="8"/>
        <v>0.26231668765581229</v>
      </c>
    </row>
    <row r="12" spans="2:21" ht="18" customHeight="1">
      <c r="B12" s="32" t="str">
        <f>'Data Entry'!A12</f>
        <v>7. Cases Resulting in Delinquent Findings</v>
      </c>
      <c r="C12" s="33">
        <f>'Data Entry'!C12</f>
        <v>62</v>
      </c>
      <c r="D12" s="34">
        <f>IF(((AND(C69&gt;0,C12&gt;0))),(C12/(C69)),0)</f>
        <v>93.939393939393938</v>
      </c>
      <c r="E12" s="33">
        <f>'Data Entry'!I12</f>
        <v>4</v>
      </c>
      <c r="F12" s="34">
        <f>IF(((AND($D$69&gt;0,$E$12&gt;0))),(E12/(D69)),0)</f>
        <v>57.142857142857139</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4</v>
      </c>
      <c r="O12" s="42">
        <f>(D69*L69)-E12</f>
        <v>3.0000000000000009</v>
      </c>
      <c r="P12" s="42">
        <f t="shared" si="4"/>
        <v>62</v>
      </c>
      <c r="Q12" s="42">
        <f>(C69*L69)-C12</f>
        <v>4</v>
      </c>
      <c r="R12" s="42">
        <f t="shared" si="5"/>
        <v>73</v>
      </c>
      <c r="S12" s="30">
        <f t="shared" si="6"/>
        <v>2109700.0000000014</v>
      </c>
      <c r="T12" s="30">
        <f t="shared" si="7"/>
        <v>213444.00000000006</v>
      </c>
      <c r="U12" s="31">
        <f t="shared" si="8"/>
        <v>9.8840913775978745</v>
      </c>
    </row>
    <row r="13" spans="2:21" ht="18" customHeight="1">
      <c r="B13" s="32" t="str">
        <f>'Data Entry'!A13</f>
        <v>8. Cases Resulting in Probation Placement</v>
      </c>
      <c r="C13" s="33">
        <f>'Data Entry'!C13</f>
        <v>61</v>
      </c>
      <c r="D13" s="34">
        <f>IF(((AND(C70&gt;0,C13&gt;0))),(C13/(C70)),0)</f>
        <v>98.387096774193552</v>
      </c>
      <c r="E13" s="33">
        <f>'Data Entry'!I13</f>
        <v>4</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4</v>
      </c>
      <c r="O13" s="42">
        <f>(D70*L70)-E13</f>
        <v>0</v>
      </c>
      <c r="P13" s="42">
        <f t="shared" si="4"/>
        <v>61</v>
      </c>
      <c r="Q13" s="42">
        <f>(C70*L70)-C13</f>
        <v>1</v>
      </c>
      <c r="R13" s="42">
        <f t="shared" si="5"/>
        <v>66</v>
      </c>
      <c r="S13" s="30">
        <f t="shared" si="6"/>
        <v>1056</v>
      </c>
      <c r="T13" s="30">
        <f t="shared" si="7"/>
        <v>16120</v>
      </c>
      <c r="U13" s="31">
        <f t="shared" si="8"/>
        <v>6.550868486352357E-2</v>
      </c>
    </row>
    <row r="14" spans="2:21" ht="30.75" customHeight="1">
      <c r="B14" s="32" t="str">
        <f>'Data Entry'!A14</f>
        <v xml:space="preserve">9. Cases Resulting in Confinement in Secure Juvenile Correctional Facilities </v>
      </c>
      <c r="C14" s="33">
        <f>'Data Entry'!C14</f>
        <v>2</v>
      </c>
      <c r="D14" s="34">
        <f>IF(((AND(C70&gt;0,C14&gt;0))), ((C14/(C70))),0)</f>
        <v>3.2258064516129035</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4</v>
      </c>
      <c r="P14" s="42">
        <f t="shared" si="4"/>
        <v>2</v>
      </c>
      <c r="Q14" s="42">
        <f>(C70*L70)-C14</f>
        <v>60</v>
      </c>
      <c r="R14" s="42">
        <f t="shared" si="5"/>
        <v>66</v>
      </c>
      <c r="S14" s="30">
        <f t="shared" si="6"/>
        <v>4224</v>
      </c>
      <c r="T14" s="30">
        <f t="shared" si="7"/>
        <v>31744</v>
      </c>
      <c r="U14" s="31">
        <f t="shared" si="8"/>
        <v>0.13306451612903225</v>
      </c>
    </row>
    <row r="15" spans="2:21" ht="15.75" customHeight="1">
      <c r="B15" s="32" t="str">
        <f>'Data Entry'!A15</f>
        <v xml:space="preserve">10. Cases Transferred to Adult Court </v>
      </c>
      <c r="C15" s="33">
        <f>'Data Entry'!C15</f>
        <v>1</v>
      </c>
      <c r="D15" s="34">
        <f>IF(((AND(C69&gt;0,C15&gt;0))),((C15/(C69))),0)</f>
        <v>1.5151515151515151</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7.0000000000000009</v>
      </c>
      <c r="P15" s="42">
        <f t="shared" si="4"/>
        <v>1</v>
      </c>
      <c r="Q15" s="42">
        <f>(C69*L69)-C15</f>
        <v>65</v>
      </c>
      <c r="R15" s="42">
        <f t="shared" si="5"/>
        <v>73</v>
      </c>
      <c r="S15" s="30">
        <f t="shared" si="6"/>
        <v>3577.0000000000009</v>
      </c>
      <c r="T15" s="30">
        <f t="shared" si="7"/>
        <v>33264.000000000007</v>
      </c>
      <c r="U15" s="31">
        <f t="shared" si="8"/>
        <v>0.10753367003367004</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14.807</v>
      </c>
      <c r="D42" s="56">
        <f>E6/1000</f>
        <v>0</v>
      </c>
      <c r="E42" s="56">
        <f>MAX(C42:D42)</f>
        <v>14.807</v>
      </c>
      <c r="G42" s="1" t="str">
        <f>B42</f>
        <v>per 1000 youth</v>
      </c>
      <c r="L42" s="57">
        <v>1000</v>
      </c>
      <c r="M42" s="57"/>
      <c r="R42" s="49"/>
    </row>
    <row r="43" spans="2:18" ht="15" hidden="1" customHeight="1">
      <c r="B43" s="49" t="s">
        <v>87</v>
      </c>
      <c r="C43" s="56">
        <f>C7/100</f>
        <v>0.38</v>
      </c>
      <c r="D43" s="56">
        <f>E7/100</f>
        <v>0</v>
      </c>
      <c r="E43" s="56">
        <f>MAX(C43:D43,0)</f>
        <v>0.38</v>
      </c>
      <c r="G43" s="1" t="str">
        <f>B43</f>
        <v>per 100 arrests</v>
      </c>
      <c r="L43" s="57">
        <v>100</v>
      </c>
      <c r="M43" s="57"/>
      <c r="R43" s="49"/>
    </row>
    <row r="44" spans="2:18" ht="15" hidden="1" customHeight="1">
      <c r="B44" s="49" t="s">
        <v>88</v>
      </c>
      <c r="C44" s="56">
        <f>C8/100</f>
        <v>1.23</v>
      </c>
      <c r="D44" s="56">
        <f>E8/100</f>
        <v>0.15</v>
      </c>
      <c r="E44" s="56">
        <f>MAX(C44:D44,0)</f>
        <v>1.23</v>
      </c>
      <c r="G44" s="1" t="str">
        <f>B44</f>
        <v>per 100 referrals</v>
      </c>
      <c r="L44" s="57">
        <v>100</v>
      </c>
      <c r="M44" s="57"/>
      <c r="R44" s="49"/>
    </row>
    <row r="45" spans="2:18" ht="15" hidden="1" customHeight="1">
      <c r="B45" s="49" t="s">
        <v>89</v>
      </c>
      <c r="C45" s="49">
        <f>C11/100</f>
        <v>0.66</v>
      </c>
      <c r="D45" s="49">
        <f>E11/100</f>
        <v>7.0000000000000007E-2</v>
      </c>
      <c r="E45" s="56">
        <f>MAX(C45:D45,0)</f>
        <v>0.66</v>
      </c>
      <c r="G45" s="1" t="str">
        <f>B45</f>
        <v>per 100 youth petitioned</v>
      </c>
      <c r="L45" s="57">
        <v>100</v>
      </c>
      <c r="M45" s="57"/>
      <c r="R45" s="49"/>
    </row>
    <row r="46" spans="2:18" ht="15" hidden="1" customHeight="1">
      <c r="B46" s="49" t="s">
        <v>90</v>
      </c>
      <c r="C46" s="49">
        <f>C12/100</f>
        <v>0.62</v>
      </c>
      <c r="D46" s="49">
        <f>E12/100</f>
        <v>0.04</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14.807</v>
      </c>
      <c r="D48" s="56">
        <f>D42</f>
        <v>0</v>
      </c>
      <c r="E48" s="56">
        <f>MAX(C48:D48)</f>
        <v>14.807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0.15</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0.66</v>
      </c>
      <c r="D51" s="49">
        <f>IF(($E45&gt;0),D45,D44)</f>
        <v>7.0000000000000007E-2</v>
      </c>
      <c r="E51" s="49">
        <f>MAX(C51:D51)</f>
        <v>0.66</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0.04</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14.807</v>
      </c>
      <c r="D54" s="56">
        <f>D48</f>
        <v>0</v>
      </c>
      <c r="E54" s="56">
        <f>MAX(C54:D54)</f>
        <v>14.807</v>
      </c>
      <c r="G54" s="1" t="str">
        <f>G48</f>
        <v>per 1000 youth</v>
      </c>
      <c r="L54" s="58">
        <f>L48</f>
        <v>1000</v>
      </c>
      <c r="M54" s="58"/>
    </row>
    <row r="55" spans="2:18" ht="15" hidden="1" customHeight="1">
      <c r="B55" s="49" t="str">
        <f t="shared" ref="B55:D56" si="10">IF(($E49&gt;0),B49,B48)</f>
        <v>per 100 arrests</v>
      </c>
      <c r="C55" s="49">
        <f t="shared" si="10"/>
        <v>0.38</v>
      </c>
      <c r="D55" s="49">
        <f t="shared" si="10"/>
        <v>0</v>
      </c>
      <c r="E55" s="49">
        <f>MAX(C55:D55)</f>
        <v>0.38</v>
      </c>
      <c r="G55" s="1" t="str">
        <f>G49</f>
        <v>per 100 arrests</v>
      </c>
      <c r="L55" s="58">
        <f>IF(($E49&gt;0),L49,L48)</f>
        <v>100</v>
      </c>
      <c r="M55" s="58"/>
    </row>
    <row r="56" spans="2:18" ht="15" hidden="1" customHeight="1">
      <c r="B56" s="49" t="str">
        <f t="shared" si="10"/>
        <v>per 100 referrals</v>
      </c>
      <c r="C56" s="49">
        <f t="shared" si="10"/>
        <v>1.23</v>
      </c>
      <c r="D56" s="49">
        <f t="shared" si="10"/>
        <v>0.15</v>
      </c>
      <c r="E56" s="49">
        <f>MAX(C56:D56)</f>
        <v>1.23</v>
      </c>
      <c r="G56" s="1" t="str">
        <f>G50</f>
        <v>per 100 referrals</v>
      </c>
      <c r="L56" s="58">
        <f>IF(($E50&gt;0),L50,L49)</f>
        <v>100</v>
      </c>
      <c r="M56" s="58"/>
    </row>
    <row r="57" spans="2:18" ht="15" hidden="1" customHeight="1">
      <c r="B57" s="49" t="str">
        <f>IF(($E51&gt;0),B51,B49)</f>
        <v>per 100 youth petitioned</v>
      </c>
      <c r="C57" s="49">
        <f>IF(($E51&gt;0),C51,C50)</f>
        <v>0.66</v>
      </c>
      <c r="D57" s="49">
        <f>IF(($E51&gt;0),D51,D50)</f>
        <v>7.0000000000000007E-2</v>
      </c>
      <c r="E57" s="49">
        <f>MAX(C57:D57)</f>
        <v>0.66</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0.04</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14.807</v>
      </c>
      <c r="D60" s="56">
        <f>D54</f>
        <v>0</v>
      </c>
      <c r="E60" s="56">
        <f>MAX(C60:D60)</f>
        <v>14.807</v>
      </c>
      <c r="G60" s="1" t="str">
        <f>G54</f>
        <v>per 1000 youth</v>
      </c>
      <c r="L60" s="58">
        <f>L54</f>
        <v>1000</v>
      </c>
      <c r="M60" s="58"/>
    </row>
    <row r="61" spans="2:18" ht="15" hidden="1" customHeight="1">
      <c r="B61" s="49" t="str">
        <f t="shared" ref="B61:D62" si="11">IF(($E55&gt;0),B55,B54)</f>
        <v>per 100 arrests</v>
      </c>
      <c r="C61" s="49">
        <f t="shared" si="11"/>
        <v>0.38</v>
      </c>
      <c r="D61" s="49">
        <f t="shared" si="11"/>
        <v>0</v>
      </c>
      <c r="E61" s="49">
        <f>MAX(C61:D61)</f>
        <v>0.38</v>
      </c>
      <c r="G61" s="1" t="str">
        <f>G55</f>
        <v>per 100 arrests</v>
      </c>
      <c r="L61" s="58">
        <f>IF(($E55&gt;0),L55,L54)</f>
        <v>100</v>
      </c>
      <c r="M61" s="58"/>
    </row>
    <row r="62" spans="2:18" ht="15" hidden="1" customHeight="1">
      <c r="B62" s="49" t="str">
        <f t="shared" si="11"/>
        <v>per 100 referrals</v>
      </c>
      <c r="C62" s="49">
        <f t="shared" si="11"/>
        <v>1.23</v>
      </c>
      <c r="D62" s="49">
        <f t="shared" si="11"/>
        <v>0.15</v>
      </c>
      <c r="E62" s="49">
        <f>MAX(C62:D62)</f>
        <v>1.23</v>
      </c>
      <c r="G62" s="1" t="str">
        <f>G56</f>
        <v>per 100 referrals</v>
      </c>
      <c r="L62" s="58">
        <f>IF(($E56&gt;0),L56,L55)</f>
        <v>100</v>
      </c>
      <c r="M62" s="58"/>
    </row>
    <row r="63" spans="2:18" ht="15" hidden="1" customHeight="1">
      <c r="B63" s="49" t="str">
        <f>IF(($E57&gt;0),B57,B55)</f>
        <v>per 100 youth petitioned</v>
      </c>
      <c r="C63" s="49">
        <f>IF(($E57&gt;0),C57,C56)</f>
        <v>0.66</v>
      </c>
      <c r="D63" s="49">
        <f>IF(($E57&gt;0),D57,D56)</f>
        <v>7.0000000000000007E-2</v>
      </c>
      <c r="E63" s="49">
        <f>MAX(C63:D63)</f>
        <v>0.66</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0.04</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14.807</v>
      </c>
      <c r="D66" s="56">
        <f>D60</f>
        <v>0</v>
      </c>
      <c r="E66" s="56">
        <f>MAX(C66:D66)</f>
        <v>14.807</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v>
      </c>
      <c r="E67" s="49">
        <f>MAX(C67:D67)</f>
        <v>0.38</v>
      </c>
      <c r="G67" s="1" t="str">
        <f>G61</f>
        <v>per 100 arrests</v>
      </c>
      <c r="L67" s="58">
        <f>IF(($E61&gt;0),L61,L60)</f>
        <v>100</v>
      </c>
      <c r="M67" s="58">
        <f>IF((B67=G67),1,2)</f>
        <v>1</v>
      </c>
    </row>
    <row r="68" spans="2:13" ht="15" hidden="1" customHeight="1">
      <c r="B68" s="49" t="str">
        <f t="shared" si="12"/>
        <v>per 100 referrals</v>
      </c>
      <c r="C68" s="49">
        <f t="shared" si="12"/>
        <v>1.23</v>
      </c>
      <c r="D68" s="49">
        <f t="shared" si="12"/>
        <v>0.15</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0.66</v>
      </c>
      <c r="D69" s="49">
        <f>IF(($E63&gt;0),D63,D62)</f>
        <v>7.0000000000000007E-2</v>
      </c>
      <c r="E69" s="49">
        <f>MAX(C69:D69)</f>
        <v>0.66</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0.04</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14807</v>
      </c>
      <c r="D6" s="34"/>
      <c r="E6" s="33">
        <f>'Data Entry'!J6</f>
        <v>9786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2.5663537516039709</v>
      </c>
      <c r="E7" s="33">
        <f>'Data Entry'!J7</f>
        <v>84</v>
      </c>
      <c r="F7" s="34">
        <f>IF((AND($E$7&gt;0,$D$66&gt;0)),($E$7/$D$66),0)</f>
        <v>8.5836909871244647</v>
      </c>
      <c r="G7" s="39">
        <f t="shared" ref="G7:G15" si="0">IF(L$6=100,"*",IF(M7=FALSE,"--",IF(K7=20,"**",($F7/$D7))))</f>
        <v>3.344702959114525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84</v>
      </c>
      <c r="O7" s="42">
        <f>E6-E7</f>
        <v>9702</v>
      </c>
      <c r="P7" s="42">
        <f t="shared" ref="P7:P15" si="4">C7</f>
        <v>38</v>
      </c>
      <c r="Q7" s="42">
        <f>C6-C7</f>
        <v>14769</v>
      </c>
      <c r="R7" s="42">
        <f t="shared" ref="R7:R15" si="5">SUM(N7:Q7)</f>
        <v>24593</v>
      </c>
      <c r="S7" s="30">
        <f t="shared" ref="S7:S15" si="6">R7*((((N7*Q7)-(O7*P7))^2))</f>
        <v>1.86966926540352E+16</v>
      </c>
      <c r="T7" s="30">
        <f t="shared" ref="T7:T15" si="7">(N7+O7)*(P7+Q7)*(N7+P7)*(O7+Q7)</f>
        <v>432597330871524</v>
      </c>
      <c r="U7" s="31">
        <f t="shared" ref="U7:U15" si="8">IF((S7&gt;0),S7/T7,"- -")</f>
        <v>43.219620926389588</v>
      </c>
    </row>
    <row r="8" spans="2:21" ht="18" customHeight="1">
      <c r="B8" s="32" t="str">
        <f>'Data Entry'!A8</f>
        <v>3. Refer to Juvenile Court</v>
      </c>
      <c r="C8" s="33">
        <f>'Data Entry'!C8</f>
        <v>123</v>
      </c>
      <c r="D8" s="34">
        <f>IF((AND(C67&gt;0,C8&gt;0)),(C8/C67),0)</f>
        <v>323.68421052631578</v>
      </c>
      <c r="E8" s="33">
        <f>'Data Entry'!J8</f>
        <v>263</v>
      </c>
      <c r="F8" s="34">
        <f>IF((AND($E$8&gt;0,$D$67&gt;0)),($E8/$D67),0)</f>
        <v>313.09523809523813</v>
      </c>
      <c r="G8" s="39">
        <f t="shared" si="0"/>
        <v>0.96728610143244298</v>
      </c>
      <c r="H8" s="40"/>
      <c r="I8" s="41"/>
      <c r="J8" s="40">
        <f>IF((ABS($U8)&gt;Defaults!D$7),1,2)</f>
        <v>2</v>
      </c>
      <c r="K8" s="39">
        <f>IF((AND(N8&gt;Defaults!B$12,(N8+O8)&gt;Defaults!B$13, P8 &gt; Defaults!B$12, (P8+Q8) &gt; Defaults!B$13)),1,20)</f>
        <v>1</v>
      </c>
      <c r="L8" s="1">
        <f t="shared" si="1"/>
        <v>2</v>
      </c>
      <c r="M8" s="1" t="b">
        <f t="shared" si="2"/>
        <v>1</v>
      </c>
      <c r="N8" s="42">
        <f t="shared" si="3"/>
        <v>263</v>
      </c>
      <c r="O8" s="42">
        <f>((D67*L67)-E8)+0.05</f>
        <v>-178.95</v>
      </c>
      <c r="P8" s="42">
        <f t="shared" si="4"/>
        <v>123</v>
      </c>
      <c r="Q8" s="42">
        <f>(C$67*L67)-C8</f>
        <v>-85</v>
      </c>
      <c r="R8" s="42">
        <f t="shared" si="5"/>
        <v>122.05000000000001</v>
      </c>
      <c r="S8" s="30">
        <f t="shared" si="6"/>
        <v>14455507.106125124</v>
      </c>
      <c r="T8" s="30">
        <f t="shared" si="7"/>
        <v>-325409543.33000004</v>
      </c>
      <c r="U8" s="31">
        <f t="shared" si="8"/>
        <v>-4.4422505124460027E-2</v>
      </c>
    </row>
    <row r="9" spans="2:21" ht="18" customHeight="1">
      <c r="B9" s="32" t="str">
        <f>'Data Entry'!A9</f>
        <v xml:space="preserve">4. Cases Diverted </v>
      </c>
      <c r="C9" s="33">
        <f>'Data Entry'!C9</f>
        <v>95</v>
      </c>
      <c r="D9" s="34">
        <f>IF((AND(C68&gt;0,C9&gt;0)),((C9/C68)),0)</f>
        <v>77.235772357723576</v>
      </c>
      <c r="E9" s="33">
        <f>'Data Entry'!J9</f>
        <v>149</v>
      </c>
      <c r="F9" s="34">
        <f>IF((AND($E$9&gt;0,$D$68&gt;0)),(($E$9/$D$68)),0)</f>
        <v>56.653992395437264</v>
      </c>
      <c r="G9" s="39">
        <f t="shared" si="0"/>
        <v>0.73352011206724033</v>
      </c>
      <c r="H9" s="40"/>
      <c r="I9" s="41"/>
      <c r="J9" s="40">
        <f>IF((ABS($U9)&gt;Defaults!D$7),1,2)</f>
        <v>1</v>
      </c>
      <c r="K9" s="39">
        <f>IF((AND(N9&gt;Defaults!B$12,(N9+O9)&gt;Defaults!B$13, P9 &gt; Defaults!B$12, (P9+Q9) &gt; Defaults!B$13)),1,20)</f>
        <v>1</v>
      </c>
      <c r="L9" s="1">
        <f t="shared" si="1"/>
        <v>1</v>
      </c>
      <c r="M9" s="1" t="b">
        <f t="shared" si="2"/>
        <v>1</v>
      </c>
      <c r="N9" s="42">
        <f t="shared" si="3"/>
        <v>149</v>
      </c>
      <c r="O9" s="42">
        <f>(D$68*L68)-E9</f>
        <v>114</v>
      </c>
      <c r="P9" s="42">
        <f t="shared" si="4"/>
        <v>95</v>
      </c>
      <c r="Q9" s="42">
        <f>(C$68*L68)-C9</f>
        <v>28</v>
      </c>
      <c r="R9" s="42">
        <f t="shared" si="5"/>
        <v>386</v>
      </c>
      <c r="S9" s="30">
        <f t="shared" si="6"/>
        <v>17110980104</v>
      </c>
      <c r="T9" s="30">
        <f t="shared" si="7"/>
        <v>1120828152</v>
      </c>
      <c r="U9" s="31">
        <f t="shared" si="8"/>
        <v>15.266372524161937</v>
      </c>
    </row>
    <row r="10" spans="2:21" ht="18" customHeight="1">
      <c r="B10" s="32" t="str">
        <f>'Data Entry'!A10</f>
        <v>5. Cases Involving Secure Detention</v>
      </c>
      <c r="C10" s="33">
        <f>'Data Entry'!C10</f>
        <v>24</v>
      </c>
      <c r="D10" s="34">
        <f>IF(((AND(C68&gt;0,C10&gt;0))),(C10/(C68)),0)</f>
        <v>19.512195121951219</v>
      </c>
      <c r="E10" s="33">
        <f>'Data Entry'!J10</f>
        <v>102</v>
      </c>
      <c r="F10" s="34">
        <f>IF(((AND($E$10&gt;0,$D$68&gt;0))),($E$10/($D$68)),0)</f>
        <v>38.78326996197719</v>
      </c>
      <c r="G10" s="39">
        <f t="shared" si="0"/>
        <v>1.9876425855513311</v>
      </c>
      <c r="H10" s="40"/>
      <c r="I10" s="41"/>
      <c r="J10" s="40">
        <f>IF((ABS($U10)&gt;Defaults!D$7),1,2)</f>
        <v>1</v>
      </c>
      <c r="K10" s="39">
        <f>IF((AND(N10&gt;Defaults!B$12,(N10+O10)&gt;Defaults!B$13, P10 &gt; Defaults!B$12, (P10+Q10) &gt; Defaults!B$13)),1,20)</f>
        <v>1</v>
      </c>
      <c r="L10" s="1">
        <f t="shared" si="1"/>
        <v>1</v>
      </c>
      <c r="M10" s="1" t="b">
        <f t="shared" si="2"/>
        <v>1</v>
      </c>
      <c r="N10" s="42">
        <f t="shared" si="3"/>
        <v>102</v>
      </c>
      <c r="O10" s="42">
        <f>(D$68*L68)-E10</f>
        <v>161</v>
      </c>
      <c r="P10" s="42">
        <f t="shared" si="4"/>
        <v>24</v>
      </c>
      <c r="Q10" s="42">
        <f>(C$68*L68)-C10</f>
        <v>99</v>
      </c>
      <c r="R10" s="42">
        <f t="shared" si="5"/>
        <v>386</v>
      </c>
      <c r="S10" s="30">
        <f t="shared" si="6"/>
        <v>15001023816</v>
      </c>
      <c r="T10" s="30">
        <f t="shared" si="7"/>
        <v>1059753240</v>
      </c>
      <c r="U10" s="31">
        <f t="shared" si="8"/>
        <v>14.155204485149769</v>
      </c>
    </row>
    <row r="11" spans="2:21" ht="18" customHeight="1">
      <c r="B11" s="32" t="str">
        <f>'Data Entry'!A11</f>
        <v>6. Cases Petitioned (Charge Filed)</v>
      </c>
      <c r="C11" s="33">
        <f>'Data Entry'!C11</f>
        <v>66</v>
      </c>
      <c r="D11" s="34">
        <f>IF(((AND(C68&gt;0,C11&gt;0))),(C11/(C68)),0)</f>
        <v>53.658536585365852</v>
      </c>
      <c r="E11" s="33">
        <f>'Data Entry'!J11</f>
        <v>172</v>
      </c>
      <c r="F11" s="34">
        <f>IF(((AND($E$11&gt;0,$D$68&gt;0))),($E$11/($D$68)),0)</f>
        <v>65.399239543726239</v>
      </c>
      <c r="G11" s="39">
        <f t="shared" si="0"/>
        <v>1.2188040096785344</v>
      </c>
      <c r="H11" s="40"/>
      <c r="I11" s="41"/>
      <c r="J11" s="40">
        <f>IF((ABS($U11)&gt;Defaults!D$7),1,2)</f>
        <v>1</v>
      </c>
      <c r="K11" s="39">
        <f>IF((AND(N11&gt;Defaults!B$12,(N11+O11)&gt;Defaults!B$13, P11 &gt; Defaults!B$12, (P11+Q11) &gt; Defaults!B$13)),1,20)</f>
        <v>1</v>
      </c>
      <c r="L11" s="1">
        <f t="shared" si="1"/>
        <v>1</v>
      </c>
      <c r="M11" s="1" t="b">
        <f t="shared" si="2"/>
        <v>1</v>
      </c>
      <c r="N11" s="42">
        <f t="shared" si="3"/>
        <v>172</v>
      </c>
      <c r="O11" s="42">
        <f>(D$68*L68)-E11</f>
        <v>91</v>
      </c>
      <c r="P11" s="42">
        <f t="shared" si="4"/>
        <v>66</v>
      </c>
      <c r="Q11" s="42">
        <f>(C$68*L68)-C11</f>
        <v>57</v>
      </c>
      <c r="R11" s="42">
        <f t="shared" si="5"/>
        <v>386</v>
      </c>
      <c r="S11" s="30">
        <f t="shared" si="6"/>
        <v>5567974344</v>
      </c>
      <c r="T11" s="30">
        <f t="shared" si="7"/>
        <v>1139461176</v>
      </c>
      <c r="U11" s="31">
        <f t="shared" si="8"/>
        <v>4.8864976370199731</v>
      </c>
    </row>
    <row r="12" spans="2:21" ht="18" customHeight="1">
      <c r="B12" s="32" t="str">
        <f>'Data Entry'!A12</f>
        <v>7. Cases Resulting in Delinquent Findings</v>
      </c>
      <c r="C12" s="33">
        <f>'Data Entry'!C12</f>
        <v>62</v>
      </c>
      <c r="D12" s="34">
        <f>IF(((AND(C69&gt;0,C12&gt;0))),(C12/(C69)),0)</f>
        <v>93.939393939393938</v>
      </c>
      <c r="E12" s="33">
        <f>'Data Entry'!J12</f>
        <v>141</v>
      </c>
      <c r="F12" s="34">
        <f>IF(((AND($D$69&gt;0,$E$12&gt;0))),(E12/(D69)),0)</f>
        <v>81.976744186046517</v>
      </c>
      <c r="G12" s="39">
        <f t="shared" si="0"/>
        <v>0.87265566391597904</v>
      </c>
      <c r="H12" s="40"/>
      <c r="I12" s="41"/>
      <c r="J12" s="40">
        <f>IF((ABS($U12)&gt;Defaults!D$7),1,2)</f>
        <v>1</v>
      </c>
      <c r="K12" s="39">
        <f>IF((AND(N12&gt;Defaults!B$12,(N12+O12)&gt;Defaults!B$13, P12 &gt; Defaults!B$12, (P12+Q12) &gt; Defaults!B$13)),1,20)</f>
        <v>1</v>
      </c>
      <c r="L12" s="1">
        <f t="shared" si="1"/>
        <v>1</v>
      </c>
      <c r="M12" s="1" t="b">
        <f t="shared" si="2"/>
        <v>1</v>
      </c>
      <c r="N12" s="42">
        <f t="shared" si="3"/>
        <v>141</v>
      </c>
      <c r="O12" s="42">
        <f>(D69*L69)-E12</f>
        <v>31</v>
      </c>
      <c r="P12" s="42">
        <f t="shared" si="4"/>
        <v>62</v>
      </c>
      <c r="Q12" s="42">
        <f>(C69*L69)-C12</f>
        <v>4</v>
      </c>
      <c r="R12" s="42">
        <f t="shared" si="5"/>
        <v>238</v>
      </c>
      <c r="S12" s="30">
        <f t="shared" si="6"/>
        <v>438911032</v>
      </c>
      <c r="T12" s="30">
        <f t="shared" si="7"/>
        <v>80655960</v>
      </c>
      <c r="U12" s="31">
        <f t="shared" si="8"/>
        <v>5.4417681222813536</v>
      </c>
    </row>
    <row r="13" spans="2:21" ht="18" customHeight="1">
      <c r="B13" s="32" t="str">
        <f>'Data Entry'!A13</f>
        <v>8. Cases Resulting in Probation Placement</v>
      </c>
      <c r="C13" s="33">
        <f>'Data Entry'!C13</f>
        <v>61</v>
      </c>
      <c r="D13" s="34">
        <f>IF(((AND(C70&gt;0,C13&gt;0))),(C13/(C70)),0)</f>
        <v>98.387096774193552</v>
      </c>
      <c r="E13" s="33">
        <f>'Data Entry'!J13</f>
        <v>143</v>
      </c>
      <c r="F13" s="34">
        <f>IF(((AND($D$70&gt;0,$E$13&gt;0))),($E$13/($D$70)),0)</f>
        <v>101.41843971631207</v>
      </c>
      <c r="G13" s="39">
        <f t="shared" si="0"/>
        <v>1.0308103708871061</v>
      </c>
      <c r="H13" s="40"/>
      <c r="I13" s="41"/>
      <c r="J13" s="40">
        <f>IF((ABS($U13)&gt;Defaults!D$7),1,2)</f>
        <v>1</v>
      </c>
      <c r="K13" s="39">
        <f>IF((AND(N13&gt;Defaults!B$12,(N13+O13)&gt;Defaults!B$13, P13 &gt; Defaults!B$12, (P13+Q13) &gt; Defaults!B$13)),1,20)</f>
        <v>1</v>
      </c>
      <c r="L13" s="1">
        <f t="shared" si="1"/>
        <v>1</v>
      </c>
      <c r="M13" s="1" t="b">
        <f t="shared" si="2"/>
        <v>1</v>
      </c>
      <c r="N13" s="42">
        <f t="shared" si="3"/>
        <v>143</v>
      </c>
      <c r="O13" s="42">
        <f>(D70*L70)-E13</f>
        <v>-2</v>
      </c>
      <c r="P13" s="42">
        <f t="shared" si="4"/>
        <v>61</v>
      </c>
      <c r="Q13" s="42">
        <f>(C70*L70)-C13</f>
        <v>1</v>
      </c>
      <c r="R13" s="42">
        <f t="shared" si="5"/>
        <v>203</v>
      </c>
      <c r="S13" s="30">
        <f t="shared" si="6"/>
        <v>14255675</v>
      </c>
      <c r="T13" s="30">
        <f t="shared" si="7"/>
        <v>-1783368</v>
      </c>
      <c r="U13" s="31">
        <f t="shared" si="8"/>
        <v>-7.9936810574149586</v>
      </c>
    </row>
    <row r="14" spans="2:21" ht="30.75" customHeight="1">
      <c r="B14" s="32" t="str">
        <f>'Data Entry'!A14</f>
        <v xml:space="preserve">9. Cases Resulting in Confinement in Secure Juvenile Correctional Facilities </v>
      </c>
      <c r="C14" s="33">
        <f>'Data Entry'!C14</f>
        <v>2</v>
      </c>
      <c r="D14" s="34">
        <f>IF(((AND(C70&gt;0,C14&gt;0))), ((C14/(C70))),0)</f>
        <v>3.2258064516129035</v>
      </c>
      <c r="E14" s="33">
        <f>'Data Entry'!J14</f>
        <v>11</v>
      </c>
      <c r="F14" s="34">
        <f>IF(((AND($D$70&gt;0,$E$14&gt;0))), (($E$14/($D$70))),0)</f>
        <v>7.8014184397163122</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11</v>
      </c>
      <c r="O14" s="42">
        <f>(D70*L70)-E14</f>
        <v>130</v>
      </c>
      <c r="P14" s="42">
        <f t="shared" si="4"/>
        <v>2</v>
      </c>
      <c r="Q14" s="42">
        <f>(C70*L70)-C14</f>
        <v>60</v>
      </c>
      <c r="R14" s="42">
        <f t="shared" si="5"/>
        <v>203</v>
      </c>
      <c r="S14" s="30">
        <f t="shared" si="6"/>
        <v>32480000</v>
      </c>
      <c r="T14" s="30">
        <f t="shared" si="7"/>
        <v>21592740</v>
      </c>
      <c r="U14" s="31">
        <f t="shared" si="8"/>
        <v>1.5042092851578817</v>
      </c>
    </row>
    <row r="15" spans="2:21" ht="15.75" customHeight="1">
      <c r="B15" s="32" t="str">
        <f>'Data Entry'!A15</f>
        <v xml:space="preserve">10. Cases Transferred to Adult Court </v>
      </c>
      <c r="C15" s="33">
        <f>'Data Entry'!C15</f>
        <v>1</v>
      </c>
      <c r="D15" s="34">
        <f>IF(((AND(C69&gt;0,C15&gt;0))),((C15/(C69))),0)</f>
        <v>1.5151515151515151</v>
      </c>
      <c r="E15" s="33">
        <f>'Data Entry'!J15</f>
        <v>2</v>
      </c>
      <c r="F15" s="34">
        <f>IF(((AND($D$69&gt;0,$E$15&gt;0))),(($E$15/($D$69))),0)</f>
        <v>1.1627906976744187</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2</v>
      </c>
      <c r="O15" s="42">
        <f>(D69*L69)-E15</f>
        <v>170</v>
      </c>
      <c r="P15" s="42">
        <f t="shared" si="4"/>
        <v>1</v>
      </c>
      <c r="Q15" s="42">
        <f>(C69*L69)-C15</f>
        <v>65</v>
      </c>
      <c r="R15" s="42">
        <f t="shared" si="5"/>
        <v>238</v>
      </c>
      <c r="S15" s="30">
        <f t="shared" si="6"/>
        <v>380800</v>
      </c>
      <c r="T15" s="30">
        <f t="shared" si="7"/>
        <v>8003160</v>
      </c>
      <c r="U15" s="31">
        <f t="shared" si="8"/>
        <v>4.7581205423857575E-2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14.807</v>
      </c>
      <c r="D42" s="56">
        <f>E6/1000</f>
        <v>9.7859999999999996</v>
      </c>
      <c r="E42" s="56">
        <f>MAX(C42:D42)</f>
        <v>14.807</v>
      </c>
      <c r="G42" s="1" t="str">
        <f>B42</f>
        <v>per 1000 youth</v>
      </c>
      <c r="L42" s="57">
        <v>1000</v>
      </c>
      <c r="M42" s="57"/>
      <c r="R42" s="49"/>
    </row>
    <row r="43" spans="2:18" ht="15" hidden="1" customHeight="1">
      <c r="B43" s="49" t="s">
        <v>87</v>
      </c>
      <c r="C43" s="56">
        <f>C7/100</f>
        <v>0.38</v>
      </c>
      <c r="D43" s="56">
        <f>E7/100</f>
        <v>0.84</v>
      </c>
      <c r="E43" s="56">
        <f>MAX(C43:D43,0)</f>
        <v>0.84</v>
      </c>
      <c r="G43" s="1" t="str">
        <f>B43</f>
        <v>per 100 arrests</v>
      </c>
      <c r="L43" s="57">
        <v>100</v>
      </c>
      <c r="M43" s="57"/>
      <c r="R43" s="49"/>
    </row>
    <row r="44" spans="2:18" ht="15" hidden="1" customHeight="1">
      <c r="B44" s="49" t="s">
        <v>88</v>
      </c>
      <c r="C44" s="56">
        <f>C8/100</f>
        <v>1.23</v>
      </c>
      <c r="D44" s="56">
        <f>E8/100</f>
        <v>2.63</v>
      </c>
      <c r="E44" s="56">
        <f>MAX(C44:D44,0)</f>
        <v>2.63</v>
      </c>
      <c r="G44" s="1" t="str">
        <f>B44</f>
        <v>per 100 referrals</v>
      </c>
      <c r="L44" s="57">
        <v>100</v>
      </c>
      <c r="M44" s="57"/>
      <c r="R44" s="49"/>
    </row>
    <row r="45" spans="2:18" ht="15" hidden="1" customHeight="1">
      <c r="B45" s="49" t="s">
        <v>89</v>
      </c>
      <c r="C45" s="49">
        <f>C11/100</f>
        <v>0.66</v>
      </c>
      <c r="D45" s="49">
        <f>E11/100</f>
        <v>1.72</v>
      </c>
      <c r="E45" s="56">
        <f>MAX(C45:D45,0)</f>
        <v>1.72</v>
      </c>
      <c r="G45" s="1" t="str">
        <f>B45</f>
        <v>per 100 youth petitioned</v>
      </c>
      <c r="L45" s="57">
        <v>100</v>
      </c>
      <c r="M45" s="57"/>
      <c r="R45" s="49"/>
    </row>
    <row r="46" spans="2:18" ht="15" hidden="1" customHeight="1">
      <c r="B46" s="49" t="s">
        <v>90</v>
      </c>
      <c r="C46" s="49">
        <f>C12/100</f>
        <v>0.62</v>
      </c>
      <c r="D46" s="49">
        <f>E12/100</f>
        <v>1.41</v>
      </c>
      <c r="E46" s="56">
        <f>MAX(C46:D46)</f>
        <v>1.41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14.807</v>
      </c>
      <c r="D48" s="56">
        <f>D42</f>
        <v>9.7859999999999996</v>
      </c>
      <c r="E48" s="56">
        <f>MAX(C48:D48)</f>
        <v>14.807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0.84</v>
      </c>
      <c r="E49" s="49">
        <f>MAX(C49:D49)</f>
        <v>0.84</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2.63</v>
      </c>
      <c r="E50" s="49">
        <f>MAX(C50:D50)</f>
        <v>2.63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0.66</v>
      </c>
      <c r="D51" s="49">
        <f>IF(($E45&gt;0),D45,D44)</f>
        <v>1.72</v>
      </c>
      <c r="E51" s="49">
        <f>MAX(C51:D51)</f>
        <v>1.72</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1.41</v>
      </c>
      <c r="E52" s="56">
        <f>MAX(C52:D52)</f>
        <v>1.41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14.807</v>
      </c>
      <c r="D54" s="56">
        <f>D48</f>
        <v>9.7859999999999996</v>
      </c>
      <c r="E54" s="56">
        <f>MAX(C54:D54)</f>
        <v>14.807</v>
      </c>
      <c r="G54" s="1" t="str">
        <f>G48</f>
        <v>per 1000 youth</v>
      </c>
      <c r="L54" s="58">
        <f>L48</f>
        <v>1000</v>
      </c>
      <c r="M54" s="58"/>
    </row>
    <row r="55" spans="2:18" ht="15" hidden="1" customHeight="1">
      <c r="B55" s="49" t="str">
        <f t="shared" ref="B55:D56" si="10">IF(($E49&gt;0),B49,B48)</f>
        <v>per 100 arrests</v>
      </c>
      <c r="C55" s="49">
        <f t="shared" si="10"/>
        <v>0.38</v>
      </c>
      <c r="D55" s="49">
        <f t="shared" si="10"/>
        <v>0.84</v>
      </c>
      <c r="E55" s="49">
        <f>MAX(C55:D55)</f>
        <v>0.84</v>
      </c>
      <c r="G55" s="1" t="str">
        <f>G49</f>
        <v>per 100 arrests</v>
      </c>
      <c r="L55" s="58">
        <f>IF(($E49&gt;0),L49,L48)</f>
        <v>100</v>
      </c>
      <c r="M55" s="58"/>
    </row>
    <row r="56" spans="2:18" ht="15" hidden="1" customHeight="1">
      <c r="B56" s="49" t="str">
        <f t="shared" si="10"/>
        <v>per 100 referrals</v>
      </c>
      <c r="C56" s="49">
        <f t="shared" si="10"/>
        <v>1.23</v>
      </c>
      <c r="D56" s="49">
        <f t="shared" si="10"/>
        <v>2.63</v>
      </c>
      <c r="E56" s="49">
        <f>MAX(C56:D56)</f>
        <v>2.63</v>
      </c>
      <c r="G56" s="1" t="str">
        <f>G50</f>
        <v>per 100 referrals</v>
      </c>
      <c r="L56" s="58">
        <f>IF(($E50&gt;0),L50,L49)</f>
        <v>100</v>
      </c>
      <c r="M56" s="58"/>
    </row>
    <row r="57" spans="2:18" ht="15" hidden="1" customHeight="1">
      <c r="B57" s="49" t="str">
        <f>IF(($E51&gt;0),B51,B49)</f>
        <v>per 100 youth petitioned</v>
      </c>
      <c r="C57" s="49">
        <f>IF(($E51&gt;0),C51,C50)</f>
        <v>0.66</v>
      </c>
      <c r="D57" s="49">
        <f>IF(($E51&gt;0),D51,D50)</f>
        <v>1.72</v>
      </c>
      <c r="E57" s="49">
        <f>MAX(C57:D57)</f>
        <v>1.72</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1.41</v>
      </c>
      <c r="E58" s="56">
        <f>MAX(C58:D58)</f>
        <v>1.41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14.807</v>
      </c>
      <c r="D60" s="56">
        <f>D54</f>
        <v>9.7859999999999996</v>
      </c>
      <c r="E60" s="56">
        <f>MAX(C60:D60)</f>
        <v>14.807</v>
      </c>
      <c r="G60" s="1" t="str">
        <f>G54</f>
        <v>per 1000 youth</v>
      </c>
      <c r="L60" s="58">
        <f>L54</f>
        <v>1000</v>
      </c>
      <c r="M60" s="58"/>
    </row>
    <row r="61" spans="2:18" ht="15" hidden="1" customHeight="1">
      <c r="B61" s="49" t="str">
        <f t="shared" ref="B61:D62" si="11">IF(($E55&gt;0),B55,B54)</f>
        <v>per 100 arrests</v>
      </c>
      <c r="C61" s="49">
        <f t="shared" si="11"/>
        <v>0.38</v>
      </c>
      <c r="D61" s="49">
        <f t="shared" si="11"/>
        <v>0.84</v>
      </c>
      <c r="E61" s="49">
        <f>MAX(C61:D61)</f>
        <v>0.84</v>
      </c>
      <c r="G61" s="1" t="str">
        <f>G55</f>
        <v>per 100 arrests</v>
      </c>
      <c r="L61" s="58">
        <f>IF(($E55&gt;0),L55,L54)</f>
        <v>100</v>
      </c>
      <c r="M61" s="58"/>
    </row>
    <row r="62" spans="2:18" ht="15" hidden="1" customHeight="1">
      <c r="B62" s="49" t="str">
        <f t="shared" si="11"/>
        <v>per 100 referrals</v>
      </c>
      <c r="C62" s="49">
        <f t="shared" si="11"/>
        <v>1.23</v>
      </c>
      <c r="D62" s="49">
        <f t="shared" si="11"/>
        <v>2.63</v>
      </c>
      <c r="E62" s="49">
        <f>MAX(C62:D62)</f>
        <v>2.63</v>
      </c>
      <c r="G62" s="1" t="str">
        <f>G56</f>
        <v>per 100 referrals</v>
      </c>
      <c r="L62" s="58">
        <f>IF(($E56&gt;0),L56,L55)</f>
        <v>100</v>
      </c>
      <c r="M62" s="58"/>
    </row>
    <row r="63" spans="2:18" ht="15" hidden="1" customHeight="1">
      <c r="B63" s="49" t="str">
        <f>IF(($E57&gt;0),B57,B55)</f>
        <v>per 100 youth petitioned</v>
      </c>
      <c r="C63" s="49">
        <f>IF(($E57&gt;0),C57,C56)</f>
        <v>0.66</v>
      </c>
      <c r="D63" s="49">
        <f>IF(($E57&gt;0),D57,D56)</f>
        <v>1.72</v>
      </c>
      <c r="E63" s="49">
        <f>MAX(C63:D63)</f>
        <v>1.72</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1.41</v>
      </c>
      <c r="E64" s="56">
        <f>MAX(C64:D64)</f>
        <v>1.41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14.807</v>
      </c>
      <c r="D66" s="56">
        <f>D60</f>
        <v>9.7859999999999996</v>
      </c>
      <c r="E66" s="56">
        <f>MAX(C66:D66)</f>
        <v>14.807</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0.84</v>
      </c>
      <c r="E67" s="49">
        <f>MAX(C67:D67)</f>
        <v>0.84</v>
      </c>
      <c r="G67" s="1" t="str">
        <f>G61</f>
        <v>per 100 arrests</v>
      </c>
      <c r="L67" s="58">
        <f>IF(($E61&gt;0),L61,L60)</f>
        <v>100</v>
      </c>
      <c r="M67" s="58">
        <f>IF((B67=G67),1,2)</f>
        <v>1</v>
      </c>
    </row>
    <row r="68" spans="2:13" ht="15" hidden="1" customHeight="1">
      <c r="B68" s="49" t="str">
        <f t="shared" si="12"/>
        <v>per 100 referrals</v>
      </c>
      <c r="C68" s="49">
        <f t="shared" si="12"/>
        <v>1.23</v>
      </c>
      <c r="D68" s="49">
        <f t="shared" si="12"/>
        <v>2.63</v>
      </c>
      <c r="E68" s="49">
        <f>MAX(C68:D68)</f>
        <v>2.63</v>
      </c>
      <c r="G68" s="1" t="str">
        <f>G62</f>
        <v>per 100 referrals</v>
      </c>
      <c r="L68" s="58">
        <f>IF(($E62&gt;0),L62,L61)</f>
        <v>100</v>
      </c>
      <c r="M68" s="58">
        <f>IF((B68=G68),1,2)</f>
        <v>1</v>
      </c>
    </row>
    <row r="69" spans="2:13" ht="15" hidden="1" customHeight="1">
      <c r="B69" s="49" t="str">
        <f>IF(($E63&gt;0),B63,B61)</f>
        <v>per 100 youth petitioned</v>
      </c>
      <c r="C69" s="49">
        <f>IF(($E63&gt;0),C63,C62)</f>
        <v>0.66</v>
      </c>
      <c r="D69" s="49">
        <f>IF(($E63&gt;0),D63,D62)</f>
        <v>1.72</v>
      </c>
      <c r="E69" s="49">
        <f>MAX(C69:D69)</f>
        <v>1.72</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1.41</v>
      </c>
      <c r="E70" s="56">
        <f>MAX(C70:D70)</f>
        <v>1.41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Ingham</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6.1394839154362275</v>
      </c>
      <c r="D7" s="72" t="str">
        <f>Hispanic!G7</f>
        <v>**</v>
      </c>
      <c r="E7" s="72" t="str">
        <f>Asian!G7</f>
        <v>**</v>
      </c>
      <c r="F7" s="72" t="str">
        <f>Hawaiian!G7</f>
        <v>*</v>
      </c>
      <c r="G7" s="72" t="str">
        <f>'Am Indian'!G7</f>
        <v>*</v>
      </c>
      <c r="H7" s="72" t="str">
        <f>'Other - Mixed'!G7</f>
        <v>*</v>
      </c>
      <c r="I7" s="73">
        <f>'All Minorities'!G7</f>
        <v>3.344702959114525</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c r="B8" s="71" t="s">
        <v>9</v>
      </c>
      <c r="C8" s="72">
        <f>'Black or African-American'!$G8</f>
        <v>0.87868229331643966</v>
      </c>
      <c r="D8" s="72" t="str">
        <f>Hispanic!G8</f>
        <v>**</v>
      </c>
      <c r="E8" s="72" t="str">
        <f>Asian!G8</f>
        <v>**</v>
      </c>
      <c r="F8" s="72" t="str">
        <f>Hawaiian!G8</f>
        <v>*</v>
      </c>
      <c r="G8" s="72" t="str">
        <f>'Am Indian'!G8</f>
        <v>*</v>
      </c>
      <c r="H8" s="72" t="str">
        <f>'Other - Mixed'!G8</f>
        <v>*</v>
      </c>
      <c r="I8" s="73">
        <f>'All Minorities'!G8</f>
        <v>0.96728610143244298</v>
      </c>
      <c r="L8" s="1">
        <f>'Black or African-American'!L8</f>
        <v>2</v>
      </c>
      <c r="M8" s="1">
        <f>Hispanic!L8</f>
        <v>40</v>
      </c>
      <c r="N8" s="1">
        <f>Asian!L8</f>
        <v>40</v>
      </c>
      <c r="O8" s="1">
        <f>Hawaiian!L8</f>
        <v>139</v>
      </c>
      <c r="P8" s="1">
        <f>'Am Indian'!L8</f>
        <v>139</v>
      </c>
      <c r="Q8" s="1">
        <f>'Other - Mixed'!L8</f>
        <v>119</v>
      </c>
      <c r="R8" s="1">
        <f>'All Minorities'!L8</f>
        <v>2</v>
      </c>
    </row>
    <row r="9" spans="2:18" ht="15" customHeight="1">
      <c r="B9" s="71" t="s">
        <v>10</v>
      </c>
      <c r="C9" s="72">
        <f>'Black or African-American'!$G9</f>
        <v>0.63850036049026671</v>
      </c>
      <c r="D9" s="72" t="str">
        <f>Hispanic!G9</f>
        <v>**</v>
      </c>
      <c r="E9" s="72" t="str">
        <f>Asian!G9</f>
        <v>**</v>
      </c>
      <c r="F9" s="72" t="str">
        <f>Hawaiian!G9</f>
        <v>*</v>
      </c>
      <c r="G9" s="72" t="str">
        <f>'Am Indian'!G9</f>
        <v>*</v>
      </c>
      <c r="H9" s="72" t="str">
        <f>'Other - Mixed'!G9</f>
        <v>*</v>
      </c>
      <c r="I9" s="73">
        <f>'All Minorities'!G9</f>
        <v>0.73352011206724033</v>
      </c>
      <c r="L9" s="1">
        <f>'Black or African-American'!L9</f>
        <v>1</v>
      </c>
      <c r="M9" s="1">
        <f>Hispanic!L9</f>
        <v>20</v>
      </c>
      <c r="N9" s="1">
        <f>Asian!L9</f>
        <v>40</v>
      </c>
      <c r="O9" s="1" t="e">
        <f>Hawaiian!L9</f>
        <v>#VALUE!</v>
      </c>
      <c r="P9" s="1">
        <f>'Am Indian'!L9</f>
        <v>139</v>
      </c>
      <c r="Q9" s="1">
        <f>'Other - Mixed'!L9</f>
        <v>139</v>
      </c>
      <c r="R9" s="1">
        <f>'All Minorities'!L9</f>
        <v>1</v>
      </c>
    </row>
    <row r="10" spans="2:18" ht="15" customHeight="1">
      <c r="B10" s="71" t="s">
        <v>11</v>
      </c>
      <c r="C10" s="72">
        <f>'Black or African-American'!$G10</f>
        <v>2.2465753424657535</v>
      </c>
      <c r="D10" s="72" t="str">
        <f>Hispanic!G10</f>
        <v>**</v>
      </c>
      <c r="E10" s="72" t="str">
        <f>Asian!G10</f>
        <v>**</v>
      </c>
      <c r="F10" s="72" t="str">
        <f>Hawaiian!G10</f>
        <v>*</v>
      </c>
      <c r="G10" s="72" t="str">
        <f>'Am Indian'!G10</f>
        <v>*</v>
      </c>
      <c r="H10" s="72" t="str">
        <f>'Other - Mixed'!G10</f>
        <v>*</v>
      </c>
      <c r="I10" s="73">
        <f>'All Minorities'!G10</f>
        <v>1.9876425855513311</v>
      </c>
      <c r="L10" s="1">
        <f>'Black or African-American'!L10</f>
        <v>1</v>
      </c>
      <c r="M10" s="1">
        <f>Hispanic!L10</f>
        <v>40</v>
      </c>
      <c r="N10" s="1">
        <f>Asian!L10</f>
        <v>40</v>
      </c>
      <c r="O10" s="1" t="e">
        <f>Hawaiian!L10</f>
        <v>#VALUE!</v>
      </c>
      <c r="P10" s="1">
        <f>'Am Indian'!L10</f>
        <v>139</v>
      </c>
      <c r="Q10" s="1">
        <f>'Other - Mixed'!L10</f>
        <v>139</v>
      </c>
      <c r="R10" s="1">
        <f>'All Minorities'!L10</f>
        <v>1</v>
      </c>
    </row>
    <row r="11" spans="2:18" ht="15" customHeight="1">
      <c r="B11" s="71" t="s">
        <v>95</v>
      </c>
      <c r="C11" s="72">
        <f>'Black or African-American'!$G11</f>
        <v>1.2679535076795352</v>
      </c>
      <c r="D11" s="72" t="str">
        <f>Hispanic!G11</f>
        <v>**</v>
      </c>
      <c r="E11" s="72" t="str">
        <f>Asian!G11</f>
        <v>**</v>
      </c>
      <c r="F11" s="72" t="str">
        <f>Hawaiian!G11</f>
        <v>*</v>
      </c>
      <c r="G11" s="72" t="str">
        <f>'Am Indian'!G11</f>
        <v>*</v>
      </c>
      <c r="H11" s="72" t="str">
        <f>'Other - Mixed'!G11</f>
        <v>*</v>
      </c>
      <c r="I11" s="73">
        <f>'All Minorities'!G11</f>
        <v>1.2188040096785344</v>
      </c>
      <c r="L11" s="1">
        <f>'Black or African-American'!L11</f>
        <v>1</v>
      </c>
      <c r="M11" s="1">
        <f>Hispanic!L11</f>
        <v>40</v>
      </c>
      <c r="N11" s="1">
        <f>Asian!L11</f>
        <v>40</v>
      </c>
      <c r="O11" s="1" t="e">
        <f>Hawaiian!L11</f>
        <v>#VALUE!</v>
      </c>
      <c r="P11" s="1">
        <f>'Am Indian'!L11</f>
        <v>139</v>
      </c>
      <c r="Q11" s="1">
        <f>'Other - Mixed'!L11</f>
        <v>139</v>
      </c>
      <c r="R11" s="1">
        <f>'All Minorities'!L11</f>
        <v>1</v>
      </c>
    </row>
    <row r="12" spans="2:18" ht="15" customHeight="1">
      <c r="B12" s="71" t="s">
        <v>13</v>
      </c>
      <c r="C12" s="72">
        <f>'Black or African-American'!$G12</f>
        <v>0.8787616367179043</v>
      </c>
      <c r="D12" s="72" t="str">
        <f>Hispanic!G12</f>
        <v>**</v>
      </c>
      <c r="E12" s="72" t="str">
        <f>Asian!G12</f>
        <v>**</v>
      </c>
      <c r="F12" s="72" t="str">
        <f>Hawaiian!G12</f>
        <v>*</v>
      </c>
      <c r="G12" s="72" t="str">
        <f>'Am Indian'!G12</f>
        <v>*</v>
      </c>
      <c r="H12" s="72" t="str">
        <f>'Other - Mixed'!G12</f>
        <v>*</v>
      </c>
      <c r="I12" s="73">
        <f>'All Minorities'!G12</f>
        <v>0.87265566391597904</v>
      </c>
      <c r="L12" s="1">
        <f>'Black or African-American'!L12</f>
        <v>1</v>
      </c>
      <c r="M12" s="1">
        <f>Hispanic!L12</f>
        <v>40</v>
      </c>
      <c r="N12" s="1">
        <f>Asian!L12</f>
        <v>40</v>
      </c>
      <c r="O12" s="1" t="e">
        <f>Hawaiian!L12</f>
        <v>#VALUE!</v>
      </c>
      <c r="P12" s="1" t="e">
        <f>'Am Indian'!L12</f>
        <v>#VALUE!</v>
      </c>
      <c r="Q12" s="1">
        <f>'Other - Mixed'!L12</f>
        <v>119</v>
      </c>
      <c r="R12" s="1">
        <f>'All Minorities'!L12</f>
        <v>1</v>
      </c>
    </row>
    <row r="13" spans="2:18" ht="15" customHeight="1">
      <c r="B13" s="71" t="s">
        <v>14</v>
      </c>
      <c r="C13" s="72">
        <f>'Black or African-American'!$G13</f>
        <v>1.0329201652672264</v>
      </c>
      <c r="D13" s="72" t="str">
        <f>Hispanic!G13</f>
        <v>**</v>
      </c>
      <c r="E13" s="72" t="str">
        <f>Asian!G13</f>
        <v>**</v>
      </c>
      <c r="F13" s="72" t="str">
        <f>Hawaiian!G13</f>
        <v>*</v>
      </c>
      <c r="G13" s="72" t="str">
        <f>'Am Indian'!G13</f>
        <v>*</v>
      </c>
      <c r="H13" s="72" t="str">
        <f>'Other - Mixed'!G13</f>
        <v>*</v>
      </c>
      <c r="I13" s="73">
        <f>'All Minorities'!G13</f>
        <v>1.0308103708871061</v>
      </c>
      <c r="L13" s="1">
        <f>'Black or African-American'!L13</f>
        <v>1</v>
      </c>
      <c r="M13" s="1">
        <f>Hispanic!L13</f>
        <v>40</v>
      </c>
      <c r="N13" s="1">
        <f>Asian!L13</f>
        <v>40</v>
      </c>
      <c r="O13" s="1" t="e">
        <f>Hawaiian!L13</f>
        <v>#VALUE!</v>
      </c>
      <c r="P13" s="1" t="e">
        <f>'Am Indian'!L13</f>
        <v>#VALUE!</v>
      </c>
      <c r="Q13" s="1">
        <f>'Other - Mixed'!L13</f>
        <v>139</v>
      </c>
      <c r="R13" s="1">
        <f>'All Minorities'!L13</f>
        <v>1</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f>Asian!L14</f>
        <v>40</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f>Hispanic!L15</f>
        <v>40</v>
      </c>
      <c r="N15" s="1">
        <f>Asian!L15</f>
        <v>40</v>
      </c>
      <c r="O15" s="1" t="e">
        <f>Hawaiian!L15</f>
        <v>#VALUE!</v>
      </c>
      <c r="P15" s="1" t="e">
        <f>'Am Indian'!L15</f>
        <v>#VALUE!</v>
      </c>
      <c r="Q15" s="1">
        <f>'Other - Mixed'!L15</f>
        <v>139</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24593</v>
      </c>
      <c r="D3" s="57">
        <f>'Data Entry'!C6</f>
        <v>14807</v>
      </c>
      <c r="E3" s="57">
        <f>'Data Entry'!D6</f>
        <v>4887</v>
      </c>
      <c r="F3" s="57">
        <f>'Data Entry'!E6</f>
        <v>3140</v>
      </c>
      <c r="G3" s="57">
        <f>'Data Entry'!F6</f>
        <v>1620</v>
      </c>
      <c r="H3" s="57">
        <f>'Data Entry'!G6</f>
        <v>0</v>
      </c>
      <c r="I3" s="57">
        <f>'Data Entry'!H6</f>
        <v>139</v>
      </c>
      <c r="J3" s="57">
        <f>'Data Entry'!I6</f>
        <v>0</v>
      </c>
      <c r="K3" s="57">
        <f>'Data Entry'!J6</f>
        <v>9786</v>
      </c>
    </row>
    <row r="4" spans="2:11" ht="15" customHeight="1">
      <c r="B4" s="16" t="s">
        <v>8</v>
      </c>
      <c r="C4" s="1">
        <f>IF((C$3&gt;0),(1000*('Data Entry'!B7/'Data Entry'!B$6)), 0)</f>
        <v>5.2453950311064128</v>
      </c>
      <c r="D4" s="1">
        <f>IF((D$3&gt;0),(1000*('Data Entry'!C7/'Data Entry'!C$6)), 0)</f>
        <v>2.5663537516039714</v>
      </c>
      <c r="E4" s="1">
        <f>IF((E$3&gt;0),(1000*('Data Entry'!D7/'Data Entry'!D$6)), 0)</f>
        <v>15.756087579291998</v>
      </c>
      <c r="F4" s="1">
        <f>IF((F$3&gt;0),(1000*('Data Entry'!E7/'Data Entry'!E$6)), 0)</f>
        <v>1.5923566878980893</v>
      </c>
      <c r="G4" s="1">
        <f>IF((G$3&gt;0),(1000*('Data Entry'!F7/'Data Entry'!F$6)), 0)</f>
        <v>0.61728395061728392</v>
      </c>
      <c r="H4" s="1">
        <f>IF((H$3&gt;0),(1000*('Data Entry'!G7/'Data Entry'!G$6)), 0)</f>
        <v>0</v>
      </c>
      <c r="I4" s="1">
        <f>IF((I$3&gt;0),(1000*('Data Entry'!H7/'Data Entry'!H$6)), 0)</f>
        <v>7.1942446043165473</v>
      </c>
      <c r="J4" s="1">
        <f>IF((J$3&gt;0),(1000*('Data Entry'!I7/'Data Entry'!I$6)), 0)</f>
        <v>0</v>
      </c>
      <c r="K4" s="1">
        <f>IF((K$3&gt;0),(1000*('Data Entry'!J7/'Data Entry'!J$6)), 0)</f>
        <v>8.5836909871244629</v>
      </c>
    </row>
    <row r="5" spans="2:11" ht="15" customHeight="1">
      <c r="B5" s="16" t="s">
        <v>9</v>
      </c>
      <c r="C5" s="1">
        <f>IF((C$3&gt;0),(1000*('Data Entry'!B8/'Data Entry'!B$6)), 0)</f>
        <v>15.858171024275201</v>
      </c>
      <c r="D5" s="1">
        <f>IF((D$3&gt;0),(1000*('Data Entry'!C8/'Data Entry'!C$6)), 0)</f>
        <v>8.306881880191801</v>
      </c>
      <c r="E5" s="1">
        <f>IF((E$3&gt;0),(1000*('Data Entry'!D8/'Data Entry'!D$6)), 0)</f>
        <v>44.812768569674645</v>
      </c>
      <c r="F5" s="1">
        <f>IF((F$3&gt;0),(1000*('Data Entry'!E8/'Data Entry'!E$6)), 0)</f>
        <v>7.3248407643312099</v>
      </c>
      <c r="G5" s="1">
        <f>IF((G$3&gt;0),(1000*('Data Entry'!F8/'Data Entry'!F$6)), 0)</f>
        <v>1.8518518518518519</v>
      </c>
      <c r="H5" s="1">
        <f>IF((H$3&gt;0),(1000*('Data Entry'!G8/'Data Entry'!G$6)), 0)</f>
        <v>0</v>
      </c>
      <c r="I5" s="1">
        <f>IF((I$3&gt;0),(1000*('Data Entry'!H8/'Data Entry'!H$6)), 0)</f>
        <v>21.582733812949641</v>
      </c>
      <c r="J5" s="1">
        <f>IF((J$3&gt;0),(1000*('Data Entry'!I8/'Data Entry'!I$6)), 0)</f>
        <v>0</v>
      </c>
      <c r="K5" s="1">
        <f>IF((K$3&gt;0),(1000*('Data Entry'!J8/'Data Entry'!J$6)), 0)</f>
        <v>26.875127733496832</v>
      </c>
    </row>
    <row r="6" spans="2:11" ht="15" customHeight="1">
      <c r="B6" s="16" t="s">
        <v>10</v>
      </c>
      <c r="C6" s="1">
        <f>IF((C$3&gt;0),(1000*('Data Entry'!B9/'Data Entry'!B$6)), 0)</f>
        <v>10.165494246330256</v>
      </c>
      <c r="D6" s="1">
        <f>IF((D$3&gt;0),(1000*('Data Entry'!C9/'Data Entry'!C$6)), 0)</f>
        <v>6.4158843790099276</v>
      </c>
      <c r="E6" s="1">
        <f>IF((E$3&gt;0),(1000*('Data Entry'!D9/'Data Entry'!D$6)), 0)</f>
        <v>22.099447513812155</v>
      </c>
      <c r="F6" s="1">
        <f>IF((F$3&gt;0),(1000*('Data Entry'!E9/'Data Entry'!E$6)), 0)</f>
        <v>7.0063694267515926</v>
      </c>
      <c r="G6" s="1">
        <f>IF((G$3&gt;0),(1000*('Data Entry'!F9/'Data Entry'!F$6)), 0)</f>
        <v>1.2345679012345678</v>
      </c>
      <c r="H6" s="1">
        <f>IF((H$3&gt;0),(1000*('Data Entry'!G9/'Data Entry'!G$6)), 0)</f>
        <v>0</v>
      </c>
      <c r="I6" s="1">
        <f>IF((I$3&gt;0),(1000*('Data Entry'!H9/'Data Entry'!H$6)), 0)</f>
        <v>21.582733812949641</v>
      </c>
      <c r="J6" s="1">
        <f>IF((J$3&gt;0),(1000*('Data Entry'!I9/'Data Entry'!I$6)), 0)</f>
        <v>0</v>
      </c>
      <c r="K6" s="1">
        <f>IF((K$3&gt;0),(1000*('Data Entry'!J9/'Data Entry'!J$6)), 0)</f>
        <v>15.225832822399347</v>
      </c>
    </row>
    <row r="7" spans="2:11" ht="15" customHeight="1">
      <c r="B7" s="16" t="s">
        <v>11</v>
      </c>
      <c r="C7" s="1">
        <f>IF((C$3&gt;0),(1000*('Data Entry'!B10/'Data Entry'!B$6)), 0)</f>
        <v>5.1234091001504494</v>
      </c>
      <c r="D7" s="1">
        <f>IF((D$3&gt;0),(1000*('Data Entry'!C10/'Data Entry'!C$6)), 0)</f>
        <v>1.6208550010130343</v>
      </c>
      <c r="E7" s="1">
        <f>IF((E$3&gt;0),(1000*('Data Entry'!D10/'Data Entry'!D$6)), 0)</f>
        <v>19.643953345610804</v>
      </c>
      <c r="F7" s="1">
        <f>IF((F$3&gt;0),(1000*('Data Entry'!E10/'Data Entry'!E$6)), 0)</f>
        <v>1.910828025477707</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10.423053341508277</v>
      </c>
    </row>
    <row r="8" spans="2:11" ht="15" customHeight="1">
      <c r="B8" s="16" t="s">
        <v>95</v>
      </c>
      <c r="C8" s="1">
        <f>IF((C$3&gt;0),(1000*('Data Entry'!B11/'Data Entry'!B$6)), 0)</f>
        <v>9.6775505225064045</v>
      </c>
      <c r="D8" s="1">
        <f>IF((D$3&gt;0),(1000*('Data Entry'!C11/'Data Entry'!C$6)), 0)</f>
        <v>4.4573512527858448</v>
      </c>
      <c r="E8" s="1">
        <f>IF((E$3&gt;0),(1000*('Data Entry'!D11/'Data Entry'!D$6)), 0)</f>
        <v>30.489052588500101</v>
      </c>
      <c r="F8" s="1">
        <f>IF((F$3&gt;0),(1000*('Data Entry'!E11/'Data Entry'!E$6)), 0)</f>
        <v>4.4585987261146496</v>
      </c>
      <c r="G8" s="1">
        <f>IF((G$3&gt;0),(1000*('Data Entry'!F11/'Data Entry'!F$6)), 0)</f>
        <v>1.2345679012345678</v>
      </c>
      <c r="H8" s="1">
        <f>IF((H$3&gt;0),(1000*('Data Entry'!G11/'Data Entry'!G$6)), 0)</f>
        <v>0</v>
      </c>
      <c r="I8" s="1">
        <f>IF((I$3&gt;0),(1000*('Data Entry'!H11/'Data Entry'!H$6)), 0)</f>
        <v>0</v>
      </c>
      <c r="J8" s="1">
        <f>IF((J$3&gt;0),(1000*('Data Entry'!I11/'Data Entry'!I$6)), 0)</f>
        <v>0</v>
      </c>
      <c r="K8" s="1">
        <f>IF((K$3&gt;0),(1000*('Data Entry'!J11/'Data Entry'!J$6)), 0)</f>
        <v>17.576129164111997</v>
      </c>
    </row>
    <row r="9" spans="2:11" ht="15" customHeight="1">
      <c r="B9" s="16" t="s">
        <v>13</v>
      </c>
      <c r="C9" s="1">
        <f>IF((C$3&gt;0),(1000*('Data Entry'!B12/'Data Entry'!B$6)), 0)</f>
        <v>8.2543813280201679</v>
      </c>
      <c r="D9" s="1">
        <f>IF((D$3&gt;0),(1000*('Data Entry'!C12/'Data Entry'!C$6)), 0)</f>
        <v>4.1872087526170052</v>
      </c>
      <c r="E9" s="1">
        <f>IF((E$3&gt;0),(1000*('Data Entry'!D12/'Data Entry'!D$6)), 0)</f>
        <v>25.168815224063845</v>
      </c>
      <c r="F9" s="1">
        <f>IF((F$3&gt;0),(1000*('Data Entry'!E12/'Data Entry'!E$6)), 0)</f>
        <v>3.8216560509554141</v>
      </c>
      <c r="G9" s="1">
        <f>IF((G$3&gt;0),(1000*('Data Entry'!F12/'Data Entry'!F$6)), 0)</f>
        <v>1.2345679012345678</v>
      </c>
      <c r="H9" s="1">
        <f>IF((H$3&gt;0),(1000*('Data Entry'!G12/'Data Entry'!G$6)), 0)</f>
        <v>0</v>
      </c>
      <c r="I9" s="1">
        <f>IF((I$3&gt;0),(1000*('Data Entry'!H12/'Data Entry'!H$6)), 0)</f>
        <v>0</v>
      </c>
      <c r="J9" s="1">
        <f>IF((J$3&gt;0),(1000*('Data Entry'!I12/'Data Entry'!I$6)), 0)</f>
        <v>0</v>
      </c>
      <c r="K9" s="1">
        <f>IF((K$3&gt;0),(1000*('Data Entry'!J12/'Data Entry'!J$6)), 0)</f>
        <v>14.408338442673207</v>
      </c>
    </row>
    <row r="10" spans="2:11" ht="15" customHeight="1">
      <c r="B10" s="16" t="s">
        <v>14</v>
      </c>
      <c r="C10" s="1">
        <f>IF((C$3&gt;0),(1000*('Data Entry'!B13/'Data Entry'!B$6)), 0)</f>
        <v>8.295043305005489</v>
      </c>
      <c r="D10" s="1">
        <f>IF((D$3&gt;0),(1000*('Data Entry'!C13/'Data Entry'!C$6)), 0)</f>
        <v>4.1196731275747958</v>
      </c>
      <c r="E10" s="1">
        <f>IF((E$3&gt;0),(1000*('Data Entry'!D13/'Data Entry'!D$6)), 0)</f>
        <v>25.578064252097398</v>
      </c>
      <c r="F10" s="1">
        <f>IF((F$3&gt;0),(1000*('Data Entry'!E13/'Data Entry'!E$6)), 0)</f>
        <v>3.8216560509554141</v>
      </c>
      <c r="G10" s="1">
        <f>IF((G$3&gt;0),(1000*('Data Entry'!F13/'Data Entry'!F$6)), 0)</f>
        <v>1.2345679012345678</v>
      </c>
      <c r="H10" s="1">
        <f>IF((H$3&gt;0),(1000*('Data Entry'!G13/'Data Entry'!G$6)), 0)</f>
        <v>0</v>
      </c>
      <c r="I10" s="1">
        <f>IF((I$3&gt;0),(1000*('Data Entry'!H13/'Data Entry'!H$6)), 0)</f>
        <v>0</v>
      </c>
      <c r="J10" s="1">
        <f>IF((J$3&gt;0),(1000*('Data Entry'!I13/'Data Entry'!I$6)), 0)</f>
        <v>0</v>
      </c>
      <c r="K10" s="1">
        <f>IF((K$3&gt;0),(1000*('Data Entry'!J13/'Data Entry'!J$6)), 0)</f>
        <v>14.612712037604743</v>
      </c>
    </row>
    <row r="11" spans="2:11" ht="25.5" customHeight="1">
      <c r="B11" s="16" t="s">
        <v>15</v>
      </c>
      <c r="C11" s="1">
        <f>IF((C$3&gt;0),(1000*('Data Entry'!B14/'Data Entry'!B$6)), 0)</f>
        <v>0.52860570080917335</v>
      </c>
      <c r="D11" s="1">
        <f>IF((D$3&gt;0),(1000*('Data Entry'!C14/'Data Entry'!C$6)), 0)</f>
        <v>0.13507125008441953</v>
      </c>
      <c r="E11" s="1">
        <f>IF((E$3&gt;0),(1000*('Data Entry'!D14/'Data Entry'!D$6)), 0)</f>
        <v>1.8416206261510129</v>
      </c>
      <c r="F11" s="1">
        <f>IF((F$3&gt;0),(1000*('Data Entry'!E14/'Data Entry'!E$6)), 0)</f>
        <v>0.63694267515923564</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1.1240547721234415</v>
      </c>
    </row>
    <row r="12" spans="2:11" ht="15" customHeight="1">
      <c r="B12" s="16" t="s">
        <v>16</v>
      </c>
      <c r="C12" s="1">
        <f>IF((C$3&gt;0),(1000*('Data Entry'!B15/'Data Entry'!B$6)), 0)</f>
        <v>0.12198593095596308</v>
      </c>
      <c r="D12" s="1">
        <f>IF((D$3&gt;0),(1000*('Data Entry'!C15/'Data Entry'!C$6)), 0)</f>
        <v>6.7535625042209765E-2</v>
      </c>
      <c r="E12" s="1">
        <f>IF((E$3&gt;0),(1000*('Data Entry'!D15/'Data Entry'!D$6)), 0)</f>
        <v>0.40924902803355845</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0.20437359493153484</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Ingham</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6.1394839154362257</v>
      </c>
      <c r="E19" s="72">
        <f t="shared" si="1"/>
        <v>0.62047435467650014</v>
      </c>
      <c r="F19" s="72">
        <f t="shared" si="1"/>
        <v>0.24052956465237163</v>
      </c>
      <c r="G19" s="72" t="str">
        <f t="shared" si="1"/>
        <v>--</v>
      </c>
      <c r="H19" s="72">
        <f t="shared" si="1"/>
        <v>2.8032942067398712</v>
      </c>
      <c r="I19" s="72" t="str">
        <f t="shared" si="1"/>
        <v>--</v>
      </c>
      <c r="J19" s="73">
        <f t="shared" si="1"/>
        <v>3.3447029591145241</v>
      </c>
    </row>
    <row r="20" spans="2:10" ht="15" customHeight="1">
      <c r="B20" s="71" t="s">
        <v>9</v>
      </c>
      <c r="C20" s="72">
        <f t="shared" ref="C20:J27" si="2">IF(AND(($D5&gt;0),(D5&gt;0)), (D5/$D5),"--")</f>
        <v>1</v>
      </c>
      <c r="D20" s="72">
        <f t="shared" si="2"/>
        <v>5.3946558065948986</v>
      </c>
      <c r="E20" s="72">
        <f t="shared" si="2"/>
        <v>0.8817798146134328</v>
      </c>
      <c r="F20" s="72">
        <f t="shared" si="2"/>
        <v>0.22292984040951522</v>
      </c>
      <c r="G20" s="72" t="str">
        <f t="shared" si="2"/>
        <v>--</v>
      </c>
      <c r="H20" s="72">
        <f t="shared" si="2"/>
        <v>2.5981751184418322</v>
      </c>
      <c r="I20" s="72" t="str">
        <f t="shared" si="2"/>
        <v>--</v>
      </c>
      <c r="J20" s="73">
        <f t="shared" si="2"/>
        <v>3.2352846857714441</v>
      </c>
    </row>
    <row r="21" spans="2:10" ht="15" customHeight="1">
      <c r="B21" s="71" t="s">
        <v>10</v>
      </c>
      <c r="C21" s="72">
        <f t="shared" si="2"/>
        <v>1</v>
      </c>
      <c r="D21" s="72">
        <f t="shared" si="2"/>
        <v>3.4444896772317537</v>
      </c>
      <c r="E21" s="72">
        <f t="shared" si="2"/>
        <v>1.0920348642306403</v>
      </c>
      <c r="F21" s="72">
        <f t="shared" si="2"/>
        <v>0.19242365172189732</v>
      </c>
      <c r="G21" s="72" t="str">
        <f t="shared" si="2"/>
        <v>--</v>
      </c>
      <c r="H21" s="72">
        <f t="shared" si="2"/>
        <v>3.3639530480878457</v>
      </c>
      <c r="I21" s="72" t="str">
        <f t="shared" si="2"/>
        <v>--</v>
      </c>
      <c r="J21" s="73">
        <f t="shared" si="2"/>
        <v>2.3731463852764962</v>
      </c>
    </row>
    <row r="22" spans="2:10" ht="15" customHeight="1">
      <c r="B22" s="71" t="s">
        <v>11</v>
      </c>
      <c r="C22" s="72">
        <f t="shared" si="2"/>
        <v>1</v>
      </c>
      <c r="D22" s="72">
        <f t="shared" si="2"/>
        <v>12.119500716185799</v>
      </c>
      <c r="E22" s="72">
        <f t="shared" si="2"/>
        <v>1.1789012738853504</v>
      </c>
      <c r="F22" s="72" t="str">
        <f t="shared" si="2"/>
        <v>--</v>
      </c>
      <c r="G22" s="72" t="str">
        <f t="shared" si="2"/>
        <v>--</v>
      </c>
      <c r="H22" s="72" t="str">
        <f t="shared" si="2"/>
        <v>--</v>
      </c>
      <c r="I22" s="72" t="str">
        <f t="shared" si="2"/>
        <v>--</v>
      </c>
      <c r="J22" s="73">
        <f t="shared" si="2"/>
        <v>6.4305896178213775</v>
      </c>
    </row>
    <row r="23" spans="2:10" ht="15" customHeight="1">
      <c r="B23" s="71" t="s">
        <v>95</v>
      </c>
      <c r="C23" s="72">
        <f t="shared" si="2"/>
        <v>1</v>
      </c>
      <c r="D23" s="72">
        <f t="shared" si="2"/>
        <v>6.8401727526957723</v>
      </c>
      <c r="E23" s="72">
        <f t="shared" si="2"/>
        <v>1.0002798687512062</v>
      </c>
      <c r="F23" s="72">
        <f t="shared" si="2"/>
        <v>0.27697343808454916</v>
      </c>
      <c r="G23" s="72" t="str">
        <f t="shared" si="2"/>
        <v>--</v>
      </c>
      <c r="H23" s="72" t="str">
        <f t="shared" si="2"/>
        <v>--</v>
      </c>
      <c r="I23" s="72" t="str">
        <f t="shared" si="2"/>
        <v>--</v>
      </c>
      <c r="J23" s="73">
        <f t="shared" si="2"/>
        <v>3.9431779474697928</v>
      </c>
    </row>
    <row r="24" spans="2:10" ht="15" customHeight="1">
      <c r="B24" s="71" t="s">
        <v>13</v>
      </c>
      <c r="C24" s="72">
        <f t="shared" si="2"/>
        <v>1</v>
      </c>
      <c r="D24" s="72">
        <f t="shared" si="2"/>
        <v>6.0108814035921512</v>
      </c>
      <c r="E24" s="72">
        <f t="shared" si="2"/>
        <v>0.91269776042736805</v>
      </c>
      <c r="F24" s="72">
        <f t="shared" si="2"/>
        <v>0.29484269215452014</v>
      </c>
      <c r="G24" s="72" t="str">
        <f t="shared" si="2"/>
        <v>--</v>
      </c>
      <c r="H24" s="72" t="str">
        <f t="shared" si="2"/>
        <v>--</v>
      </c>
      <c r="I24" s="72" t="str">
        <f t="shared" si="2"/>
        <v>--</v>
      </c>
      <c r="J24" s="73">
        <f t="shared" si="2"/>
        <v>3.4410365696880998</v>
      </c>
    </row>
    <row r="25" spans="2:10" ht="15" customHeight="1">
      <c r="B25" s="71" t="s">
        <v>14</v>
      </c>
      <c r="C25" s="72">
        <f t="shared" si="2"/>
        <v>1</v>
      </c>
      <c r="D25" s="72">
        <f t="shared" si="2"/>
        <v>6.2087606128001012</v>
      </c>
      <c r="E25" s="72">
        <f t="shared" si="2"/>
        <v>0.92766001879502979</v>
      </c>
      <c r="F25" s="72">
        <f t="shared" si="2"/>
        <v>0.29967617891115156</v>
      </c>
      <c r="G25" s="72" t="str">
        <f t="shared" si="2"/>
        <v>--</v>
      </c>
      <c r="H25" s="72" t="str">
        <f t="shared" si="2"/>
        <v>--</v>
      </c>
      <c r="I25" s="72" t="str">
        <f t="shared" si="2"/>
        <v>--</v>
      </c>
      <c r="J25" s="73">
        <f t="shared" si="2"/>
        <v>3.5470561826362856</v>
      </c>
    </row>
    <row r="26" spans="2:10" ht="25.5" customHeight="1">
      <c r="B26" s="71" t="s">
        <v>15</v>
      </c>
      <c r="C26" s="72">
        <f t="shared" si="2"/>
        <v>1</v>
      </c>
      <c r="D26" s="72">
        <f t="shared" si="2"/>
        <v>13.634438305709024</v>
      </c>
      <c r="E26" s="72">
        <f t="shared" si="2"/>
        <v>4.7156050955414015</v>
      </c>
      <c r="F26" s="72" t="str">
        <f t="shared" si="2"/>
        <v>--</v>
      </c>
      <c r="G26" s="72" t="str">
        <f t="shared" si="2"/>
        <v>--</v>
      </c>
      <c r="H26" s="72" t="str">
        <f t="shared" si="2"/>
        <v>--</v>
      </c>
      <c r="I26" s="72" t="str">
        <f t="shared" si="2"/>
        <v>--</v>
      </c>
      <c r="J26" s="73">
        <f t="shared" si="2"/>
        <v>8.3219395054158998</v>
      </c>
    </row>
    <row r="27" spans="2:10" ht="15" customHeight="1">
      <c r="B27" s="71" t="s">
        <v>16</v>
      </c>
      <c r="C27" s="72">
        <f t="shared" si="2"/>
        <v>1</v>
      </c>
      <c r="D27" s="72">
        <f t="shared" si="2"/>
        <v>6.0597503580929004</v>
      </c>
      <c r="E27" s="72" t="str">
        <f t="shared" si="2"/>
        <v>--</v>
      </c>
      <c r="F27" s="72" t="str">
        <f t="shared" si="2"/>
        <v>--</v>
      </c>
      <c r="G27" s="72" t="str">
        <f t="shared" si="2"/>
        <v>--</v>
      </c>
      <c r="H27" s="72" t="str">
        <f t="shared" si="2"/>
        <v>--</v>
      </c>
      <c r="I27" s="72" t="str">
        <f t="shared" si="2"/>
        <v>--</v>
      </c>
      <c r="J27" s="73">
        <f t="shared" si="2"/>
        <v>3.0261598201512365</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Ingham</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14807</v>
      </c>
      <c r="D7" s="104">
        <f>'Data Entry'!D6</f>
        <v>4887</v>
      </c>
      <c r="E7" s="105"/>
      <c r="F7" s="106">
        <f>'Data Entry'!E6</f>
        <v>3140</v>
      </c>
      <c r="G7" s="105"/>
      <c r="H7" s="106">
        <f>'Data Entry'!F6</f>
        <v>1620</v>
      </c>
      <c r="I7" s="105"/>
      <c r="J7" s="106">
        <f>'Data Entry'!G6</f>
        <v>0</v>
      </c>
      <c r="K7" s="105"/>
      <c r="L7" s="106">
        <f>'Data Entry'!H6</f>
        <v>139</v>
      </c>
      <c r="M7" s="105"/>
      <c r="N7" s="106">
        <f>'Data Entry'!I6</f>
        <v>0</v>
      </c>
      <c r="O7" s="105"/>
      <c r="P7" s="106">
        <f>'Data Entry'!J6</f>
        <v>9786</v>
      </c>
      <c r="Q7" s="107"/>
    </row>
    <row r="8" spans="2:26" s="1" customFormat="1" ht="15" customHeight="1">
      <c r="B8" s="142" t="s">
        <v>8</v>
      </c>
      <c r="C8" s="103">
        <f>'Data Entry'!C7</f>
        <v>38</v>
      </c>
      <c r="D8" s="104">
        <f>'Data Entry'!D7</f>
        <v>77</v>
      </c>
      <c r="E8" s="105">
        <f>'Black or African-American'!$G7</f>
        <v>6.1394839154362275</v>
      </c>
      <c r="F8" s="106">
        <f>'Data Entry'!E7</f>
        <v>5</v>
      </c>
      <c r="G8" s="105" t="str">
        <f>Hispanic!G7</f>
        <v>**</v>
      </c>
      <c r="H8" s="106">
        <f>'Data Entry'!F7</f>
        <v>1</v>
      </c>
      <c r="I8" s="105" t="str">
        <f>Asian!G7</f>
        <v>**</v>
      </c>
      <c r="J8" s="106">
        <f>'Data Entry'!G7</f>
        <v>0</v>
      </c>
      <c r="K8" s="105" t="str">
        <f>Hawaiian!G7</f>
        <v>*</v>
      </c>
      <c r="L8" s="106">
        <f>'Data Entry'!H7</f>
        <v>1</v>
      </c>
      <c r="M8" s="105" t="str">
        <f>'Am Indian'!G7</f>
        <v>*</v>
      </c>
      <c r="N8" s="106">
        <f>'Data Entry'!I7</f>
        <v>0</v>
      </c>
      <c r="O8" s="105" t="str">
        <f>'Other - Mixed'!G7</f>
        <v>*</v>
      </c>
      <c r="P8" s="106">
        <f>'Data Entry'!J7</f>
        <v>84</v>
      </c>
      <c r="Q8" s="107">
        <f>'All Minorities'!G7</f>
        <v>3.344702959114525</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c r="B9" s="142" t="s">
        <v>126</v>
      </c>
      <c r="C9" s="103">
        <f>'Data Entry'!C8</f>
        <v>123</v>
      </c>
      <c r="D9" s="108">
        <f>'Data Entry'!D8</f>
        <v>219</v>
      </c>
      <c r="E9" s="109">
        <f>'Black or African-American'!$G8</f>
        <v>0.87868229331643966</v>
      </c>
      <c r="F9" s="110">
        <f>'Data Entry'!E8</f>
        <v>23</v>
      </c>
      <c r="G9" s="109" t="str">
        <f>Hispanic!G8</f>
        <v>**</v>
      </c>
      <c r="H9" s="110">
        <f>'Data Entry'!F8</f>
        <v>3</v>
      </c>
      <c r="I9" s="109" t="str">
        <f>Asian!G8</f>
        <v>**</v>
      </c>
      <c r="J9" s="110">
        <f>'Data Entry'!G8</f>
        <v>0</v>
      </c>
      <c r="K9" s="109" t="str">
        <f>Hawaiian!G8</f>
        <v>*</v>
      </c>
      <c r="L9" s="110">
        <f>'Data Entry'!H8</f>
        <v>3</v>
      </c>
      <c r="M9" s="109" t="str">
        <f>'Am Indian'!G8</f>
        <v>*</v>
      </c>
      <c r="N9" s="110">
        <f>'Data Entry'!I8</f>
        <v>15</v>
      </c>
      <c r="O9" s="109" t="str">
        <f>'Other - Mixed'!G8</f>
        <v>*</v>
      </c>
      <c r="P9" s="110">
        <f>'Data Entry'!J8</f>
        <v>263</v>
      </c>
      <c r="Q9" s="111">
        <f>'All Minorities'!G8</f>
        <v>0.96728610143244298</v>
      </c>
      <c r="R9"/>
      <c r="T9" s="1">
        <f>'Black or African-American'!L8</f>
        <v>2</v>
      </c>
      <c r="U9" s="1">
        <f>Hispanic!L8</f>
        <v>40</v>
      </c>
      <c r="V9" s="1">
        <f>Asian!L8</f>
        <v>40</v>
      </c>
      <c r="W9" s="1">
        <f>Hawaiian!L8</f>
        <v>139</v>
      </c>
      <c r="X9" s="1">
        <f>'Am Indian'!L8</f>
        <v>139</v>
      </c>
      <c r="Y9" s="1">
        <f>'Other - Mixed'!L8</f>
        <v>119</v>
      </c>
      <c r="Z9" s="1">
        <f>'All Minorities'!L8</f>
        <v>2</v>
      </c>
    </row>
    <row r="10" spans="2:26" s="1" customFormat="1" ht="15" customHeight="1">
      <c r="B10" s="142" t="s">
        <v>10</v>
      </c>
      <c r="C10" s="103">
        <f>'Data Entry'!C9</f>
        <v>95</v>
      </c>
      <c r="D10" s="112">
        <f>'Data Entry'!D9</f>
        <v>108</v>
      </c>
      <c r="E10" s="113">
        <f>'Black or African-American'!$G9</f>
        <v>0.63850036049026671</v>
      </c>
      <c r="F10" s="114">
        <f>'Data Entry'!E9</f>
        <v>22</v>
      </c>
      <c r="G10" s="113" t="str">
        <f>Hispanic!G9</f>
        <v>**</v>
      </c>
      <c r="H10" s="114">
        <f>'Data Entry'!F9</f>
        <v>2</v>
      </c>
      <c r="I10" s="113" t="str">
        <f>Asian!G9</f>
        <v>**</v>
      </c>
      <c r="J10" s="114">
        <f>'Data Entry'!G9</f>
        <v>0</v>
      </c>
      <c r="K10" s="113" t="str">
        <f>Hawaiian!G9</f>
        <v>*</v>
      </c>
      <c r="L10" s="114">
        <f>'Data Entry'!H9</f>
        <v>3</v>
      </c>
      <c r="M10" s="113" t="str">
        <f>'Am Indian'!G9</f>
        <v>*</v>
      </c>
      <c r="N10" s="114">
        <f>'Data Entry'!I9</f>
        <v>14</v>
      </c>
      <c r="O10" s="113" t="str">
        <f>'Other - Mixed'!G9</f>
        <v>*</v>
      </c>
      <c r="P10" s="114">
        <f>'Data Entry'!J9</f>
        <v>149</v>
      </c>
      <c r="Q10" s="115">
        <f>'All Minorities'!G9</f>
        <v>0.73352011206724033</v>
      </c>
      <c r="R10"/>
      <c r="T10" s="1">
        <f>'Black or African-American'!L9</f>
        <v>1</v>
      </c>
      <c r="U10" s="1">
        <f>Hispanic!L9</f>
        <v>20</v>
      </c>
      <c r="V10" s="1">
        <f>Asian!L9</f>
        <v>40</v>
      </c>
      <c r="W10" s="1" t="e">
        <f>Hawaiian!L9</f>
        <v>#VALUE!</v>
      </c>
      <c r="X10" s="1">
        <f>'Am Indian'!L9</f>
        <v>139</v>
      </c>
      <c r="Y10" s="1">
        <f>'Other - Mixed'!L9</f>
        <v>139</v>
      </c>
      <c r="Z10" s="1">
        <f>'All Minorities'!L9</f>
        <v>1</v>
      </c>
    </row>
    <row r="11" spans="2:26" s="1" customFormat="1" ht="15" customHeight="1">
      <c r="B11" s="142" t="s">
        <v>11</v>
      </c>
      <c r="C11" s="103">
        <f>'Data Entry'!C10</f>
        <v>24</v>
      </c>
      <c r="D11" s="108">
        <f>'Data Entry'!D10</f>
        <v>96</v>
      </c>
      <c r="E11" s="109">
        <f>'Black or African-American'!$G10</f>
        <v>2.2465753424657535</v>
      </c>
      <c r="F11" s="110">
        <f>'Data Entry'!E10</f>
        <v>6</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102</v>
      </c>
      <c r="Q11" s="111">
        <f>'All Minorities'!G10</f>
        <v>1.9876425855513311</v>
      </c>
      <c r="R11"/>
      <c r="T11" s="1">
        <f>'Black or African-American'!L10</f>
        <v>1</v>
      </c>
      <c r="U11" s="1">
        <f>Hispanic!L10</f>
        <v>40</v>
      </c>
      <c r="V11" s="1">
        <f>Asian!L10</f>
        <v>40</v>
      </c>
      <c r="W11" s="1" t="e">
        <f>Hawaiian!L10</f>
        <v>#VALUE!</v>
      </c>
      <c r="X11" s="1">
        <f>'Am Indian'!L10</f>
        <v>139</v>
      </c>
      <c r="Y11" s="1">
        <f>'Other - Mixed'!L10</f>
        <v>139</v>
      </c>
      <c r="Z11" s="1">
        <f>'All Minorities'!L10</f>
        <v>1</v>
      </c>
    </row>
    <row r="12" spans="2:26" s="1" customFormat="1" ht="15" customHeight="1">
      <c r="B12" s="142" t="s">
        <v>95</v>
      </c>
      <c r="C12" s="103">
        <f>'Data Entry'!C11</f>
        <v>66</v>
      </c>
      <c r="D12" s="112">
        <f>'Data Entry'!D11</f>
        <v>149</v>
      </c>
      <c r="E12" s="113">
        <f>'Black or African-American'!$G11</f>
        <v>1.2679535076795352</v>
      </c>
      <c r="F12" s="114">
        <f>'Data Entry'!E11</f>
        <v>14</v>
      </c>
      <c r="G12" s="113" t="str">
        <f>Hispanic!G11</f>
        <v>**</v>
      </c>
      <c r="H12" s="114">
        <f>'Data Entry'!F11</f>
        <v>2</v>
      </c>
      <c r="I12" s="113" t="str">
        <f>Asian!G11</f>
        <v>**</v>
      </c>
      <c r="J12" s="114">
        <f>'Data Entry'!G11</f>
        <v>0</v>
      </c>
      <c r="K12" s="113" t="str">
        <f>Hawaiian!G11</f>
        <v>*</v>
      </c>
      <c r="L12" s="114">
        <f>'Data Entry'!H11</f>
        <v>0</v>
      </c>
      <c r="M12" s="113" t="str">
        <f>'Am Indian'!G11</f>
        <v>*</v>
      </c>
      <c r="N12" s="114">
        <f>'Data Entry'!I11</f>
        <v>7</v>
      </c>
      <c r="O12" s="113" t="str">
        <f>'Other - Mixed'!G11</f>
        <v>*</v>
      </c>
      <c r="P12" s="114">
        <f>'Data Entry'!J11</f>
        <v>172</v>
      </c>
      <c r="Q12" s="115">
        <f>'All Minorities'!G11</f>
        <v>1.2188040096785344</v>
      </c>
      <c r="R12"/>
      <c r="T12" s="1">
        <f>'Black or African-American'!L11</f>
        <v>1</v>
      </c>
      <c r="U12" s="1">
        <f>Hispanic!L11</f>
        <v>40</v>
      </c>
      <c r="V12" s="1">
        <f>Asian!L11</f>
        <v>40</v>
      </c>
      <c r="W12" s="1" t="e">
        <f>Hawaiian!L11</f>
        <v>#VALUE!</v>
      </c>
      <c r="X12" s="1">
        <f>'Am Indian'!L11</f>
        <v>139</v>
      </c>
      <c r="Y12" s="1">
        <f>'Other - Mixed'!L11</f>
        <v>139</v>
      </c>
      <c r="Z12" s="1">
        <f>'All Minorities'!L11</f>
        <v>1</v>
      </c>
    </row>
    <row r="13" spans="2:26" s="1" customFormat="1" ht="15" customHeight="1">
      <c r="B13" s="142" t="s">
        <v>13</v>
      </c>
      <c r="C13" s="103">
        <f>'Data Entry'!C12</f>
        <v>62</v>
      </c>
      <c r="D13" s="108">
        <f>'Data Entry'!D12</f>
        <v>123</v>
      </c>
      <c r="E13" s="109">
        <f>'Black or African-American'!$G12</f>
        <v>0.8787616367179043</v>
      </c>
      <c r="F13" s="110">
        <f>'Data Entry'!E12</f>
        <v>12</v>
      </c>
      <c r="G13" s="109" t="str">
        <f>Hispanic!G12</f>
        <v>**</v>
      </c>
      <c r="H13" s="110">
        <f>'Data Entry'!F12</f>
        <v>2</v>
      </c>
      <c r="I13" s="109" t="str">
        <f>Asian!G12</f>
        <v>**</v>
      </c>
      <c r="J13" s="110">
        <f>'Data Entry'!G12</f>
        <v>0</v>
      </c>
      <c r="K13" s="109" t="str">
        <f>Hawaiian!G12</f>
        <v>*</v>
      </c>
      <c r="L13" s="110">
        <f>'Data Entry'!H12</f>
        <v>0</v>
      </c>
      <c r="M13" s="109" t="str">
        <f>'Am Indian'!G12</f>
        <v>*</v>
      </c>
      <c r="N13" s="110">
        <f>'Data Entry'!I12</f>
        <v>4</v>
      </c>
      <c r="O13" s="109" t="str">
        <f>'Other - Mixed'!G12</f>
        <v>*</v>
      </c>
      <c r="P13" s="110">
        <f>'Data Entry'!J12</f>
        <v>141</v>
      </c>
      <c r="Q13" s="111">
        <f>'All Minorities'!G12</f>
        <v>0.87265566391597904</v>
      </c>
      <c r="R13"/>
      <c r="T13" s="1">
        <f>'Black or African-American'!L12</f>
        <v>1</v>
      </c>
      <c r="U13" s="1">
        <f>Hispanic!L12</f>
        <v>40</v>
      </c>
      <c r="V13" s="1">
        <f>Asian!L12</f>
        <v>40</v>
      </c>
      <c r="W13" s="1" t="e">
        <f>Hawaiian!L12</f>
        <v>#VALUE!</v>
      </c>
      <c r="X13" s="1" t="e">
        <f>'Am Indian'!L12</f>
        <v>#VALUE!</v>
      </c>
      <c r="Y13" s="1">
        <f>'Other - Mixed'!L12</f>
        <v>119</v>
      </c>
      <c r="Z13" s="1">
        <f>'All Minorities'!L12</f>
        <v>1</v>
      </c>
    </row>
    <row r="14" spans="2:26" s="1" customFormat="1" ht="15" customHeight="1">
      <c r="B14" s="142" t="s">
        <v>125</v>
      </c>
      <c r="C14" s="103">
        <f>'Data Entry'!C13</f>
        <v>61</v>
      </c>
      <c r="D14" s="112">
        <f>'Data Entry'!D13</f>
        <v>125</v>
      </c>
      <c r="E14" s="113">
        <f>'Black or African-American'!$G13</f>
        <v>1.0329201652672264</v>
      </c>
      <c r="F14" s="114">
        <f>'Data Entry'!E13</f>
        <v>12</v>
      </c>
      <c r="G14" s="113" t="str">
        <f>Hispanic!G13</f>
        <v>**</v>
      </c>
      <c r="H14" s="114">
        <f>'Data Entry'!F13</f>
        <v>2</v>
      </c>
      <c r="I14" s="113" t="str">
        <f>Asian!G13</f>
        <v>**</v>
      </c>
      <c r="J14" s="114">
        <f>'Data Entry'!G13</f>
        <v>0</v>
      </c>
      <c r="K14" s="113" t="str">
        <f>Hawaiian!G13</f>
        <v>*</v>
      </c>
      <c r="L14" s="114">
        <f>'Data Entry'!H13</f>
        <v>0</v>
      </c>
      <c r="M14" s="113" t="str">
        <f>'Am Indian'!G13</f>
        <v>*</v>
      </c>
      <c r="N14" s="114">
        <f>'Data Entry'!I13</f>
        <v>4</v>
      </c>
      <c r="O14" s="113" t="str">
        <f>'Other - Mixed'!G13</f>
        <v>*</v>
      </c>
      <c r="P14" s="114">
        <f>'Data Entry'!J13</f>
        <v>143</v>
      </c>
      <c r="Q14" s="115">
        <f>'All Minorities'!G13</f>
        <v>1.0308103708871061</v>
      </c>
      <c r="R14"/>
      <c r="T14" s="1">
        <f>'Black or African-American'!L13</f>
        <v>1</v>
      </c>
      <c r="U14" s="1">
        <f>Hispanic!L13</f>
        <v>40</v>
      </c>
      <c r="V14" s="1">
        <f>Asian!L13</f>
        <v>40</v>
      </c>
      <c r="W14" s="1" t="e">
        <f>Hawaiian!L13</f>
        <v>#VALUE!</v>
      </c>
      <c r="X14" s="1" t="e">
        <f>'Am Indian'!L13</f>
        <v>#VALUE!</v>
      </c>
      <c r="Y14" s="1">
        <f>'Other - Mixed'!L13</f>
        <v>139</v>
      </c>
      <c r="Z14" s="1">
        <f>'All Minorities'!L13</f>
        <v>1</v>
      </c>
    </row>
    <row r="15" spans="2:26" s="1" customFormat="1" ht="33">
      <c r="B15" s="144" t="s">
        <v>115</v>
      </c>
      <c r="C15" s="103">
        <f>'Data Entry'!C14</f>
        <v>2</v>
      </c>
      <c r="D15" s="108">
        <f>'Data Entry'!D14</f>
        <v>9</v>
      </c>
      <c r="E15" s="109" t="str">
        <f>'Black or African-American'!$G14</f>
        <v>**</v>
      </c>
      <c r="F15" s="110">
        <f>'Data Entry'!E14</f>
        <v>2</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11</v>
      </c>
      <c r="Q15" s="111" t="str">
        <f>'All Minorities'!G14</f>
        <v>**</v>
      </c>
      <c r="R15"/>
      <c r="T15" s="1">
        <f>'Black or African-American'!L14</f>
        <v>40</v>
      </c>
      <c r="U15" s="1">
        <f>Hispanic!L14</f>
        <v>40</v>
      </c>
      <c r="V15" s="1">
        <f>Asian!L14</f>
        <v>40</v>
      </c>
      <c r="W15" s="1" t="e">
        <f>Hawaiian!L14</f>
        <v>#VALUE!</v>
      </c>
      <c r="X15" s="1" t="e">
        <f>'Am Indian'!L14</f>
        <v>#VALUE!</v>
      </c>
      <c r="Y15" s="1">
        <f>'Other - Mixed'!L14</f>
        <v>139</v>
      </c>
      <c r="Z15" s="1">
        <f>'All Minorities'!L14</f>
        <v>40</v>
      </c>
    </row>
    <row r="16" spans="2:26" s="1" customFormat="1" ht="15" customHeight="1">
      <c r="B16" s="142" t="s">
        <v>16</v>
      </c>
      <c r="C16" s="103">
        <f>'Data Entry'!C15</f>
        <v>1</v>
      </c>
      <c r="D16" s="116">
        <f>'Data Entry'!D15</f>
        <v>2</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2</v>
      </c>
      <c r="Q16" s="119" t="str">
        <f>'All Minorities'!G15</f>
        <v>**</v>
      </c>
      <c r="R16"/>
      <c r="T16" s="1">
        <f>'Black or African-American'!L15</f>
        <v>40</v>
      </c>
      <c r="U16" s="1">
        <f>Hispanic!L15</f>
        <v>40</v>
      </c>
      <c r="V16" s="1">
        <f>Asian!L15</f>
        <v>40</v>
      </c>
      <c r="W16" s="1" t="e">
        <f>Hawaiian!L15</f>
        <v>#VALUE!</v>
      </c>
      <c r="X16" s="1" t="e">
        <f>'Am Indian'!L15</f>
        <v>#VALUE!</v>
      </c>
      <c r="Y16" s="1">
        <f>'Other - Mixed'!L15</f>
        <v>139</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Ingham County Juvenile Court</v>
      </c>
      <c r="E27" s="1" t="str">
        <f>'Data Entry'!D20</f>
        <v>Item 4.Diversion: Ingham County Juvenile Court</v>
      </c>
      <c r="I27" s="96"/>
      <c r="J27" s="96"/>
    </row>
    <row r="28" spans="2:18" ht="12.75" customHeight="1">
      <c r="B28" s="1" t="str">
        <f>'Data Entry'!A21</f>
        <v>Item 5.Detention: Ingham County Juvenile Court</v>
      </c>
      <c r="E28" s="1" t="str">
        <f>'Data Entry'!D21</f>
        <v>Item 6.Petitioned: Ingham County Juvenile Court</v>
      </c>
      <c r="I28" s="96"/>
      <c r="J28" s="96"/>
    </row>
    <row r="29" spans="2:18" ht="12.75" customHeight="1">
      <c r="B29" s="1" t="str">
        <f>'Data Entry'!A22</f>
        <v>Item 7.Delinquent: Ingham County Juvenile Court</v>
      </c>
      <c r="E29" s="1" t="str">
        <f>'Data Entry'!D22</f>
        <v>Item 8.Probation: Ingham County Juvenile Court</v>
      </c>
      <c r="I29" s="96"/>
      <c r="J29" s="96"/>
    </row>
    <row r="30" spans="2:18" ht="12.75" customHeight="1">
      <c r="B30" s="1" t="str">
        <f>'Data Entry'!A23</f>
        <v>Item 9.Confinement: Ingham County Juvenile Court</v>
      </c>
      <c r="E30" s="1" t="str">
        <f>'Data Entry'!D23</f>
        <v>Item 10.Transferred: Ingham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Ingham</v>
      </c>
    </row>
    <row r="6" spans="1:12">
      <c r="A6" s="135" t="str">
        <f>CONCATENATE("Percentage of Minorities at Stages of the Juvenile Justice System, ", A5, " 2024")</f>
        <v>Percentage of Minorities at Stages of the Juvenile Justice System, County: Ingham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N=3</v>
      </c>
      <c r="B7" s="150">
        <f>'Data Entry'!D15/'Data Entry'!B15</f>
        <v>0.66666666666666663</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0.33333333333333331</v>
      </c>
      <c r="K7" s="96" t="str">
        <f t="shared" ref="K7:K14" si="0">A7</f>
        <v>Waivers, total N=3</v>
      </c>
      <c r="L7">
        <f>I14/(SUM(B14:G14))</f>
        <v>1.5130799100756183</v>
      </c>
    </row>
    <row r="8" spans="1:12" ht="25.5" customHeight="1">
      <c r="A8" s="151" t="str">
        <f>CONCATENATE("Confinement, total N=", 'Data Entry'!B14)</f>
        <v>Confinement, total N=13</v>
      </c>
      <c r="B8" s="150">
        <f>'Data Entry'!D14/'Data Entry'!B14</f>
        <v>0.69230769230769229</v>
      </c>
      <c r="C8" s="150">
        <f>'Data Entry'!E14/'Data Entry'!B14</f>
        <v>0.15384615384615385</v>
      </c>
      <c r="D8" s="150">
        <f>'Data Entry'!F14/'Data Entry'!B14</f>
        <v>0</v>
      </c>
      <c r="E8" s="150">
        <f>'Data Entry'!G14/'Data Entry'!B14</f>
        <v>0</v>
      </c>
      <c r="F8" s="150">
        <f>'Data Entry'!H14/'Data Entry'!B14</f>
        <v>0</v>
      </c>
      <c r="G8" s="150">
        <f>'Data Entry'!I14/'Data Entry'!B14</f>
        <v>0</v>
      </c>
      <c r="H8" s="150">
        <f>SUM(D8:G8)/'Data Entry'!B14</f>
        <v>0</v>
      </c>
      <c r="I8" s="150">
        <f>'Data Entry'!C14/'Data Entry'!B14</f>
        <v>0.15384615384615385</v>
      </c>
      <c r="K8" s="96" t="str">
        <f>A8</f>
        <v>Confinement, total N=13</v>
      </c>
      <c r="L8">
        <f>I14/(SUM(B14:G14))</f>
        <v>1.5130799100756183</v>
      </c>
    </row>
    <row r="9" spans="1:12">
      <c r="A9" s="128" t="str">
        <f>CONCATENATE("Delinquent Findings, total N=", 'Data Entry'!B12)</f>
        <v>Delinquent Findings, total N=203</v>
      </c>
      <c r="B9" s="150">
        <f>'Data Entry'!D12/'Data Entry'!B12</f>
        <v>0.60591133004926112</v>
      </c>
      <c r="C9" s="150">
        <f>'Data Entry'!E12/'Data Entry'!B12</f>
        <v>5.9113300492610835E-2</v>
      </c>
      <c r="D9" s="150">
        <f>'Data Entry'!F12/'Data Entry'!B12</f>
        <v>9.852216748768473E-3</v>
      </c>
      <c r="E9" s="150">
        <f>'Data Entry'!G12/'Data Entry'!B12</f>
        <v>0</v>
      </c>
      <c r="F9" s="150">
        <f>'Data Entry'!H12/'Data Entry'!B12</f>
        <v>0</v>
      </c>
      <c r="G9" s="150">
        <f>'Data Entry'!I12/'Data Entry'!B12</f>
        <v>1.9704433497536946E-2</v>
      </c>
      <c r="H9" s="150">
        <f>SUM(D9:G9)/'Data Entry'!B12</f>
        <v>1.4559926229707103E-4</v>
      </c>
      <c r="I9" s="150">
        <f>'Data Entry'!C12/'Data Entry'!B12</f>
        <v>0.30541871921182268</v>
      </c>
      <c r="K9" s="96" t="str">
        <f t="shared" si="0"/>
        <v>Delinquent Findings, total N=203</v>
      </c>
      <c r="L9">
        <f>I14/(SUM(B14:G14))</f>
        <v>1.5130799100756183</v>
      </c>
    </row>
    <row r="10" spans="1:12">
      <c r="A10" s="128" t="str">
        <f>CONCATENATE("Petitions, total N=", 'Data Entry'!B11)</f>
        <v>Petitions, total N=238</v>
      </c>
      <c r="B10" s="150">
        <f>'Data Entry'!D11/'Data Entry'!B11</f>
        <v>0.62605042016806722</v>
      </c>
      <c r="C10" s="150">
        <f>'Data Entry'!E11/'Data Entry'!B11</f>
        <v>5.8823529411764705E-2</v>
      </c>
      <c r="D10" s="150">
        <f>'Data Entry'!F11/'Data Entry'!B11</f>
        <v>8.4033613445378148E-3</v>
      </c>
      <c r="E10" s="150">
        <f>'Data Entry'!G11/'Data Entry'!B11</f>
        <v>0</v>
      </c>
      <c r="F10" s="150">
        <f>'Data Entry'!H11/'Data Entry'!B11</f>
        <v>0</v>
      </c>
      <c r="G10" s="150">
        <f>'Data Entry'!I11/'Data Entry'!B11</f>
        <v>2.9411764705882353E-2</v>
      </c>
      <c r="H10" s="150">
        <f>SUM(D10:G10)/'Data Entry'!B11</f>
        <v>1.5888708424546287E-4</v>
      </c>
      <c r="I10" s="150">
        <f>'Data Entry'!C11/'Data Entry'!B11</f>
        <v>0.27731092436974791</v>
      </c>
      <c r="K10" s="96" t="str">
        <f t="shared" si="0"/>
        <v>Petitions, total N=238</v>
      </c>
      <c r="L10">
        <f>I14/(SUM(B14:G14))</f>
        <v>1.5130799100756183</v>
      </c>
    </row>
    <row r="11" spans="1:12">
      <c r="A11" s="128" t="str">
        <f>CONCATENATE("Detentions, total N=", 'Data Entry'!B10)</f>
        <v>Detentions, total N=126</v>
      </c>
      <c r="B11" s="150">
        <f>'Data Entry'!D10/'Data Entry'!B10</f>
        <v>0.76190476190476186</v>
      </c>
      <c r="C11" s="150">
        <f>'Data Entry'!E10/'Data Entry'!B10</f>
        <v>4.7619047619047616E-2</v>
      </c>
      <c r="D11" s="150">
        <f>'Data Entry'!F10/'Data Entry'!B10</f>
        <v>0</v>
      </c>
      <c r="E11" s="150">
        <f>'Data Entry'!G10/'Data Entry'!B10</f>
        <v>0</v>
      </c>
      <c r="F11" s="150">
        <f>'Data Entry'!H10/'Data Entry'!B10</f>
        <v>0</v>
      </c>
      <c r="G11" s="150">
        <f>'Data Entry'!I10/'Data Entry'!B10</f>
        <v>0</v>
      </c>
      <c r="H11" s="150">
        <f>SUM(D11:G11)/'Data Entry'!B10</f>
        <v>0</v>
      </c>
      <c r="I11" s="150">
        <f>'Data Entry'!C10/'Data Entry'!B10</f>
        <v>0.19047619047619047</v>
      </c>
      <c r="K11" s="96" t="str">
        <f t="shared" si="0"/>
        <v>Detentions, total N=126</v>
      </c>
      <c r="L11">
        <f>I14/(SUM(B14:G14))</f>
        <v>1.5130799100756183</v>
      </c>
    </row>
    <row r="12" spans="1:12">
      <c r="A12" s="128" t="str">
        <f>CONCATENATE("Referrals, total N=", 'Data Entry'!B8)</f>
        <v>Referrals, total N=390</v>
      </c>
      <c r="B12" s="150">
        <f>'Data Entry'!D8/'Data Entry'!B8</f>
        <v>0.56153846153846154</v>
      </c>
      <c r="C12" s="150">
        <f>'Data Entry'!E8/'Data Entry'!B8</f>
        <v>5.8974358974358973E-2</v>
      </c>
      <c r="D12" s="150">
        <f>'Data Entry'!F8/'Data Entry'!B8</f>
        <v>7.6923076923076927E-3</v>
      </c>
      <c r="E12" s="150">
        <f>'Data Entry'!G8/'Data Entry'!B8</f>
        <v>0</v>
      </c>
      <c r="F12" s="150">
        <f>'Data Entry'!H8/'Data Entry'!B8</f>
        <v>7.6923076923076927E-3</v>
      </c>
      <c r="G12" s="150">
        <f>'Data Entry'!I8/'Data Entry'!B8</f>
        <v>3.8461538461538464E-2</v>
      </c>
      <c r="H12" s="150">
        <f>SUM(D12:G12)/'Data Entry'!B8</f>
        <v>1.3806706114398424E-4</v>
      </c>
      <c r="I12" s="150">
        <f>'Data Entry'!C8/'Data Entry'!B8</f>
        <v>0.31538461538461537</v>
      </c>
      <c r="K12" s="96" t="str">
        <f t="shared" si="0"/>
        <v>Referrals, total N=390</v>
      </c>
      <c r="L12">
        <f>I14/(SUM(B14:G14))</f>
        <v>1.5130799100756183</v>
      </c>
    </row>
    <row r="13" spans="1:12">
      <c r="A13" s="128" t="str">
        <f>CONCATENATE("Arrests, total N=", 'Data Entry'!B7)</f>
        <v>Arrests, total N=129</v>
      </c>
      <c r="B13" s="150">
        <f>'Data Entry'!D7/'Data Entry'!B7</f>
        <v>0.5968992248062015</v>
      </c>
      <c r="C13" s="150">
        <f>'Data Entry'!E7/'Data Entry'!B7</f>
        <v>3.875968992248062E-2</v>
      </c>
      <c r="D13" s="150">
        <f>'Data Entry'!F7/'Data Entry'!B7</f>
        <v>7.7519379844961239E-3</v>
      </c>
      <c r="E13" s="150">
        <f>'Data Entry'!G7/'Data Entry'!B7</f>
        <v>0</v>
      </c>
      <c r="F13" s="150">
        <f>'Data Entry'!H7/'Data Entry'!B7</f>
        <v>7.7519379844961239E-3</v>
      </c>
      <c r="G13" s="150">
        <f>'Data Entry'!I7/'Data Entry'!B7</f>
        <v>0</v>
      </c>
      <c r="H13" s="150">
        <f>SUM(D13:G13)/'Data Entry'!B7</f>
        <v>1.2018508503094766E-4</v>
      </c>
      <c r="I13" s="150">
        <f>'Data Entry'!C7/'Data Entry'!B7</f>
        <v>0.29457364341085274</v>
      </c>
      <c r="K13" s="96" t="str">
        <f t="shared" si="0"/>
        <v>Arrests, total N=129</v>
      </c>
      <c r="L13">
        <f>I14/(SUM(B14:G14))</f>
        <v>1.5130799100756183</v>
      </c>
    </row>
    <row r="14" spans="1:12">
      <c r="A14" s="128" t="str">
        <f>CONCATENATE("Population, total N=", 'Data Entry'!B6)</f>
        <v>Population, total N=24593</v>
      </c>
      <c r="B14" s="150">
        <f>'Data Entry'!D6/'Data Entry'!B6</f>
        <v>0.19871508152726386</v>
      </c>
      <c r="C14" s="150">
        <f>'Data Entry'!E6/'Data Entry'!B6</f>
        <v>0.12767860773390802</v>
      </c>
      <c r="D14" s="150">
        <f>'Data Entry'!F6/'Data Entry'!B6</f>
        <v>6.5872402716220066E-2</v>
      </c>
      <c r="E14" s="150">
        <f>'Data Entry'!G6/'Data Entry'!B6</f>
        <v>0</v>
      </c>
      <c r="F14" s="150">
        <f>'Data Entry'!H6/'Data Entry'!B6</f>
        <v>5.6520148009596228E-3</v>
      </c>
      <c r="G14" s="150">
        <f>'Data Entry'!I6/'Data Entry'!B6</f>
        <v>0</v>
      </c>
      <c r="H14" s="150">
        <f>SUM(D14:G14)/'Data Entry'!B6</f>
        <v>2.9083242189720526E-6</v>
      </c>
      <c r="I14" s="150">
        <f>'Data Entry'!C6/'Data Entry'!B6</f>
        <v>0.6020818932216484</v>
      </c>
      <c r="K14" s="96" t="str">
        <f t="shared" si="0"/>
        <v>Population, total N=24593</v>
      </c>
      <c r="L14">
        <f>I14/(SUM(B14:G14))</f>
        <v>1.5130799100756183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Ingham</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14807</v>
      </c>
      <c r="D7" s="104">
        <f>'Data Entry'!D6</f>
        <v>4887</v>
      </c>
      <c r="E7" s="105"/>
      <c r="F7" s="106">
        <f>'Data Entry'!E6</f>
        <v>3140</v>
      </c>
      <c r="G7" s="105"/>
      <c r="H7" s="106">
        <f>'Data Entry'!F6</f>
        <v>1620</v>
      </c>
      <c r="I7" s="105"/>
      <c r="J7" s="106">
        <f>'Data Entry'!J6</f>
        <v>9786</v>
      </c>
      <c r="K7" s="107"/>
    </row>
    <row r="8" spans="2:30" s="1" customFormat="1" ht="15" customHeight="1">
      <c r="B8" s="121" t="s">
        <v>8</v>
      </c>
      <c r="C8" s="103">
        <f>'Data Entry'!C7</f>
        <v>38</v>
      </c>
      <c r="D8" s="104">
        <f>'Data Entry'!D7</f>
        <v>77</v>
      </c>
      <c r="E8" s="105">
        <f>'Black or African-American'!$G7</f>
        <v>6.1394839154362275</v>
      </c>
      <c r="F8" s="106">
        <f>'Data Entry'!E7</f>
        <v>5</v>
      </c>
      <c r="G8" s="105" t="str">
        <f>Hispanic!G7</f>
        <v>**</v>
      </c>
      <c r="H8" s="106">
        <f>'Data Entry'!F7</f>
        <v>1</v>
      </c>
      <c r="I8" s="105" t="str">
        <f>Asian!G7</f>
        <v>**</v>
      </c>
      <c r="J8" s="106">
        <f>'Data Entry'!J7</f>
        <v>84</v>
      </c>
      <c r="K8" s="107">
        <f>'All Minorities'!G7</f>
        <v>3.344702959114525</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c r="B9" s="121" t="s">
        <v>126</v>
      </c>
      <c r="C9" s="103">
        <f>'Data Entry'!C8</f>
        <v>123</v>
      </c>
      <c r="D9" s="108">
        <f>'Data Entry'!D8</f>
        <v>219</v>
      </c>
      <c r="E9" s="109">
        <f>'Black or African-American'!$G8</f>
        <v>0.87868229331643966</v>
      </c>
      <c r="F9" s="110">
        <f>'Data Entry'!E8</f>
        <v>23</v>
      </c>
      <c r="G9" s="109" t="str">
        <f>Hispanic!G8</f>
        <v>**</v>
      </c>
      <c r="H9" s="110">
        <f>'Data Entry'!F8</f>
        <v>3</v>
      </c>
      <c r="I9" s="109" t="str">
        <f>Asian!G8</f>
        <v>**</v>
      </c>
      <c r="J9" s="110">
        <f>'Data Entry'!J8</f>
        <v>263</v>
      </c>
      <c r="K9" s="111">
        <f>'All Minorities'!G8</f>
        <v>0.96728610143244298</v>
      </c>
      <c r="L9"/>
      <c r="N9" s="1">
        <f>'Black or African-American'!L8</f>
        <v>2</v>
      </c>
      <c r="O9" s="1">
        <f>Hispanic!L8</f>
        <v>40</v>
      </c>
      <c r="P9" s="1">
        <f>Asian!L8</f>
        <v>40</v>
      </c>
      <c r="Q9" s="1">
        <f>Hawaiian!L8</f>
        <v>139</v>
      </c>
      <c r="R9" s="1">
        <f>'Am Indian'!L8</f>
        <v>139</v>
      </c>
      <c r="S9" s="1">
        <f>'Other - Mixed'!L8</f>
        <v>119</v>
      </c>
      <c r="T9" s="1">
        <f>'All Minorities'!L8</f>
        <v>2</v>
      </c>
    </row>
    <row r="10" spans="2:30" s="1" customFormat="1" ht="15" customHeight="1">
      <c r="B10" s="121" t="s">
        <v>10</v>
      </c>
      <c r="C10" s="103">
        <f>'Data Entry'!C9</f>
        <v>95</v>
      </c>
      <c r="D10" s="112">
        <f>'Data Entry'!D9</f>
        <v>108</v>
      </c>
      <c r="E10" s="113">
        <f>'Black or African-American'!$G9</f>
        <v>0.63850036049026671</v>
      </c>
      <c r="F10" s="114">
        <f>'Data Entry'!E9</f>
        <v>22</v>
      </c>
      <c r="G10" s="113" t="str">
        <f>Hispanic!G9</f>
        <v>**</v>
      </c>
      <c r="H10" s="114">
        <f>'Data Entry'!F9</f>
        <v>2</v>
      </c>
      <c r="I10" s="113" t="str">
        <f>Asian!G9</f>
        <v>**</v>
      </c>
      <c r="J10" s="114">
        <f>'Data Entry'!J9</f>
        <v>149</v>
      </c>
      <c r="K10" s="115">
        <f>'All Minorities'!G9</f>
        <v>0.73352011206724033</v>
      </c>
      <c r="L10"/>
      <c r="N10" s="1">
        <f>'Black or African-American'!L9</f>
        <v>1</v>
      </c>
      <c r="O10" s="1">
        <f>Hispanic!L9</f>
        <v>20</v>
      </c>
      <c r="P10" s="1">
        <f>Asian!L9</f>
        <v>40</v>
      </c>
      <c r="Q10" s="1" t="e">
        <f>Hawaiian!L9</f>
        <v>#VALUE!</v>
      </c>
      <c r="R10" s="1">
        <f>'Am Indian'!L9</f>
        <v>139</v>
      </c>
      <c r="S10" s="1">
        <f>'Other - Mixed'!L9</f>
        <v>139</v>
      </c>
      <c r="T10" s="1">
        <f>'All Minorities'!L9</f>
        <v>1</v>
      </c>
    </row>
    <row r="11" spans="2:30" s="1" customFormat="1" ht="15" customHeight="1">
      <c r="B11" s="121" t="s">
        <v>11</v>
      </c>
      <c r="C11" s="103">
        <f>'Data Entry'!C10</f>
        <v>24</v>
      </c>
      <c r="D11" s="108">
        <f>'Data Entry'!D10</f>
        <v>96</v>
      </c>
      <c r="E11" s="109">
        <f>'Black or African-American'!$G10</f>
        <v>2.2465753424657535</v>
      </c>
      <c r="F11" s="110">
        <f>'Data Entry'!E10</f>
        <v>6</v>
      </c>
      <c r="G11" s="109" t="str">
        <f>Hispanic!G10</f>
        <v>**</v>
      </c>
      <c r="H11" s="110">
        <f>'Data Entry'!F10</f>
        <v>0</v>
      </c>
      <c r="I11" s="109" t="str">
        <f>Asian!G10</f>
        <v>**</v>
      </c>
      <c r="J11" s="110">
        <f>'Data Entry'!J10</f>
        <v>102</v>
      </c>
      <c r="K11" s="111">
        <f>'All Minorities'!G10</f>
        <v>1.9876425855513311</v>
      </c>
      <c r="L11"/>
      <c r="N11" s="1">
        <f>'Black or African-American'!L10</f>
        <v>1</v>
      </c>
      <c r="O11" s="1">
        <f>Hispanic!L10</f>
        <v>40</v>
      </c>
      <c r="P11" s="1">
        <f>Asian!L10</f>
        <v>40</v>
      </c>
      <c r="Q11" s="1" t="e">
        <f>Hawaiian!L10</f>
        <v>#VALUE!</v>
      </c>
      <c r="R11" s="1">
        <f>'Am Indian'!L10</f>
        <v>139</v>
      </c>
      <c r="S11" s="1">
        <f>'Other - Mixed'!L10</f>
        <v>139</v>
      </c>
      <c r="T11" s="1">
        <f>'All Minorities'!L10</f>
        <v>1</v>
      </c>
    </row>
    <row r="12" spans="2:30" s="1" customFormat="1" ht="15" customHeight="1">
      <c r="B12" s="121" t="s">
        <v>95</v>
      </c>
      <c r="C12" s="103">
        <f>'Data Entry'!C11</f>
        <v>66</v>
      </c>
      <c r="D12" s="112">
        <f>'Data Entry'!D11</f>
        <v>149</v>
      </c>
      <c r="E12" s="113">
        <f>'Black or African-American'!$G11</f>
        <v>1.2679535076795352</v>
      </c>
      <c r="F12" s="114">
        <f>'Data Entry'!E11</f>
        <v>14</v>
      </c>
      <c r="G12" s="113" t="str">
        <f>Hispanic!G11</f>
        <v>**</v>
      </c>
      <c r="H12" s="114">
        <f>'Data Entry'!F11</f>
        <v>2</v>
      </c>
      <c r="I12" s="113" t="str">
        <f>Asian!G11</f>
        <v>**</v>
      </c>
      <c r="J12" s="114">
        <f>'Data Entry'!J11</f>
        <v>172</v>
      </c>
      <c r="K12" s="115">
        <f>'All Minorities'!G11</f>
        <v>1.2188040096785344</v>
      </c>
      <c r="L12"/>
      <c r="N12" s="1">
        <f>'Black or African-American'!L11</f>
        <v>1</v>
      </c>
      <c r="O12" s="1">
        <f>Hispanic!L11</f>
        <v>40</v>
      </c>
      <c r="P12" s="1">
        <f>Asian!L11</f>
        <v>40</v>
      </c>
      <c r="Q12" s="1" t="e">
        <f>Hawaiian!L11</f>
        <v>#VALUE!</v>
      </c>
      <c r="R12" s="1">
        <f>'Am Indian'!L11</f>
        <v>139</v>
      </c>
      <c r="S12" s="1">
        <f>'Other - Mixed'!L11</f>
        <v>139</v>
      </c>
      <c r="T12" s="1">
        <f>'All Minorities'!L11</f>
        <v>1</v>
      </c>
    </row>
    <row r="13" spans="2:30" s="1" customFormat="1" ht="15" customHeight="1">
      <c r="B13" s="121" t="s">
        <v>13</v>
      </c>
      <c r="C13" s="103">
        <f>'Data Entry'!C12</f>
        <v>62</v>
      </c>
      <c r="D13" s="108">
        <f>'Data Entry'!D12</f>
        <v>123</v>
      </c>
      <c r="E13" s="109">
        <f>'Black or African-American'!$G12</f>
        <v>0.8787616367179043</v>
      </c>
      <c r="F13" s="110">
        <f>'Data Entry'!E12</f>
        <v>12</v>
      </c>
      <c r="G13" s="109" t="str">
        <f>Hispanic!G12</f>
        <v>**</v>
      </c>
      <c r="H13" s="110">
        <f>'Data Entry'!F12</f>
        <v>2</v>
      </c>
      <c r="I13" s="109" t="str">
        <f>Asian!G12</f>
        <v>**</v>
      </c>
      <c r="J13" s="110">
        <f>'Data Entry'!J12</f>
        <v>141</v>
      </c>
      <c r="K13" s="111">
        <f>'All Minorities'!G12</f>
        <v>0.87265566391597904</v>
      </c>
      <c r="L13"/>
      <c r="N13" s="1">
        <f>'Black or African-American'!L12</f>
        <v>1</v>
      </c>
      <c r="O13" s="1">
        <f>Hispanic!L12</f>
        <v>40</v>
      </c>
      <c r="P13" s="1">
        <f>Asian!L12</f>
        <v>40</v>
      </c>
      <c r="Q13" s="1" t="e">
        <f>Hawaiian!L12</f>
        <v>#VALUE!</v>
      </c>
      <c r="R13" s="1" t="e">
        <f>'Am Indian'!L12</f>
        <v>#VALUE!</v>
      </c>
      <c r="S13" s="1">
        <f>'Other - Mixed'!L12</f>
        <v>119</v>
      </c>
      <c r="T13" s="1">
        <f>'All Minorities'!L12</f>
        <v>1</v>
      </c>
      <c r="W13" s="8"/>
      <c r="X13" s="8"/>
      <c r="Y13" s="8"/>
      <c r="Z13" s="8"/>
      <c r="AA13" s="8"/>
      <c r="AB13" s="8"/>
      <c r="AC13" s="8"/>
      <c r="AD13" s="8"/>
    </row>
    <row r="14" spans="2:30" s="1" customFormat="1" ht="15" customHeight="1">
      <c r="B14" s="121" t="s">
        <v>14</v>
      </c>
      <c r="C14" s="103">
        <f>'Data Entry'!C13</f>
        <v>61</v>
      </c>
      <c r="D14" s="112">
        <f>'Data Entry'!D13</f>
        <v>125</v>
      </c>
      <c r="E14" s="113">
        <f>'Black or African-American'!$G13</f>
        <v>1.0329201652672264</v>
      </c>
      <c r="F14" s="114">
        <f>'Data Entry'!E13</f>
        <v>12</v>
      </c>
      <c r="G14" s="113" t="str">
        <f>Hispanic!G13</f>
        <v>**</v>
      </c>
      <c r="H14" s="114">
        <f>'Data Entry'!F13</f>
        <v>2</v>
      </c>
      <c r="I14" s="113" t="str">
        <f>Asian!G13</f>
        <v>**</v>
      </c>
      <c r="J14" s="114">
        <f>'Data Entry'!J13</f>
        <v>143</v>
      </c>
      <c r="K14" s="115">
        <f>'All Minorities'!G13</f>
        <v>1.0308103708871061</v>
      </c>
      <c r="L14"/>
      <c r="N14" s="1">
        <f>'Black or African-American'!L13</f>
        <v>1</v>
      </c>
      <c r="O14" s="1">
        <f>Hispanic!L13</f>
        <v>40</v>
      </c>
      <c r="P14" s="1">
        <f>Asian!L13</f>
        <v>40</v>
      </c>
      <c r="Q14" s="1" t="e">
        <f>Hawaiian!L13</f>
        <v>#VALUE!</v>
      </c>
      <c r="R14" s="1" t="e">
        <f>'Am Indian'!L13</f>
        <v>#VALUE!</v>
      </c>
      <c r="S14" s="1">
        <f>'Other - Mixed'!L13</f>
        <v>139</v>
      </c>
      <c r="T14" s="1">
        <f>'All Minorities'!L13</f>
        <v>1</v>
      </c>
      <c r="W14" s="8"/>
      <c r="X14" s="8"/>
      <c r="Y14" s="8"/>
      <c r="Z14" s="8"/>
      <c r="AA14" s="8"/>
      <c r="AB14" s="8"/>
      <c r="AC14" s="8"/>
      <c r="AD14" s="8"/>
    </row>
    <row r="15" spans="2:30" s="1" customFormat="1" ht="33">
      <c r="B15" s="126" t="s">
        <v>115</v>
      </c>
      <c r="C15" s="103">
        <f>'Data Entry'!C14</f>
        <v>2</v>
      </c>
      <c r="D15" s="108">
        <f>'Data Entry'!D14</f>
        <v>9</v>
      </c>
      <c r="E15" s="109" t="str">
        <f>'Black or African-American'!$G14</f>
        <v>**</v>
      </c>
      <c r="F15" s="110">
        <f>'Data Entry'!E14</f>
        <v>2</v>
      </c>
      <c r="G15" s="109" t="str">
        <f>Hispanic!G14</f>
        <v>**</v>
      </c>
      <c r="H15" s="110">
        <f>'Data Entry'!F14</f>
        <v>0</v>
      </c>
      <c r="I15" s="109" t="str">
        <f>Asian!G14</f>
        <v>**</v>
      </c>
      <c r="J15" s="110">
        <f>'Data Entry'!J14</f>
        <v>11</v>
      </c>
      <c r="K15" s="111" t="str">
        <f>'All Minorities'!G14</f>
        <v>**</v>
      </c>
      <c r="L15"/>
      <c r="N15" s="1">
        <f>'Black or African-American'!L14</f>
        <v>40</v>
      </c>
      <c r="O15" s="1">
        <f>Hispanic!L14</f>
        <v>40</v>
      </c>
      <c r="P15" s="1">
        <f>Asian!L14</f>
        <v>40</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1</v>
      </c>
      <c r="D16" s="116">
        <f>'Data Entry'!D15</f>
        <v>2</v>
      </c>
      <c r="E16" s="117" t="str">
        <f>'Black or African-American'!$G15</f>
        <v>**</v>
      </c>
      <c r="F16" s="118">
        <f>'Data Entry'!E15</f>
        <v>0</v>
      </c>
      <c r="G16" s="117" t="str">
        <f>Hispanic!G15</f>
        <v>**</v>
      </c>
      <c r="H16" s="118">
        <f>'Data Entry'!F15</f>
        <v>0</v>
      </c>
      <c r="I16" s="117" t="str">
        <f>Asian!G15</f>
        <v>**</v>
      </c>
      <c r="J16" s="118">
        <f>'Data Entry'!J15</f>
        <v>2</v>
      </c>
      <c r="K16" s="119" t="str">
        <f>'All Minorities'!G15</f>
        <v>**</v>
      </c>
      <c r="L16"/>
      <c r="N16" s="1">
        <f>'Black or African-American'!L15</f>
        <v>40</v>
      </c>
      <c r="O16" s="1">
        <f>Hispanic!L15</f>
        <v>40</v>
      </c>
      <c r="P16" s="1">
        <f>Asian!L15</f>
        <v>40</v>
      </c>
      <c r="Q16" s="1" t="e">
        <f>Hawaiian!L15</f>
        <v>#VALUE!</v>
      </c>
      <c r="R16" s="1" t="e">
        <f>'Am Indian'!L15</f>
        <v>#VALUE!</v>
      </c>
      <c r="S16" s="1">
        <f>'Other - Mixed'!L15</f>
        <v>139</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Ingham County Juvenile Court</v>
      </c>
      <c r="E27" s="1" t="str">
        <f>'Data Entry'!D20</f>
        <v>Item 4.Diversion: Ingham County Juvenile Court</v>
      </c>
      <c r="I27" s="96"/>
    </row>
    <row r="28" spans="2:30" ht="12.75" customHeight="1">
      <c r="B28" s="1" t="str">
        <f>'Data Entry'!A21</f>
        <v>Item 5.Detention: Ingham County Juvenile Court</v>
      </c>
      <c r="E28" s="1" t="str">
        <f>'Data Entry'!D21</f>
        <v>Item 6.Petitioned: Ingham County Juvenile Court</v>
      </c>
      <c r="I28" s="96"/>
    </row>
    <row r="29" spans="2:30" ht="12.75" customHeight="1">
      <c r="B29" s="1" t="str">
        <f>'Data Entry'!A22</f>
        <v>Item 7.Delinquent: Ingham County Juvenile Court</v>
      </c>
      <c r="E29" s="1" t="str">
        <f>'Data Entry'!D22</f>
        <v>Item 8.Probation: Ingham County Juvenile Court</v>
      </c>
      <c r="I29" s="96"/>
    </row>
    <row r="30" spans="2:30" ht="12.75" customHeight="1">
      <c r="B30" s="1" t="str">
        <f>'Data Entry'!A23</f>
        <v>Item 9.Confinement: Ingham County Juvenile Court</v>
      </c>
      <c r="E30" s="1" t="str">
        <f>'Data Entry'!D23</f>
        <v>Item 10.Transferred: Ingham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14807</v>
      </c>
      <c r="D6" s="34"/>
      <c r="E6" s="33">
        <f>'Data Entry'!D6</f>
        <v>4887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2.5663537516039709</v>
      </c>
      <c r="E7" s="33">
        <f>'Data Entry'!D7</f>
        <v>77</v>
      </c>
      <c r="F7" s="34">
        <f>IF((AND($E$7&gt;0,$D$66&gt;0)),($E$7/$D$66),0)</f>
        <v>15.756087579292</v>
      </c>
      <c r="G7" s="39">
        <f>IF(L$6=100,"*",IF(M7=FALSE,"--",IF(K7=20,"**",($F7/$D7))))</f>
        <v>6.1394839154362275</v>
      </c>
      <c r="H7" s="40"/>
      <c r="I7" s="41"/>
      <c r="J7" s="40">
        <f>IF((ABS($U7)&gt;Defaults!D$7),1,2)</f>
        <v>1</v>
      </c>
      <c r="K7" s="39">
        <f>IF((AND(N7&gt;Defaults!B$12,(N7+O7)&gt;Defaults!B$13, P7 &gt; Defaults!B$12, (P7+Q7) &gt; Defaults!B$13)),1,20)</f>
        <v>1</v>
      </c>
      <c r="L7" s="1">
        <f>(J7*K7+L$6)-1</f>
        <v>1</v>
      </c>
      <c r="M7" s="1" t="b">
        <f t="shared" ref="M7:M15" si="0">(ISNUMBER(J7))</f>
        <v>1</v>
      </c>
      <c r="N7" s="42">
        <f t="shared" ref="N7:N15" si="1">E7</f>
        <v>77</v>
      </c>
      <c r="O7" s="42">
        <f>E6-E7</f>
        <v>4810</v>
      </c>
      <c r="P7" s="42">
        <f t="shared" ref="P7:P15" si="2">C7</f>
        <v>38</v>
      </c>
      <c r="Q7" s="42">
        <f>C6-C7</f>
        <v>14769</v>
      </c>
      <c r="R7" s="42">
        <f t="shared" ref="R7:R15" si="3">SUM(N7:Q7)</f>
        <v>19694</v>
      </c>
      <c r="S7" s="30">
        <f t="shared" ref="S7:S15" si="4">R7*((((N7*Q7)-(O7*P7))^2))</f>
        <v>1.7940098670224366E+16</v>
      </c>
      <c r="T7" s="30">
        <f t="shared" ref="T7:T15" si="5">(N7+O7)*(P7+Q7)*(N7+P7)*(O7+Q7)</f>
        <v>162928763717265</v>
      </c>
      <c r="U7" s="31">
        <f t="shared" ref="U7:U15" si="6">IF((S7&gt;0),S7/T7,"- -")</f>
        <v>110.11007670417446</v>
      </c>
    </row>
    <row r="8" spans="2:21" ht="18" customHeight="1">
      <c r="B8" s="32" t="str">
        <f>'Data Entry'!A8</f>
        <v>3. Refer to Juvenile Court</v>
      </c>
      <c r="C8" s="33">
        <f>'Data Entry'!C8</f>
        <v>123</v>
      </c>
      <c r="D8" s="34">
        <f>IF((AND(C67&gt;0,C8&gt;0)),(C8/C67),0)</f>
        <v>323.68421052631578</v>
      </c>
      <c r="E8" s="33">
        <f>'Data Entry'!D8</f>
        <v>219</v>
      </c>
      <c r="F8" s="34">
        <f>IF((AND($E$8&gt;0,$D$67&gt;0)),($E8/$D67),0)</f>
        <v>284.41558441558442</v>
      </c>
      <c r="G8" s="39">
        <f t="shared" ref="G8:G15" si="7">IF(L$6=100,"*",IF(M8=FALSE,"--",IF(K8=20,"**",($F8/$D8))))</f>
        <v>0.87868229331643966</v>
      </c>
      <c r="H8" s="40"/>
      <c r="I8" s="41"/>
      <c r="J8" s="40">
        <f>IF((ABS($U8)&gt;Defaults!D$7),1,2)</f>
        <v>2</v>
      </c>
      <c r="K8" s="39">
        <f>IF((AND(N8&gt;Defaults!B$12,(N8+O8)&gt;Defaults!B$13, P8 &gt; Defaults!B$12, (P8+Q8) &gt; Defaults!B$13)),1,20)</f>
        <v>1</v>
      </c>
      <c r="L8" s="1">
        <f t="shared" ref="L8:L15" si="8">(J8*K8+L$6)-1</f>
        <v>2</v>
      </c>
      <c r="M8" s="1" t="b">
        <f t="shared" si="0"/>
        <v>1</v>
      </c>
      <c r="N8" s="42">
        <f t="shared" si="1"/>
        <v>219</v>
      </c>
      <c r="O8" s="42">
        <f>((D67*L67)-E8)+0.05</f>
        <v>-141.94999999999999</v>
      </c>
      <c r="P8" s="42">
        <f t="shared" si="2"/>
        <v>123</v>
      </c>
      <c r="Q8" s="42">
        <f>(C$67*L67)-C8</f>
        <v>-85</v>
      </c>
      <c r="R8" s="42">
        <f t="shared" si="3"/>
        <v>115.05000000000001</v>
      </c>
      <c r="S8" s="30">
        <f t="shared" si="4"/>
        <v>153519443.66362542</v>
      </c>
      <c r="T8" s="30">
        <f t="shared" si="5"/>
        <v>-227254521.51000002</v>
      </c>
      <c r="U8" s="31">
        <f t="shared" si="6"/>
        <v>-0.67553966646542607</v>
      </c>
    </row>
    <row r="9" spans="2:21" ht="18" customHeight="1">
      <c r="B9" s="32" t="str">
        <f>'Data Entry'!A9</f>
        <v xml:space="preserve">4. Cases Diverted </v>
      </c>
      <c r="C9" s="33">
        <f>'Data Entry'!C9</f>
        <v>95</v>
      </c>
      <c r="D9" s="34">
        <f>IF((AND(C68&gt;0,C9&gt;0)),((C9/C68)),0)</f>
        <v>77.235772357723576</v>
      </c>
      <c r="E9" s="33">
        <f>'Data Entry'!D9</f>
        <v>108</v>
      </c>
      <c r="F9" s="34">
        <f>IF((AND($E$9&gt;0,$D$68&gt;0)),(($E$9/$D$68)),0)</f>
        <v>49.315068493150683</v>
      </c>
      <c r="G9" s="39">
        <f t="shared" si="7"/>
        <v>0.63850036049026671</v>
      </c>
      <c r="H9" s="40"/>
      <c r="I9" s="41"/>
      <c r="J9" s="40">
        <f>IF((ABS($U9)&gt;Defaults!D$7),1,2)</f>
        <v>1</v>
      </c>
      <c r="K9" s="39">
        <f>IF((AND(N9&gt;Defaults!B$12,(N9+O9)&gt;Defaults!B$13, P9 &gt; Defaults!B$12, (P9+Q9) &gt; Defaults!B$13)),1,20)</f>
        <v>1</v>
      </c>
      <c r="L9" s="1">
        <f t="shared" si="8"/>
        <v>1</v>
      </c>
      <c r="M9" s="1" t="b">
        <f t="shared" si="0"/>
        <v>1</v>
      </c>
      <c r="N9" s="42">
        <f t="shared" si="1"/>
        <v>108</v>
      </c>
      <c r="O9" s="42">
        <f>(D$68*L68)-E9</f>
        <v>111</v>
      </c>
      <c r="P9" s="42">
        <f t="shared" si="2"/>
        <v>95</v>
      </c>
      <c r="Q9" s="42">
        <f>(C$68*L68)-C9</f>
        <v>28</v>
      </c>
      <c r="R9" s="42">
        <f t="shared" si="3"/>
        <v>342</v>
      </c>
      <c r="S9" s="30">
        <f t="shared" si="4"/>
        <v>19345380822</v>
      </c>
      <c r="T9" s="30">
        <f t="shared" si="5"/>
        <v>760081329</v>
      </c>
      <c r="U9" s="31">
        <f t="shared" si="6"/>
        <v>25.451724814042894</v>
      </c>
    </row>
    <row r="10" spans="2:21" ht="18" customHeight="1">
      <c r="B10" s="32" t="str">
        <f>'Data Entry'!A10</f>
        <v>5. Cases Involving Secure Detention</v>
      </c>
      <c r="C10" s="33">
        <f>'Data Entry'!C10</f>
        <v>24</v>
      </c>
      <c r="D10" s="34">
        <f>IF(((AND(C68&gt;0,C10&gt;0))),(C10/(C68)),0)</f>
        <v>19.512195121951219</v>
      </c>
      <c r="E10" s="33">
        <f>'Data Entry'!D10</f>
        <v>96</v>
      </c>
      <c r="F10" s="34">
        <f>IF(((AND($E$10&gt;0,$D$68&gt;0))),($E$10/($D$68)),0)</f>
        <v>43.835616438356162</v>
      </c>
      <c r="G10" s="39">
        <f t="shared" si="7"/>
        <v>2.2465753424657535</v>
      </c>
      <c r="H10" s="40"/>
      <c r="I10" s="41"/>
      <c r="J10" s="40">
        <f>IF((ABS($U10)&gt;Defaults!D$7),1,2)</f>
        <v>1</v>
      </c>
      <c r="K10" s="39">
        <f>IF((AND(N10&gt;Defaults!B$12,(N10+O10)&gt;Defaults!B$13, P10 &gt; Defaults!B$12, (P10+Q10) &gt; Defaults!B$13)),1,20)</f>
        <v>1</v>
      </c>
      <c r="L10" s="1">
        <f t="shared" si="8"/>
        <v>1</v>
      </c>
      <c r="M10" s="1" t="b">
        <f t="shared" si="0"/>
        <v>1</v>
      </c>
      <c r="N10" s="42">
        <f t="shared" si="1"/>
        <v>96</v>
      </c>
      <c r="O10" s="42">
        <f>(D$68*L68)-E10</f>
        <v>123</v>
      </c>
      <c r="P10" s="42">
        <f t="shared" si="2"/>
        <v>24</v>
      </c>
      <c r="Q10" s="42">
        <f>(C$68*L68)-C10</f>
        <v>99</v>
      </c>
      <c r="R10" s="42">
        <f t="shared" si="3"/>
        <v>342</v>
      </c>
      <c r="S10" s="30">
        <f t="shared" si="4"/>
        <v>14681616768</v>
      </c>
      <c r="T10" s="30">
        <f t="shared" si="5"/>
        <v>717601680</v>
      </c>
      <c r="U10" s="31">
        <f t="shared" si="6"/>
        <v>20.4592842759231</v>
      </c>
    </row>
    <row r="11" spans="2:21" ht="18" customHeight="1">
      <c r="B11" s="32" t="str">
        <f>'Data Entry'!A11</f>
        <v>6. Cases Petitioned (Charge Filed)</v>
      </c>
      <c r="C11" s="33">
        <f>'Data Entry'!C11</f>
        <v>66</v>
      </c>
      <c r="D11" s="34">
        <f>IF(((AND(C68&gt;0,C11&gt;0))),(C11/(C68)),0)</f>
        <v>53.658536585365852</v>
      </c>
      <c r="E11" s="33">
        <f>'Data Entry'!D11</f>
        <v>149</v>
      </c>
      <c r="F11" s="34">
        <f>IF(((AND($E$11&gt;0,$D$68&gt;0))),($E$11/($D$68)),0)</f>
        <v>68.036529680365305</v>
      </c>
      <c r="G11" s="39">
        <f t="shared" si="7"/>
        <v>1.2679535076795352</v>
      </c>
      <c r="H11" s="40"/>
      <c r="I11" s="41"/>
      <c r="J11" s="40">
        <f>IF((ABS($U11)&gt;Defaults!D$7),1,2)</f>
        <v>1</v>
      </c>
      <c r="K11" s="39">
        <f>IF((AND(N11&gt;Defaults!B$12,(N11+O11)&gt;Defaults!B$13, P11 &gt; Defaults!B$12, (P11+Q11) &gt; Defaults!B$13)),1,20)</f>
        <v>1</v>
      </c>
      <c r="L11" s="1">
        <f t="shared" si="8"/>
        <v>1</v>
      </c>
      <c r="M11" s="1" t="b">
        <f t="shared" si="0"/>
        <v>1</v>
      </c>
      <c r="N11" s="42">
        <f t="shared" si="1"/>
        <v>149</v>
      </c>
      <c r="O11" s="42">
        <f>(D$68*L68)-E11</f>
        <v>70</v>
      </c>
      <c r="P11" s="42">
        <f t="shared" si="2"/>
        <v>66</v>
      </c>
      <c r="Q11" s="42">
        <f>(C$68*L68)-C11</f>
        <v>57</v>
      </c>
      <c r="R11" s="42">
        <f t="shared" si="3"/>
        <v>342</v>
      </c>
      <c r="S11" s="30">
        <f t="shared" si="4"/>
        <v>5130044118</v>
      </c>
      <c r="T11" s="30">
        <f t="shared" si="5"/>
        <v>735514785</v>
      </c>
      <c r="U11" s="31">
        <f t="shared" si="6"/>
        <v>6.9747668199491057</v>
      </c>
    </row>
    <row r="12" spans="2:21" ht="18" customHeight="1">
      <c r="B12" s="32" t="str">
        <f>'Data Entry'!A12</f>
        <v>7. Cases Resulting in Delinquent Findings</v>
      </c>
      <c r="C12" s="33">
        <f>'Data Entry'!C12</f>
        <v>62</v>
      </c>
      <c r="D12" s="34">
        <f>IF(((AND(C69&gt;0,C12&gt;0))),(C12/(C69)),0)</f>
        <v>93.939393939393938</v>
      </c>
      <c r="E12" s="33">
        <f>'Data Entry'!D12</f>
        <v>123</v>
      </c>
      <c r="F12" s="34">
        <f>IF(((AND($D$69&gt;0,$E$12&gt;0))),(E12/(D69)),0)</f>
        <v>82.550335570469798</v>
      </c>
      <c r="G12" s="39">
        <f t="shared" si="7"/>
        <v>0.8787616367179043</v>
      </c>
      <c r="H12" s="40"/>
      <c r="I12" s="41"/>
      <c r="J12" s="40">
        <f>IF((ABS($U12)&gt;Defaults!D$7),1,2)</f>
        <v>1</v>
      </c>
      <c r="K12" s="39">
        <f>IF((AND(N12&gt;Defaults!B$12,(N12+O12)&gt;Defaults!B$13, P12 &gt; Defaults!B$12, (P12+Q12) &gt; Defaults!B$13)),1,20)</f>
        <v>1</v>
      </c>
      <c r="L12" s="1">
        <f t="shared" si="8"/>
        <v>1</v>
      </c>
      <c r="M12" s="1" t="b">
        <f t="shared" si="0"/>
        <v>1</v>
      </c>
      <c r="N12" s="42">
        <f t="shared" si="1"/>
        <v>123</v>
      </c>
      <c r="O12" s="42">
        <f>(D69*L69)-E12</f>
        <v>26</v>
      </c>
      <c r="P12" s="42">
        <f t="shared" si="2"/>
        <v>62</v>
      </c>
      <c r="Q12" s="42">
        <f>(C69*L69)-C12</f>
        <v>4</v>
      </c>
      <c r="R12" s="42">
        <f t="shared" si="3"/>
        <v>215</v>
      </c>
      <c r="S12" s="30">
        <f t="shared" si="4"/>
        <v>269696000</v>
      </c>
      <c r="T12" s="30">
        <f t="shared" si="5"/>
        <v>54578700</v>
      </c>
      <c r="U12" s="31">
        <f t="shared" si="6"/>
        <v>4.9414148743007802</v>
      </c>
    </row>
    <row r="13" spans="2:21" ht="18" customHeight="1">
      <c r="B13" s="32" t="str">
        <f>'Data Entry'!A13</f>
        <v>8. Cases Resulting in Probation Placement</v>
      </c>
      <c r="C13" s="33">
        <f>'Data Entry'!C13</f>
        <v>61</v>
      </c>
      <c r="D13" s="34">
        <f>IF(((AND(C70&gt;0,C13&gt;0))),(C13/(C70)),0)</f>
        <v>98.387096774193552</v>
      </c>
      <c r="E13" s="33">
        <f>'Data Entry'!D13</f>
        <v>125</v>
      </c>
      <c r="F13" s="34">
        <f>IF(((AND($D$70&gt;0,$E$13&gt;0))),($E$13/($D$70)),0)</f>
        <v>101.6260162601626</v>
      </c>
      <c r="G13" s="39">
        <f t="shared" si="7"/>
        <v>1.0329201652672264</v>
      </c>
      <c r="H13" s="40"/>
      <c r="I13" s="41"/>
      <c r="J13" s="40">
        <f>IF((ABS($U13)&gt;Defaults!D$7),1,2)</f>
        <v>1</v>
      </c>
      <c r="K13" s="39">
        <f>IF((AND(N13&gt;Defaults!B$12,(N13+O13)&gt;Defaults!B$13, P13 &gt; Defaults!B$12, (P13+Q13) &gt; Defaults!B$13)),1,20)</f>
        <v>1</v>
      </c>
      <c r="L13" s="1">
        <f t="shared" si="8"/>
        <v>1</v>
      </c>
      <c r="M13" s="1" t="b">
        <f t="shared" si="0"/>
        <v>1</v>
      </c>
      <c r="N13" s="42">
        <f t="shared" si="1"/>
        <v>125</v>
      </c>
      <c r="O13" s="42">
        <f>(D70*L70)-E13</f>
        <v>-2</v>
      </c>
      <c r="P13" s="42">
        <f t="shared" si="2"/>
        <v>61</v>
      </c>
      <c r="Q13" s="42">
        <f>(C70*L70)-C13</f>
        <v>1</v>
      </c>
      <c r="R13" s="42">
        <f t="shared" si="3"/>
        <v>185</v>
      </c>
      <c r="S13" s="30">
        <f t="shared" si="4"/>
        <v>11286665</v>
      </c>
      <c r="T13" s="30">
        <f t="shared" si="5"/>
        <v>-1418436</v>
      </c>
      <c r="U13" s="31">
        <f t="shared" si="6"/>
        <v>-7.9571196726535423</v>
      </c>
    </row>
    <row r="14" spans="2:21" ht="30.75" customHeight="1">
      <c r="B14" s="32" t="str">
        <f>'Data Entry'!A14</f>
        <v xml:space="preserve">9. Cases Resulting in Confinement in Secure Juvenile Correctional Facilities </v>
      </c>
      <c r="C14" s="33">
        <f>'Data Entry'!C14</f>
        <v>2</v>
      </c>
      <c r="D14" s="34">
        <f>IF(((AND(C70&gt;0,C14&gt;0))), ((C14/(C70))),0)</f>
        <v>3.2258064516129035</v>
      </c>
      <c r="E14" s="33">
        <f>'Data Entry'!D14</f>
        <v>9</v>
      </c>
      <c r="F14" s="34">
        <f>IF(((AND($D$70&gt;0,$E$14&gt;0))), (($E$14/($D$70))),0)</f>
        <v>7.3170731707317076</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9</v>
      </c>
      <c r="O14" s="42">
        <f>(D70*L70)-E14</f>
        <v>114</v>
      </c>
      <c r="P14" s="42">
        <f t="shared" si="2"/>
        <v>2</v>
      </c>
      <c r="Q14" s="42">
        <f>(C70*L70)-C14</f>
        <v>60</v>
      </c>
      <c r="R14" s="42">
        <f t="shared" si="3"/>
        <v>185</v>
      </c>
      <c r="S14" s="30">
        <f t="shared" si="4"/>
        <v>18008640</v>
      </c>
      <c r="T14" s="30">
        <f t="shared" si="5"/>
        <v>14596164</v>
      </c>
      <c r="U14" s="31">
        <f t="shared" si="6"/>
        <v>1.2337926594960156</v>
      </c>
    </row>
    <row r="15" spans="2:21" ht="15.75" customHeight="1">
      <c r="B15" s="32" t="str">
        <f>'Data Entry'!A15</f>
        <v xml:space="preserve">10. Cases Transferred to Adult Court </v>
      </c>
      <c r="C15" s="33">
        <f>'Data Entry'!C15</f>
        <v>1</v>
      </c>
      <c r="D15" s="34">
        <f>IF(((AND(C69&gt;0,C15&gt;0))),((C15/(C69))),0)</f>
        <v>1.5151515151515151</v>
      </c>
      <c r="E15" s="33">
        <f>'Data Entry'!D15</f>
        <v>2</v>
      </c>
      <c r="F15" s="34">
        <f>IF(((AND($D$69&gt;0,$E$15&gt;0))),(($E$15/($D$69))),0)</f>
        <v>1.3422818791946309</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2</v>
      </c>
      <c r="O15" s="42">
        <f>(D69*L69)-E15</f>
        <v>147</v>
      </c>
      <c r="P15" s="42">
        <f t="shared" si="2"/>
        <v>1</v>
      </c>
      <c r="Q15" s="42">
        <f>(C69*L69)-C15</f>
        <v>65</v>
      </c>
      <c r="R15" s="42">
        <f t="shared" si="3"/>
        <v>215</v>
      </c>
      <c r="S15" s="30">
        <f t="shared" si="4"/>
        <v>62135</v>
      </c>
      <c r="T15" s="30">
        <f t="shared" si="5"/>
        <v>6254424</v>
      </c>
      <c r="U15" s="31">
        <f t="shared" si="6"/>
        <v>9.9345679154467306E-3</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14.807</v>
      </c>
      <c r="D42" s="56">
        <f>E6/1000</f>
        <v>4.8869999999999996</v>
      </c>
      <c r="E42" s="56">
        <f>MAX(C42:D42)</f>
        <v>14.807</v>
      </c>
      <c r="G42" s="1" t="str">
        <f>B42</f>
        <v>per 1000 youth</v>
      </c>
      <c r="L42" s="57">
        <v>1000</v>
      </c>
      <c r="M42" s="57"/>
      <c r="R42" s="49"/>
    </row>
    <row r="43" spans="2:18" ht="15" hidden="1" customHeight="1">
      <c r="B43" s="49" t="s">
        <v>87</v>
      </c>
      <c r="C43" s="56">
        <f>C7/100</f>
        <v>0.38</v>
      </c>
      <c r="D43" s="56">
        <f>E7/100</f>
        <v>0.77</v>
      </c>
      <c r="E43" s="56">
        <f>MAX(C43:D43,0)</f>
        <v>0.77</v>
      </c>
      <c r="G43" s="1" t="str">
        <f>B43</f>
        <v>per 100 arrests</v>
      </c>
      <c r="L43" s="57">
        <v>100</v>
      </c>
      <c r="M43" s="57"/>
      <c r="R43" s="49"/>
    </row>
    <row r="44" spans="2:18" ht="15" hidden="1" customHeight="1">
      <c r="B44" s="49" t="s">
        <v>88</v>
      </c>
      <c r="C44" s="56">
        <f>C8/100</f>
        <v>1.23</v>
      </c>
      <c r="D44" s="56">
        <f>E8/100</f>
        <v>2.19</v>
      </c>
      <c r="E44" s="56">
        <f>MAX(C44:D44,0)</f>
        <v>2.19</v>
      </c>
      <c r="G44" s="1" t="str">
        <f>B44</f>
        <v>per 100 referrals</v>
      </c>
      <c r="L44" s="57">
        <v>100</v>
      </c>
      <c r="M44" s="57"/>
      <c r="R44" s="49"/>
    </row>
    <row r="45" spans="2:18" ht="15" hidden="1" customHeight="1">
      <c r="B45" s="49" t="s">
        <v>89</v>
      </c>
      <c r="C45" s="49">
        <f>C11/100</f>
        <v>0.66</v>
      </c>
      <c r="D45" s="49">
        <f>E11/100</f>
        <v>1.49</v>
      </c>
      <c r="E45" s="56">
        <f>MAX(C45:D45,0)</f>
        <v>1.49</v>
      </c>
      <c r="G45" s="1" t="str">
        <f>B45</f>
        <v>per 100 youth petitioned</v>
      </c>
      <c r="L45" s="57">
        <v>100</v>
      </c>
      <c r="M45" s="57"/>
      <c r="R45" s="49"/>
    </row>
    <row r="46" spans="2:18" ht="15" hidden="1" customHeight="1">
      <c r="B46" s="49" t="s">
        <v>90</v>
      </c>
      <c r="C46" s="49">
        <f>C12/100</f>
        <v>0.62</v>
      </c>
      <c r="D46" s="49">
        <f>E12/100</f>
        <v>1.23</v>
      </c>
      <c r="E46" s="56">
        <f>MAX(C46:D46)</f>
        <v>1.23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14.807</v>
      </c>
      <c r="D48" s="56">
        <f>D42</f>
        <v>4.8869999999999996</v>
      </c>
      <c r="E48" s="56">
        <f>MAX(C48:D48)</f>
        <v>14.807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0.38</v>
      </c>
      <c r="D49" s="49">
        <f t="shared" si="9"/>
        <v>0.77</v>
      </c>
      <c r="E49" s="49">
        <f>MAX(C49:D49)</f>
        <v>0.77</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2.19</v>
      </c>
      <c r="E50" s="49">
        <f>MAX(C50:D50)</f>
        <v>2.19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0.66</v>
      </c>
      <c r="D51" s="49">
        <f>IF(($E45&gt;0),D45,D44)</f>
        <v>1.49</v>
      </c>
      <c r="E51" s="49">
        <f>MAX(C51:D51)</f>
        <v>1.49</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1.23</v>
      </c>
      <c r="E52" s="56">
        <f>MAX(C52:D52)</f>
        <v>1.23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14.807</v>
      </c>
      <c r="D54" s="56">
        <f>D48</f>
        <v>4.8869999999999996</v>
      </c>
      <c r="E54" s="56">
        <f>MAX(C54:D54)</f>
        <v>14.807</v>
      </c>
      <c r="G54" s="1" t="str">
        <f>G48</f>
        <v>per 1000 youth</v>
      </c>
      <c r="L54" s="58">
        <f>L48</f>
        <v>1000</v>
      </c>
      <c r="M54" s="58"/>
    </row>
    <row r="55" spans="2:18" ht="15" hidden="1" customHeight="1">
      <c r="B55" s="49" t="str">
        <f t="shared" ref="B55:D56" si="10">IF(($E49&gt;0),B49,B48)</f>
        <v>per 100 arrests</v>
      </c>
      <c r="C55" s="49">
        <f t="shared" si="10"/>
        <v>0.38</v>
      </c>
      <c r="D55" s="49">
        <f t="shared" si="10"/>
        <v>0.77</v>
      </c>
      <c r="E55" s="49">
        <f>MAX(C55:D55)</f>
        <v>0.77</v>
      </c>
      <c r="G55" s="1" t="str">
        <f>G49</f>
        <v>per 100 arrests</v>
      </c>
      <c r="L55" s="58">
        <f>IF(($E49&gt;0),L49,L48)</f>
        <v>100</v>
      </c>
      <c r="M55" s="58"/>
    </row>
    <row r="56" spans="2:18" ht="15" hidden="1" customHeight="1">
      <c r="B56" s="49" t="str">
        <f t="shared" si="10"/>
        <v>per 100 referrals</v>
      </c>
      <c r="C56" s="49">
        <f t="shared" si="10"/>
        <v>1.23</v>
      </c>
      <c r="D56" s="49">
        <f t="shared" si="10"/>
        <v>2.19</v>
      </c>
      <c r="E56" s="49">
        <f>MAX(C56:D56)</f>
        <v>2.19</v>
      </c>
      <c r="G56" s="1" t="str">
        <f>G50</f>
        <v>per 100 referrals</v>
      </c>
      <c r="L56" s="58">
        <f>IF(($E50&gt;0),L50,L49)</f>
        <v>100</v>
      </c>
      <c r="M56" s="58"/>
    </row>
    <row r="57" spans="2:18" ht="15" hidden="1" customHeight="1">
      <c r="B57" s="49" t="str">
        <f>IF(($E51&gt;0),B51,B49)</f>
        <v>per 100 youth petitioned</v>
      </c>
      <c r="C57" s="49">
        <f>IF(($E51&gt;0),C51,C50)</f>
        <v>0.66</v>
      </c>
      <c r="D57" s="49">
        <f>IF(($E51&gt;0),D51,D50)</f>
        <v>1.49</v>
      </c>
      <c r="E57" s="49">
        <f>MAX(C57:D57)</f>
        <v>1.49</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1.23</v>
      </c>
      <c r="E58" s="56">
        <f>MAX(C58:D58)</f>
        <v>1.23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14.807</v>
      </c>
      <c r="D60" s="56">
        <f>D54</f>
        <v>4.8869999999999996</v>
      </c>
      <c r="E60" s="56">
        <f>MAX(C60:D60)</f>
        <v>14.807</v>
      </c>
      <c r="G60" s="1" t="str">
        <f>G54</f>
        <v>per 1000 youth</v>
      </c>
      <c r="L60" s="58">
        <f>L54</f>
        <v>1000</v>
      </c>
      <c r="M60" s="58"/>
    </row>
    <row r="61" spans="2:18" ht="15" hidden="1" customHeight="1">
      <c r="B61" s="49" t="str">
        <f t="shared" ref="B61:D62" si="11">IF(($E55&gt;0),B55,B54)</f>
        <v>per 100 arrests</v>
      </c>
      <c r="C61" s="49">
        <f t="shared" si="11"/>
        <v>0.38</v>
      </c>
      <c r="D61" s="49">
        <f t="shared" si="11"/>
        <v>0.77</v>
      </c>
      <c r="E61" s="49">
        <f>MAX(C61:D61)</f>
        <v>0.77</v>
      </c>
      <c r="G61" s="1" t="str">
        <f>G55</f>
        <v>per 100 arrests</v>
      </c>
      <c r="L61" s="58">
        <f>IF(($E55&gt;0),L55,L54)</f>
        <v>100</v>
      </c>
      <c r="M61" s="58"/>
    </row>
    <row r="62" spans="2:18" ht="15" hidden="1" customHeight="1">
      <c r="B62" s="49" t="str">
        <f t="shared" si="11"/>
        <v>per 100 referrals</v>
      </c>
      <c r="C62" s="49">
        <f t="shared" si="11"/>
        <v>1.23</v>
      </c>
      <c r="D62" s="49">
        <f t="shared" si="11"/>
        <v>2.19</v>
      </c>
      <c r="E62" s="49">
        <f>MAX(C62:D62)</f>
        <v>2.19</v>
      </c>
      <c r="G62" s="1" t="str">
        <f>G56</f>
        <v>per 100 referrals</v>
      </c>
      <c r="L62" s="58">
        <f>IF(($E56&gt;0),L56,L55)</f>
        <v>100</v>
      </c>
      <c r="M62" s="58"/>
    </row>
    <row r="63" spans="2:18" ht="15" hidden="1" customHeight="1">
      <c r="B63" s="49" t="str">
        <f>IF(($E57&gt;0),B57,B55)</f>
        <v>per 100 youth petitioned</v>
      </c>
      <c r="C63" s="49">
        <f>IF(($E57&gt;0),C57,C56)</f>
        <v>0.66</v>
      </c>
      <c r="D63" s="49">
        <f>IF(($E57&gt;0),D57,D56)</f>
        <v>1.49</v>
      </c>
      <c r="E63" s="49">
        <f>MAX(C63:D63)</f>
        <v>1.49</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1.23</v>
      </c>
      <c r="E64" s="56">
        <f>MAX(C64:D64)</f>
        <v>1.23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14.807</v>
      </c>
      <c r="D66" s="56">
        <f>D60</f>
        <v>4.8869999999999996</v>
      </c>
      <c r="E66" s="56">
        <f>MAX(C66:D66)</f>
        <v>14.807</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0.77</v>
      </c>
      <c r="E67" s="49">
        <f>MAX(C67:D67)</f>
        <v>0.77</v>
      </c>
      <c r="G67" s="1" t="str">
        <f>G61</f>
        <v>per 100 arrests</v>
      </c>
      <c r="L67" s="58">
        <f>IF(($E61&gt;0),L61,L60)</f>
        <v>100</v>
      </c>
      <c r="M67" s="58">
        <f>IF((B67=G67),1,2)</f>
        <v>1</v>
      </c>
    </row>
    <row r="68" spans="2:13" ht="15" hidden="1" customHeight="1">
      <c r="B68" s="49" t="str">
        <f t="shared" si="12"/>
        <v>per 100 referrals</v>
      </c>
      <c r="C68" s="49">
        <f t="shared" si="12"/>
        <v>1.23</v>
      </c>
      <c r="D68" s="49">
        <f t="shared" si="12"/>
        <v>2.19</v>
      </c>
      <c r="E68" s="49">
        <f>MAX(C68:D68)</f>
        <v>2.19</v>
      </c>
      <c r="G68" s="1" t="str">
        <f>G62</f>
        <v>per 100 referrals</v>
      </c>
      <c r="L68" s="58">
        <f>IF(($E62&gt;0),L62,L61)</f>
        <v>100</v>
      </c>
      <c r="M68" s="58">
        <f>IF((B68=G68),1,2)</f>
        <v>1</v>
      </c>
    </row>
    <row r="69" spans="2:13" ht="15" hidden="1" customHeight="1">
      <c r="B69" s="49" t="str">
        <f>IF(($E63&gt;0),B63,B61)</f>
        <v>per 100 youth petitioned</v>
      </c>
      <c r="C69" s="49">
        <f>IF(($E63&gt;0),C63,C62)</f>
        <v>0.66</v>
      </c>
      <c r="D69" s="49">
        <f>IF(($E63&gt;0),D63,D62)</f>
        <v>1.49</v>
      </c>
      <c r="E69" s="49">
        <f>MAX(C69:D69)</f>
        <v>1.49</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1.23</v>
      </c>
      <c r="E70" s="56">
        <f>MAX(C70:D70)</f>
        <v>1.23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14807</v>
      </c>
      <c r="D6" s="34"/>
      <c r="E6" s="33">
        <f>'Data Entry'!F6</f>
        <v>1620</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2.5663537516039709</v>
      </c>
      <c r="E7" s="33">
        <f>'Data Entry'!F7</f>
        <v>1</v>
      </c>
      <c r="F7" s="34">
        <f>IF((AND($E$7&gt;0,$D$66&gt;0)),($E$7/$D$66),0)</f>
        <v>0.61728395061728392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1619</v>
      </c>
      <c r="P7" s="42">
        <f t="shared" ref="P7:P15" si="4">C7</f>
        <v>38</v>
      </c>
      <c r="Q7" s="42">
        <f>C6-C7</f>
        <v>14769</v>
      </c>
      <c r="R7" s="42">
        <f t="shared" ref="R7:R15" si="5">SUM(N7:Q7)</f>
        <v>16427</v>
      </c>
      <c r="S7" s="30">
        <f t="shared" ref="S7:S15" si="6">R7*((((N7*Q7)-(O7*P7))^2))</f>
        <v>35906843108843</v>
      </c>
      <c r="T7" s="30">
        <f t="shared" ref="T7:T15" si="7">(N7+O7)*(P7+Q7)*(N7+P7)*(O7+Q7)</f>
        <v>15331076588880</v>
      </c>
      <c r="U7" s="31">
        <f t="shared" ref="U7:U15" si="8">IF((S7&gt;0),S7/T7,"- -")</f>
        <v>2.3420953447513986</v>
      </c>
    </row>
    <row r="8" spans="2:21" ht="18" customHeight="1">
      <c r="B8" s="32" t="str">
        <f>'Data Entry'!A8</f>
        <v>3. Refer to Juvenile Court</v>
      </c>
      <c r="C8" s="33">
        <f>'Data Entry'!C8</f>
        <v>123</v>
      </c>
      <c r="D8" s="34">
        <f>IF((AND(C67&gt;0,C8&gt;0)),(C8/C67),0)</f>
        <v>323.68421052631578</v>
      </c>
      <c r="E8" s="33">
        <f>'Data Entry'!F8</f>
        <v>3</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-1.95</v>
      </c>
      <c r="P8" s="42">
        <f t="shared" si="4"/>
        <v>123</v>
      </c>
      <c r="Q8" s="42">
        <f>(C$67*L67)-C8</f>
        <v>-85</v>
      </c>
      <c r="R8" s="42">
        <f t="shared" si="5"/>
        <v>39.049999999999997</v>
      </c>
      <c r="S8" s="30">
        <f t="shared" si="6"/>
        <v>8962.853625000007</v>
      </c>
      <c r="T8" s="30">
        <f t="shared" si="7"/>
        <v>-437132.43</v>
      </c>
      <c r="U8" s="31">
        <f t="shared" si="8"/>
        <v>-2.0503749001189429E-2</v>
      </c>
    </row>
    <row r="9" spans="2:21" ht="18" customHeight="1">
      <c r="B9" s="32" t="str">
        <f>'Data Entry'!A9</f>
        <v xml:space="preserve">4. Cases Diverted </v>
      </c>
      <c r="C9" s="33">
        <f>'Data Entry'!C9</f>
        <v>95</v>
      </c>
      <c r="D9" s="34">
        <f>IF((AND(C68&gt;0,C9&gt;0)),((C9/C68)),0)</f>
        <v>77.235772357723576</v>
      </c>
      <c r="E9" s="33">
        <f>'Data Entry'!F9</f>
        <v>2</v>
      </c>
      <c r="F9" s="34">
        <f>IF((AND($E$9&gt;0,$D$68&gt;0)),(($E$9/$D$68)),0)</f>
        <v>66.666666666666671</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v>
      </c>
      <c r="O9" s="42">
        <f>(D$68*L68)-E9</f>
        <v>1</v>
      </c>
      <c r="P9" s="42">
        <f t="shared" si="4"/>
        <v>95</v>
      </c>
      <c r="Q9" s="42">
        <f>(C$68*L68)-C9</f>
        <v>28</v>
      </c>
      <c r="R9" s="42">
        <f t="shared" si="5"/>
        <v>126</v>
      </c>
      <c r="S9" s="30">
        <f t="shared" si="6"/>
        <v>191646</v>
      </c>
      <c r="T9" s="30">
        <f t="shared" si="7"/>
        <v>1037997</v>
      </c>
      <c r="U9" s="31">
        <f t="shared" si="8"/>
        <v>0.18463059141789426</v>
      </c>
    </row>
    <row r="10" spans="2:21" ht="18" customHeight="1">
      <c r="B10" s="32" t="str">
        <f>'Data Entry'!A10</f>
        <v>5. Cases Involving Secure Detention</v>
      </c>
      <c r="C10" s="33">
        <f>'Data Entry'!C10</f>
        <v>24</v>
      </c>
      <c r="D10" s="34">
        <f>IF(((AND(C68&gt;0,C10&gt;0))),(C10/(C68)),0)</f>
        <v>19.512195121951219</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24</v>
      </c>
      <c r="Q10" s="42">
        <f>(C$68*L68)-C10</f>
        <v>99</v>
      </c>
      <c r="R10" s="42">
        <f t="shared" si="5"/>
        <v>126</v>
      </c>
      <c r="S10" s="30">
        <f t="shared" si="6"/>
        <v>653184</v>
      </c>
      <c r="T10" s="30">
        <f t="shared" si="7"/>
        <v>903312</v>
      </c>
      <c r="U10" s="31">
        <f t="shared" si="8"/>
        <v>0.72309899569583935</v>
      </c>
    </row>
    <row r="11" spans="2:21" ht="18" customHeight="1">
      <c r="B11" s="32" t="str">
        <f>'Data Entry'!A11</f>
        <v>6. Cases Petitioned (Charge Filed)</v>
      </c>
      <c r="C11" s="33">
        <f>'Data Entry'!C11</f>
        <v>66</v>
      </c>
      <c r="D11" s="34">
        <f>IF(((AND(C68&gt;0,C11&gt;0))),(C11/(C68)),0)</f>
        <v>53.658536585365852</v>
      </c>
      <c r="E11" s="33">
        <f>'Data Entry'!F11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66</v>
      </c>
      <c r="Q11" s="42">
        <f>(C$68*L68)-C11</f>
        <v>57</v>
      </c>
      <c r="R11" s="42">
        <f t="shared" si="5"/>
        <v>126</v>
      </c>
      <c r="S11" s="30">
        <f t="shared" si="6"/>
        <v>290304</v>
      </c>
      <c r="T11" s="30">
        <f t="shared" si="7"/>
        <v>1455336</v>
      </c>
      <c r="U11" s="31">
        <f t="shared" si="8"/>
        <v>0.19947558501954188</v>
      </c>
    </row>
    <row r="12" spans="2:21" ht="18" customHeight="1">
      <c r="B12" s="32" t="str">
        <f>'Data Entry'!A12</f>
        <v>7. Cases Resulting in Delinquent Findings</v>
      </c>
      <c r="C12" s="33">
        <f>'Data Entry'!C12</f>
        <v>62</v>
      </c>
      <c r="D12" s="34">
        <f>IF(((AND(C69&gt;0,C12&gt;0))),(C12/(C69)),0)</f>
        <v>93.939393939393938</v>
      </c>
      <c r="E12" s="33">
        <f>'Data Entry'!F12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62</v>
      </c>
      <c r="Q12" s="42">
        <f>(C69*L69)-C12</f>
        <v>4</v>
      </c>
      <c r="R12" s="42">
        <f t="shared" si="5"/>
        <v>68</v>
      </c>
      <c r="S12" s="30">
        <f t="shared" si="6"/>
        <v>4352</v>
      </c>
      <c r="T12" s="30">
        <f t="shared" si="7"/>
        <v>33792</v>
      </c>
      <c r="U12" s="31">
        <f t="shared" si="8"/>
        <v>0.12878787878787878</v>
      </c>
    </row>
    <row r="13" spans="2:21" ht="18" customHeight="1">
      <c r="B13" s="32" t="str">
        <f>'Data Entry'!A13</f>
        <v>8. Cases Resulting in Probation Placement</v>
      </c>
      <c r="C13" s="33">
        <f>'Data Entry'!C13</f>
        <v>61</v>
      </c>
      <c r="D13" s="34">
        <f>IF(((AND(C70&gt;0,C13&gt;0))),(C13/(C70)),0)</f>
        <v>98.387096774193552</v>
      </c>
      <c r="E13" s="33">
        <f>'Data Entry'!F13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61</v>
      </c>
      <c r="Q13" s="42">
        <f>(C70*L70)-C13</f>
        <v>1</v>
      </c>
      <c r="R13" s="42">
        <f t="shared" si="5"/>
        <v>64</v>
      </c>
      <c r="S13" s="30">
        <f t="shared" si="6"/>
        <v>256</v>
      </c>
      <c r="T13" s="30">
        <f t="shared" si="7"/>
        <v>7812</v>
      </c>
      <c r="U13" s="31">
        <f t="shared" si="8"/>
        <v>3.2770097286226318E-2</v>
      </c>
    </row>
    <row r="14" spans="2:21" ht="30.75" customHeight="1">
      <c r="B14" s="32" t="str">
        <f>'Data Entry'!A14</f>
        <v xml:space="preserve">9. Cases Resulting in Confinement in Secure Juvenile Correctional Facilities </v>
      </c>
      <c r="C14" s="33">
        <f>'Data Entry'!C14</f>
        <v>2</v>
      </c>
      <c r="D14" s="34">
        <f>IF(((AND(C70&gt;0,C14&gt;0))), ((C14/(C70))),0)</f>
        <v>3.2258064516129035</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2</v>
      </c>
      <c r="Q14" s="42">
        <f>(C70*L70)-C14</f>
        <v>60</v>
      </c>
      <c r="R14" s="42">
        <f t="shared" si="5"/>
        <v>64</v>
      </c>
      <c r="S14" s="30">
        <f t="shared" si="6"/>
        <v>1024</v>
      </c>
      <c r="T14" s="30">
        <f t="shared" si="7"/>
        <v>15376</v>
      </c>
      <c r="U14" s="31">
        <f t="shared" si="8"/>
        <v>6.6597294484911557E-2</v>
      </c>
    </row>
    <row r="15" spans="2:21" ht="15.75" customHeight="1">
      <c r="B15" s="32" t="str">
        <f>'Data Entry'!A15</f>
        <v xml:space="preserve">10. Cases Transferred to Adult Court </v>
      </c>
      <c r="C15" s="33">
        <f>'Data Entry'!C15</f>
        <v>1</v>
      </c>
      <c r="D15" s="34">
        <f>IF(((AND(C69&gt;0,C15&gt;0))),((C15/(C69))),0)</f>
        <v>1.5151515151515151</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2</v>
      </c>
      <c r="P15" s="42">
        <f t="shared" si="4"/>
        <v>1</v>
      </c>
      <c r="Q15" s="42">
        <f>(C69*L69)-C15</f>
        <v>65</v>
      </c>
      <c r="R15" s="42">
        <f t="shared" si="5"/>
        <v>68</v>
      </c>
      <c r="S15" s="30">
        <f t="shared" si="6"/>
        <v>272</v>
      </c>
      <c r="T15" s="30">
        <f t="shared" si="7"/>
        <v>8844</v>
      </c>
      <c r="U15" s="31">
        <f t="shared" si="8"/>
        <v>3.0755314337403888E-2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14.807</v>
      </c>
      <c r="D42" s="56">
        <f>E6/1000</f>
        <v>1.62</v>
      </c>
      <c r="E42" s="56">
        <f>MAX(C42:D42)</f>
        <v>14.807</v>
      </c>
      <c r="G42" s="1" t="str">
        <f>B42</f>
        <v>per 1000 youth</v>
      </c>
      <c r="L42" s="57">
        <v>1000</v>
      </c>
      <c r="M42" s="57"/>
      <c r="R42" s="49"/>
    </row>
    <row r="43" spans="2:18" ht="15" hidden="1" customHeight="1">
      <c r="B43" s="49" t="s">
        <v>87</v>
      </c>
      <c r="C43" s="56">
        <f>C7/100</f>
        <v>0.38</v>
      </c>
      <c r="D43" s="56">
        <f>E7/100</f>
        <v>0.01</v>
      </c>
      <c r="E43" s="56">
        <f>MAX(C43:D43,0)</f>
        <v>0.38</v>
      </c>
      <c r="G43" s="1" t="str">
        <f>B43</f>
        <v>per 100 arrests</v>
      </c>
      <c r="L43" s="57">
        <v>100</v>
      </c>
      <c r="M43" s="57"/>
      <c r="R43" s="49"/>
    </row>
    <row r="44" spans="2:18" ht="15" hidden="1" customHeight="1">
      <c r="B44" s="49" t="s">
        <v>88</v>
      </c>
      <c r="C44" s="56">
        <f>C8/100</f>
        <v>1.23</v>
      </c>
      <c r="D44" s="56">
        <f>E8/100</f>
        <v>0.03</v>
      </c>
      <c r="E44" s="56">
        <f>MAX(C44:D44,0)</f>
        <v>1.23</v>
      </c>
      <c r="G44" s="1" t="str">
        <f>B44</f>
        <v>per 100 referrals</v>
      </c>
      <c r="L44" s="57">
        <v>100</v>
      </c>
      <c r="M44" s="57"/>
      <c r="R44" s="49"/>
    </row>
    <row r="45" spans="2:18" ht="15" hidden="1" customHeight="1">
      <c r="B45" s="49" t="s">
        <v>89</v>
      </c>
      <c r="C45" s="49">
        <f>C11/100</f>
        <v>0.66</v>
      </c>
      <c r="D45" s="49">
        <f>E11/100</f>
        <v>0.02</v>
      </c>
      <c r="E45" s="56">
        <f>MAX(C45:D45,0)</f>
        <v>0.66</v>
      </c>
      <c r="G45" s="1" t="str">
        <f>B45</f>
        <v>per 100 youth petitioned</v>
      </c>
      <c r="L45" s="57">
        <v>100</v>
      </c>
      <c r="M45" s="57"/>
      <c r="R45" s="49"/>
    </row>
    <row r="46" spans="2:18" ht="15" hidden="1" customHeight="1">
      <c r="B46" s="49" t="s">
        <v>90</v>
      </c>
      <c r="C46" s="49">
        <f>C12/100</f>
        <v>0.62</v>
      </c>
      <c r="D46" s="49">
        <f>E12/100</f>
        <v>0.02</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14.807</v>
      </c>
      <c r="D48" s="56">
        <f>D42</f>
        <v>1.62</v>
      </c>
      <c r="E48" s="56">
        <f>MAX(C48:D48)</f>
        <v>14.807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0.01</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0.03</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0.66</v>
      </c>
      <c r="D51" s="49">
        <f>IF(($E45&gt;0),D45,D44)</f>
        <v>0.02</v>
      </c>
      <c r="E51" s="49">
        <f>MAX(C51:D51)</f>
        <v>0.66</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0.02</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14.807</v>
      </c>
      <c r="D54" s="56">
        <f>D48</f>
        <v>1.62</v>
      </c>
      <c r="E54" s="56">
        <f>MAX(C54:D54)</f>
        <v>14.807</v>
      </c>
      <c r="G54" s="1" t="str">
        <f>G48</f>
        <v>per 1000 youth</v>
      </c>
      <c r="L54" s="58">
        <f>L48</f>
        <v>1000</v>
      </c>
      <c r="M54" s="58"/>
    </row>
    <row r="55" spans="2:18" ht="15" hidden="1" customHeight="1">
      <c r="B55" s="49" t="str">
        <f t="shared" ref="B55:D56" si="10">IF(($E49&gt;0),B49,B48)</f>
        <v>per 100 arrests</v>
      </c>
      <c r="C55" s="49">
        <f t="shared" si="10"/>
        <v>0.38</v>
      </c>
      <c r="D55" s="49">
        <f t="shared" si="10"/>
        <v>0.01</v>
      </c>
      <c r="E55" s="49">
        <f>MAX(C55:D55)</f>
        <v>0.38</v>
      </c>
      <c r="G55" s="1" t="str">
        <f>G49</f>
        <v>per 100 arrests</v>
      </c>
      <c r="L55" s="58">
        <f>IF(($E49&gt;0),L49,L48)</f>
        <v>100</v>
      </c>
      <c r="M55" s="58"/>
    </row>
    <row r="56" spans="2:18" ht="15" hidden="1" customHeight="1">
      <c r="B56" s="49" t="str">
        <f t="shared" si="10"/>
        <v>per 100 referrals</v>
      </c>
      <c r="C56" s="49">
        <f t="shared" si="10"/>
        <v>1.23</v>
      </c>
      <c r="D56" s="49">
        <f t="shared" si="10"/>
        <v>0.03</v>
      </c>
      <c r="E56" s="49">
        <f>MAX(C56:D56)</f>
        <v>1.23</v>
      </c>
      <c r="G56" s="1" t="str">
        <f>G50</f>
        <v>per 100 referrals</v>
      </c>
      <c r="L56" s="58">
        <f>IF(($E50&gt;0),L50,L49)</f>
        <v>100</v>
      </c>
      <c r="M56" s="58"/>
    </row>
    <row r="57" spans="2:18" ht="15" hidden="1" customHeight="1">
      <c r="B57" s="49" t="str">
        <f>IF(($E51&gt;0),B51,B49)</f>
        <v>per 100 youth petitioned</v>
      </c>
      <c r="C57" s="49">
        <f>IF(($E51&gt;0),C51,C50)</f>
        <v>0.66</v>
      </c>
      <c r="D57" s="49">
        <f>IF(($E51&gt;0),D51,D50)</f>
        <v>0.02</v>
      </c>
      <c r="E57" s="49">
        <f>MAX(C57:D57)</f>
        <v>0.66</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0.02</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14.807</v>
      </c>
      <c r="D60" s="56">
        <f>D54</f>
        <v>1.62</v>
      </c>
      <c r="E60" s="56">
        <f>MAX(C60:D60)</f>
        <v>14.807</v>
      </c>
      <c r="G60" s="1" t="str">
        <f>G54</f>
        <v>per 1000 youth</v>
      </c>
      <c r="L60" s="58">
        <f>L54</f>
        <v>1000</v>
      </c>
      <c r="M60" s="58"/>
    </row>
    <row r="61" spans="2:18" ht="15" hidden="1" customHeight="1">
      <c r="B61" s="49" t="str">
        <f t="shared" ref="B61:D62" si="11">IF(($E55&gt;0),B55,B54)</f>
        <v>per 100 arrests</v>
      </c>
      <c r="C61" s="49">
        <f t="shared" si="11"/>
        <v>0.38</v>
      </c>
      <c r="D61" s="49">
        <f t="shared" si="11"/>
        <v>0.01</v>
      </c>
      <c r="E61" s="49">
        <f>MAX(C61:D61)</f>
        <v>0.38</v>
      </c>
      <c r="G61" s="1" t="str">
        <f>G55</f>
        <v>per 100 arrests</v>
      </c>
      <c r="L61" s="58">
        <f>IF(($E55&gt;0),L55,L54)</f>
        <v>100</v>
      </c>
      <c r="M61" s="58"/>
    </row>
    <row r="62" spans="2:18" ht="15" hidden="1" customHeight="1">
      <c r="B62" s="49" t="str">
        <f t="shared" si="11"/>
        <v>per 100 referrals</v>
      </c>
      <c r="C62" s="49">
        <f t="shared" si="11"/>
        <v>1.23</v>
      </c>
      <c r="D62" s="49">
        <f t="shared" si="11"/>
        <v>0.03</v>
      </c>
      <c r="E62" s="49">
        <f>MAX(C62:D62)</f>
        <v>1.23</v>
      </c>
      <c r="G62" s="1" t="str">
        <f>G56</f>
        <v>per 100 referrals</v>
      </c>
      <c r="L62" s="58">
        <f>IF(($E56&gt;0),L56,L55)</f>
        <v>100</v>
      </c>
      <c r="M62" s="58"/>
    </row>
    <row r="63" spans="2:18" ht="15" hidden="1" customHeight="1">
      <c r="B63" s="49" t="str">
        <f>IF(($E57&gt;0),B57,B55)</f>
        <v>per 100 youth petitioned</v>
      </c>
      <c r="C63" s="49">
        <f>IF(($E57&gt;0),C57,C56)</f>
        <v>0.66</v>
      </c>
      <c r="D63" s="49">
        <f>IF(($E57&gt;0),D57,D56)</f>
        <v>0.02</v>
      </c>
      <c r="E63" s="49">
        <f>MAX(C63:D63)</f>
        <v>0.66</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0.02</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14.807</v>
      </c>
      <c r="D66" s="56">
        <f>D60</f>
        <v>1.62</v>
      </c>
      <c r="E66" s="56">
        <f>MAX(C66:D66)</f>
        <v>14.807</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0.01</v>
      </c>
      <c r="E67" s="49">
        <f>MAX(C67:D67)</f>
        <v>0.38</v>
      </c>
      <c r="G67" s="1" t="str">
        <f>G61</f>
        <v>per 100 arrests</v>
      </c>
      <c r="L67" s="58">
        <f>IF(($E61&gt;0),L61,L60)</f>
        <v>100</v>
      </c>
      <c r="M67" s="58">
        <f>IF((B67=G67),1,2)</f>
        <v>1</v>
      </c>
    </row>
    <row r="68" spans="2:13" ht="15" hidden="1" customHeight="1">
      <c r="B68" s="49" t="str">
        <f t="shared" si="12"/>
        <v>per 100 referrals</v>
      </c>
      <c r="C68" s="49">
        <f t="shared" si="12"/>
        <v>1.23</v>
      </c>
      <c r="D68" s="49">
        <f t="shared" si="12"/>
        <v>0.03</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0.66</v>
      </c>
      <c r="D69" s="49">
        <f>IF(($E63&gt;0),D63,D62)</f>
        <v>0.02</v>
      </c>
      <c r="E69" s="49">
        <f>MAX(C69:D69)</f>
        <v>0.66</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0.02</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14807</v>
      </c>
      <c r="D6" s="34"/>
      <c r="E6" s="33">
        <f>'Data Entry'!E6</f>
        <v>3140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2.5663537516039709</v>
      </c>
      <c r="E7" s="33">
        <f>'Data Entry'!E7</f>
        <v>5</v>
      </c>
      <c r="F7" s="34">
        <f>IF((AND($E$7&gt;0,$D$66&gt;0)),($E$7/$D$66),0)</f>
        <v>1.592356687898089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3135</v>
      </c>
      <c r="P7" s="42">
        <f t="shared" ref="P7:P15" si="4">C7</f>
        <v>38</v>
      </c>
      <c r="Q7" s="42">
        <f>C6-C7</f>
        <v>14769</v>
      </c>
      <c r="R7" s="42">
        <f t="shared" ref="R7:R15" si="5">SUM(N7:Q7)</f>
        <v>17947</v>
      </c>
      <c r="S7" s="30">
        <f t="shared" ref="S7:S15" si="6">R7*((((N7*Q7)-(O7*P7))^2))</f>
        <v>36804473295075</v>
      </c>
      <c r="T7" s="30">
        <f t="shared" ref="T7:T15" si="7">(N7+O7)*(P7+Q7)*(N7+P7)*(O7+Q7)</f>
        <v>35794413370560</v>
      </c>
      <c r="U7" s="31">
        <f t="shared" ref="U7:U15" si="8">IF((S7&gt;0),S7/T7,"- -")</f>
        <v>1.0282183678793224</v>
      </c>
    </row>
    <row r="8" spans="2:21" ht="18" customHeight="1">
      <c r="B8" s="32" t="str">
        <f>'Data Entry'!A8</f>
        <v>3. Refer to Juvenile Court</v>
      </c>
      <c r="C8" s="33">
        <f>'Data Entry'!C8</f>
        <v>123</v>
      </c>
      <c r="D8" s="34">
        <f>IF((AND(C67&gt;0,C8&gt;0)),(C8/C67),0)</f>
        <v>323.68421052631578</v>
      </c>
      <c r="E8" s="33">
        <f>'Data Entry'!E8</f>
        <v>23</v>
      </c>
      <c r="F8" s="34">
        <f>IF((AND($E$8&gt;0,$D$67&gt;0)),($E8/$D67),0)</f>
        <v>460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23</v>
      </c>
      <c r="O8" s="42">
        <f>((D67*L67)-E8)+0.05</f>
        <v>-17.95</v>
      </c>
      <c r="P8" s="42">
        <f t="shared" si="4"/>
        <v>123</v>
      </c>
      <c r="Q8" s="42">
        <f>(C$67*L67)-C8</f>
        <v>-85</v>
      </c>
      <c r="R8" s="42">
        <f t="shared" si="5"/>
        <v>43.050000000000011</v>
      </c>
      <c r="S8" s="30">
        <f t="shared" si="6"/>
        <v>2752320.9236249989</v>
      </c>
      <c r="T8" s="30">
        <f t="shared" si="7"/>
        <v>-2884391.3300000005</v>
      </c>
      <c r="U8" s="31">
        <f t="shared" si="8"/>
        <v>-0.95421203600171633</v>
      </c>
    </row>
    <row r="9" spans="2:21" ht="18" customHeight="1">
      <c r="B9" s="32" t="str">
        <f>'Data Entry'!A9</f>
        <v xml:space="preserve">4. Cases Diverted </v>
      </c>
      <c r="C9" s="33">
        <f>'Data Entry'!C9</f>
        <v>95</v>
      </c>
      <c r="D9" s="34">
        <f>IF((AND(C68&gt;0,C9&gt;0)),((C9/C68)),0)</f>
        <v>77.235772357723576</v>
      </c>
      <c r="E9" s="33">
        <f>'Data Entry'!E9</f>
        <v>22</v>
      </c>
      <c r="F9" s="34">
        <f>IF((AND($E$9&gt;0,$D$68&gt;0)),(($E$9/$D$68)),0)</f>
        <v>95.65217391304347</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22</v>
      </c>
      <c r="O9" s="42">
        <f>(D$68*L68)-E9</f>
        <v>1</v>
      </c>
      <c r="P9" s="42">
        <f t="shared" si="4"/>
        <v>95</v>
      </c>
      <c r="Q9" s="42">
        <f>(C$68*L68)-C9</f>
        <v>28</v>
      </c>
      <c r="R9" s="42">
        <f t="shared" si="5"/>
        <v>146</v>
      </c>
      <c r="S9" s="30">
        <f t="shared" si="6"/>
        <v>39630386</v>
      </c>
      <c r="T9" s="30">
        <f t="shared" si="7"/>
        <v>9598797</v>
      </c>
      <c r="U9" s="31">
        <f t="shared" si="8"/>
        <v>4.1286825838696242</v>
      </c>
    </row>
    <row r="10" spans="2:21" ht="18" customHeight="1">
      <c r="B10" s="32" t="str">
        <f>'Data Entry'!A10</f>
        <v>5. Cases Involving Secure Detention</v>
      </c>
      <c r="C10" s="33">
        <f>'Data Entry'!C10</f>
        <v>24</v>
      </c>
      <c r="D10" s="34">
        <f>IF(((AND(C68&gt;0,C10&gt;0))),(C10/(C68)),0)</f>
        <v>19.512195121951219</v>
      </c>
      <c r="E10" s="33">
        <f>'Data Entry'!E10</f>
        <v>6</v>
      </c>
      <c r="F10" s="34">
        <f>IF(((AND($E$10&gt;0,$D$68&gt;0))),($E$10/($D$68)),0)</f>
        <v>26.086956521739129</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6</v>
      </c>
      <c r="O10" s="42">
        <f>(D$68*L68)-E10</f>
        <v>17</v>
      </c>
      <c r="P10" s="42">
        <f t="shared" si="4"/>
        <v>24</v>
      </c>
      <c r="Q10" s="42">
        <f>(C$68*L68)-C10</f>
        <v>99</v>
      </c>
      <c r="R10" s="42">
        <f t="shared" si="5"/>
        <v>146</v>
      </c>
      <c r="S10" s="30">
        <f t="shared" si="6"/>
        <v>5051016</v>
      </c>
      <c r="T10" s="30">
        <f t="shared" si="7"/>
        <v>9844920</v>
      </c>
      <c r="U10" s="31">
        <f t="shared" si="8"/>
        <v>0.51305810509379457</v>
      </c>
    </row>
    <row r="11" spans="2:21" ht="18" customHeight="1">
      <c r="B11" s="32" t="str">
        <f>'Data Entry'!A11</f>
        <v>6. Cases Petitioned (Charge Filed)</v>
      </c>
      <c r="C11" s="33">
        <f>'Data Entry'!C11</f>
        <v>66</v>
      </c>
      <c r="D11" s="34">
        <f>IF(((AND(C68&gt;0,C11&gt;0))),(C11/(C68)),0)</f>
        <v>53.658536585365852</v>
      </c>
      <c r="E11" s="33">
        <f>'Data Entry'!E11</f>
        <v>14</v>
      </c>
      <c r="F11" s="34">
        <f>IF(((AND($E$11&gt;0,$D$68&gt;0))),($E$11/($D$68)),0)</f>
        <v>60.869565217391305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14</v>
      </c>
      <c r="O11" s="42">
        <f>(D$68*L68)-E11</f>
        <v>9</v>
      </c>
      <c r="P11" s="42">
        <f t="shared" si="4"/>
        <v>66</v>
      </c>
      <c r="Q11" s="42">
        <f>(C$68*L68)-C11</f>
        <v>57</v>
      </c>
      <c r="R11" s="42">
        <f t="shared" si="5"/>
        <v>146</v>
      </c>
      <c r="S11" s="30">
        <f t="shared" si="6"/>
        <v>6075936</v>
      </c>
      <c r="T11" s="30">
        <f t="shared" si="7"/>
        <v>14937120</v>
      </c>
      <c r="U11" s="31">
        <f t="shared" si="8"/>
        <v>0.40676756965198113</v>
      </c>
    </row>
    <row r="12" spans="2:21" ht="18" customHeight="1">
      <c r="B12" s="32" t="str">
        <f>'Data Entry'!A12</f>
        <v>7. Cases Resulting in Delinquent Findings</v>
      </c>
      <c r="C12" s="33">
        <f>'Data Entry'!C12</f>
        <v>62</v>
      </c>
      <c r="D12" s="34">
        <f>IF(((AND(C69&gt;0,C12&gt;0))),(C12/(C69)),0)</f>
        <v>93.939393939393938</v>
      </c>
      <c r="E12" s="33">
        <f>'Data Entry'!E12</f>
        <v>12</v>
      </c>
      <c r="F12" s="34">
        <f>IF(((AND($D$69&gt;0,$E$12&gt;0))),(E12/(D69)),0)</f>
        <v>85.714285714285708</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12</v>
      </c>
      <c r="O12" s="42">
        <f>(D69*L69)-E12</f>
        <v>2.0000000000000018</v>
      </c>
      <c r="P12" s="42">
        <f t="shared" si="4"/>
        <v>62</v>
      </c>
      <c r="Q12" s="42">
        <f>(C69*L69)-C12</f>
        <v>4</v>
      </c>
      <c r="R12" s="42">
        <f t="shared" si="5"/>
        <v>80</v>
      </c>
      <c r="S12" s="30">
        <f t="shared" si="6"/>
        <v>462080.0000000014</v>
      </c>
      <c r="T12" s="30">
        <f t="shared" si="7"/>
        <v>410256.00000000023</v>
      </c>
      <c r="U12" s="31">
        <f t="shared" si="8"/>
        <v>1.126321126321129</v>
      </c>
    </row>
    <row r="13" spans="2:21" ht="18" customHeight="1">
      <c r="B13" s="32" t="str">
        <f>'Data Entry'!A13</f>
        <v>8. Cases Resulting in Probation Placement</v>
      </c>
      <c r="C13" s="33">
        <f>'Data Entry'!C13</f>
        <v>61</v>
      </c>
      <c r="D13" s="34">
        <f>IF(((AND(C70&gt;0,C13&gt;0))),(C13/(C70)),0)</f>
        <v>98.387096774193552</v>
      </c>
      <c r="E13" s="33">
        <f>'Data Entry'!E13</f>
        <v>12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12</v>
      </c>
      <c r="O13" s="42">
        <f>(D70*L70)-E13</f>
        <v>0</v>
      </c>
      <c r="P13" s="42">
        <f t="shared" si="4"/>
        <v>61</v>
      </c>
      <c r="Q13" s="42">
        <f>(C70*L70)-C13</f>
        <v>1</v>
      </c>
      <c r="R13" s="42">
        <f t="shared" si="5"/>
        <v>74</v>
      </c>
      <c r="S13" s="30">
        <f t="shared" si="6"/>
        <v>10656</v>
      </c>
      <c r="T13" s="30">
        <f t="shared" si="7"/>
        <v>54312</v>
      </c>
      <c r="U13" s="31">
        <f t="shared" si="8"/>
        <v>0.19619973486522316</v>
      </c>
    </row>
    <row r="14" spans="2:21" ht="30.75" customHeight="1">
      <c r="B14" s="32" t="str">
        <f>'Data Entry'!A14</f>
        <v xml:space="preserve">9. Cases Resulting in Confinement in Secure Juvenile Correctional Facilities </v>
      </c>
      <c r="C14" s="33">
        <f>'Data Entry'!C14</f>
        <v>2</v>
      </c>
      <c r="D14" s="34">
        <f>IF(((AND(C70&gt;0,C14&gt;0))), ((C14/(C70))),0)</f>
        <v>3.2258064516129035</v>
      </c>
      <c r="E14" s="33">
        <f>'Data Entry'!E14</f>
        <v>2</v>
      </c>
      <c r="F14" s="34">
        <f>IF(((AND($D$70&gt;0,$E$14&gt;0))), (($E$14/($D$70))),0)</f>
        <v>16.666666666666668</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10</v>
      </c>
      <c r="P14" s="42">
        <f t="shared" si="4"/>
        <v>2</v>
      </c>
      <c r="Q14" s="42">
        <f>(C70*L70)-C14</f>
        <v>60</v>
      </c>
      <c r="R14" s="42">
        <f t="shared" si="5"/>
        <v>74</v>
      </c>
      <c r="S14" s="30">
        <f t="shared" si="6"/>
        <v>740000</v>
      </c>
      <c r="T14" s="30">
        <f t="shared" si="7"/>
        <v>208320</v>
      </c>
      <c r="U14" s="31">
        <f t="shared" si="8"/>
        <v>3.5522273425499233</v>
      </c>
    </row>
    <row r="15" spans="2:21" ht="15.75" customHeight="1">
      <c r="B15" s="32" t="str">
        <f>'Data Entry'!A15</f>
        <v xml:space="preserve">10. Cases Transferred to Adult Court </v>
      </c>
      <c r="C15" s="33">
        <f>'Data Entry'!C15</f>
        <v>1</v>
      </c>
      <c r="D15" s="34">
        <f>IF(((AND(C69&gt;0,C15&gt;0))),((C15/(C69))),0)</f>
        <v>1.5151515151515151</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14.000000000000002</v>
      </c>
      <c r="P15" s="42">
        <f t="shared" si="4"/>
        <v>1</v>
      </c>
      <c r="Q15" s="42">
        <f>(C69*L69)-C15</f>
        <v>65</v>
      </c>
      <c r="R15" s="42">
        <f t="shared" si="5"/>
        <v>80</v>
      </c>
      <c r="S15" s="30">
        <f t="shared" si="6"/>
        <v>15680.000000000004</v>
      </c>
      <c r="T15" s="30">
        <f t="shared" si="7"/>
        <v>72996.000000000015</v>
      </c>
      <c r="U15" s="31">
        <f t="shared" si="8"/>
        <v>0.21480629075565785</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14.807</v>
      </c>
      <c r="D42" s="56">
        <f>E6/1000</f>
        <v>3.14</v>
      </c>
      <c r="E42" s="56">
        <f>MAX(C42:D42)</f>
        <v>14.807</v>
      </c>
      <c r="G42" s="1" t="str">
        <f>B42</f>
        <v>per 1000 youth</v>
      </c>
      <c r="L42" s="57">
        <v>1000</v>
      </c>
      <c r="M42" s="57"/>
      <c r="R42" s="49"/>
    </row>
    <row r="43" spans="2:18" ht="15" hidden="1" customHeight="1">
      <c r="B43" s="49" t="s">
        <v>87</v>
      </c>
      <c r="C43" s="56">
        <f>C7/100</f>
        <v>0.38</v>
      </c>
      <c r="D43" s="56">
        <f>E7/100</f>
        <v>0.05</v>
      </c>
      <c r="E43" s="56">
        <f>MAX(C43:D43,0)</f>
        <v>0.38</v>
      </c>
      <c r="G43" s="1" t="str">
        <f>B43</f>
        <v>per 100 arrests</v>
      </c>
      <c r="L43" s="57">
        <v>100</v>
      </c>
      <c r="M43" s="57"/>
      <c r="R43" s="49"/>
    </row>
    <row r="44" spans="2:18" ht="15" hidden="1" customHeight="1">
      <c r="B44" s="49" t="s">
        <v>88</v>
      </c>
      <c r="C44" s="56">
        <f>C8/100</f>
        <v>1.23</v>
      </c>
      <c r="D44" s="56">
        <f>E8/100</f>
        <v>0.23</v>
      </c>
      <c r="E44" s="56">
        <f>MAX(C44:D44,0)</f>
        <v>1.23</v>
      </c>
      <c r="G44" s="1" t="str">
        <f>B44</f>
        <v>per 100 referrals</v>
      </c>
      <c r="L44" s="57">
        <v>100</v>
      </c>
      <c r="M44" s="57"/>
      <c r="R44" s="49"/>
    </row>
    <row r="45" spans="2:18" ht="15" hidden="1" customHeight="1">
      <c r="B45" s="49" t="s">
        <v>89</v>
      </c>
      <c r="C45" s="49">
        <f>C11/100</f>
        <v>0.66</v>
      </c>
      <c r="D45" s="49">
        <f>E11/100</f>
        <v>0.14000000000000001</v>
      </c>
      <c r="E45" s="56">
        <f>MAX(C45:D45,0)</f>
        <v>0.66</v>
      </c>
      <c r="G45" s="1" t="str">
        <f>B45</f>
        <v>per 100 youth petitioned</v>
      </c>
      <c r="L45" s="57">
        <v>100</v>
      </c>
      <c r="M45" s="57"/>
      <c r="R45" s="49"/>
    </row>
    <row r="46" spans="2:18" ht="15" hidden="1" customHeight="1">
      <c r="B46" s="49" t="s">
        <v>90</v>
      </c>
      <c r="C46" s="49">
        <f>C12/100</f>
        <v>0.62</v>
      </c>
      <c r="D46" s="49">
        <f>E12/100</f>
        <v>0.12</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14.807</v>
      </c>
      <c r="D48" s="56">
        <f>D42</f>
        <v>3.14</v>
      </c>
      <c r="E48" s="56">
        <f>MAX(C48:D48)</f>
        <v>14.807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0.05</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0.23</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0.66</v>
      </c>
      <c r="D51" s="49">
        <f>IF(($E45&gt;0),D45,D44)</f>
        <v>0.14000000000000001</v>
      </c>
      <c r="E51" s="49">
        <f>MAX(C51:D51)</f>
        <v>0.66</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0.12</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14.807</v>
      </c>
      <c r="D54" s="56">
        <f>D48</f>
        <v>3.14</v>
      </c>
      <c r="E54" s="56">
        <f>MAX(C54:D54)</f>
        <v>14.807</v>
      </c>
      <c r="G54" s="1" t="str">
        <f>G48</f>
        <v>per 1000 youth</v>
      </c>
      <c r="L54" s="58">
        <f>L48</f>
        <v>1000</v>
      </c>
      <c r="M54" s="58"/>
    </row>
    <row r="55" spans="2:18" ht="15" hidden="1" customHeight="1">
      <c r="B55" s="49" t="str">
        <f t="shared" ref="B55:D56" si="10">IF(($E49&gt;0),B49,B48)</f>
        <v>per 100 arrests</v>
      </c>
      <c r="C55" s="49">
        <f t="shared" si="10"/>
        <v>0.38</v>
      </c>
      <c r="D55" s="49">
        <f t="shared" si="10"/>
        <v>0.05</v>
      </c>
      <c r="E55" s="49">
        <f>MAX(C55:D55)</f>
        <v>0.38</v>
      </c>
      <c r="G55" s="1" t="str">
        <f>G49</f>
        <v>per 100 arrests</v>
      </c>
      <c r="L55" s="58">
        <f>IF(($E49&gt;0),L49,L48)</f>
        <v>100</v>
      </c>
      <c r="M55" s="58"/>
    </row>
    <row r="56" spans="2:18" ht="15" hidden="1" customHeight="1">
      <c r="B56" s="49" t="str">
        <f t="shared" si="10"/>
        <v>per 100 referrals</v>
      </c>
      <c r="C56" s="49">
        <f t="shared" si="10"/>
        <v>1.23</v>
      </c>
      <c r="D56" s="49">
        <f t="shared" si="10"/>
        <v>0.23</v>
      </c>
      <c r="E56" s="49">
        <f>MAX(C56:D56)</f>
        <v>1.23</v>
      </c>
      <c r="G56" s="1" t="str">
        <f>G50</f>
        <v>per 100 referrals</v>
      </c>
      <c r="L56" s="58">
        <f>IF(($E50&gt;0),L50,L49)</f>
        <v>100</v>
      </c>
      <c r="M56" s="58"/>
    </row>
    <row r="57" spans="2:18" ht="15" hidden="1" customHeight="1">
      <c r="B57" s="49" t="str">
        <f>IF(($E51&gt;0),B51,B49)</f>
        <v>per 100 youth petitioned</v>
      </c>
      <c r="C57" s="49">
        <f>IF(($E51&gt;0),C51,C50)</f>
        <v>0.66</v>
      </c>
      <c r="D57" s="49">
        <f>IF(($E51&gt;0),D51,D50)</f>
        <v>0.14000000000000001</v>
      </c>
      <c r="E57" s="49">
        <f>MAX(C57:D57)</f>
        <v>0.66</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0.12</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14.807</v>
      </c>
      <c r="D60" s="56">
        <f>D54</f>
        <v>3.14</v>
      </c>
      <c r="E60" s="56">
        <f>MAX(C60:D60)</f>
        <v>14.807</v>
      </c>
      <c r="G60" s="1" t="str">
        <f>G54</f>
        <v>per 1000 youth</v>
      </c>
      <c r="L60" s="58">
        <f>L54</f>
        <v>1000</v>
      </c>
      <c r="M60" s="58"/>
    </row>
    <row r="61" spans="2:18" ht="15" hidden="1" customHeight="1">
      <c r="B61" s="49" t="str">
        <f t="shared" ref="B61:D62" si="11">IF(($E55&gt;0),B55,B54)</f>
        <v>per 100 arrests</v>
      </c>
      <c r="C61" s="49">
        <f t="shared" si="11"/>
        <v>0.38</v>
      </c>
      <c r="D61" s="49">
        <f t="shared" si="11"/>
        <v>0.05</v>
      </c>
      <c r="E61" s="49">
        <f>MAX(C61:D61)</f>
        <v>0.38</v>
      </c>
      <c r="G61" s="1" t="str">
        <f>G55</f>
        <v>per 100 arrests</v>
      </c>
      <c r="L61" s="58">
        <f>IF(($E55&gt;0),L55,L54)</f>
        <v>100</v>
      </c>
      <c r="M61" s="58"/>
    </row>
    <row r="62" spans="2:18" ht="15" hidden="1" customHeight="1">
      <c r="B62" s="49" t="str">
        <f t="shared" si="11"/>
        <v>per 100 referrals</v>
      </c>
      <c r="C62" s="49">
        <f t="shared" si="11"/>
        <v>1.23</v>
      </c>
      <c r="D62" s="49">
        <f t="shared" si="11"/>
        <v>0.23</v>
      </c>
      <c r="E62" s="49">
        <f>MAX(C62:D62)</f>
        <v>1.23</v>
      </c>
      <c r="G62" s="1" t="str">
        <f>G56</f>
        <v>per 100 referrals</v>
      </c>
      <c r="L62" s="58">
        <f>IF(($E56&gt;0),L56,L55)</f>
        <v>100</v>
      </c>
      <c r="M62" s="58"/>
    </row>
    <row r="63" spans="2:18" ht="15" hidden="1" customHeight="1">
      <c r="B63" s="49" t="str">
        <f>IF(($E57&gt;0),B57,B55)</f>
        <v>per 100 youth petitioned</v>
      </c>
      <c r="C63" s="49">
        <f>IF(($E57&gt;0),C57,C56)</f>
        <v>0.66</v>
      </c>
      <c r="D63" s="49">
        <f>IF(($E57&gt;0),D57,D56)</f>
        <v>0.14000000000000001</v>
      </c>
      <c r="E63" s="49">
        <f>MAX(C63:D63)</f>
        <v>0.66</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0.12</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14.807</v>
      </c>
      <c r="D66" s="56">
        <f>D60</f>
        <v>3.14</v>
      </c>
      <c r="E66" s="56">
        <f>MAX(C66:D66)</f>
        <v>14.807</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0.05</v>
      </c>
      <c r="E67" s="49">
        <f>MAX(C67:D67)</f>
        <v>0.38</v>
      </c>
      <c r="G67" s="1" t="str">
        <f>G61</f>
        <v>per 100 arrests</v>
      </c>
      <c r="L67" s="58">
        <f>IF(($E61&gt;0),L61,L60)</f>
        <v>100</v>
      </c>
      <c r="M67" s="58">
        <f>IF((B67=G67),1,2)</f>
        <v>1</v>
      </c>
    </row>
    <row r="68" spans="2:13" ht="15" hidden="1" customHeight="1">
      <c r="B68" s="49" t="str">
        <f t="shared" si="12"/>
        <v>per 100 referrals</v>
      </c>
      <c r="C68" s="49">
        <f t="shared" si="12"/>
        <v>1.23</v>
      </c>
      <c r="D68" s="49">
        <f t="shared" si="12"/>
        <v>0.23</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0.66</v>
      </c>
      <c r="D69" s="49">
        <f>IF(($E63&gt;0),D63,D62)</f>
        <v>0.14000000000000001</v>
      </c>
      <c r="E69" s="49">
        <f>MAX(C69:D69)</f>
        <v>0.66</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0.12</v>
      </c>
      <c r="E70" s="56">
        <f>MAX(C70:D70)</f>
        <v>0.62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14807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2.5663537516039709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38</v>
      </c>
      <c r="Q7" s="42">
        <f>C6-C7</f>
        <v>14769</v>
      </c>
      <c r="R7" s="42">
        <f t="shared" ref="R7:R15" si="5">SUM(N7:Q7)</f>
        <v>14807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123</v>
      </c>
      <c r="D8" s="34">
        <f>IF((AND(C67&gt;0,C8&gt;0)),(C8/C67),0)</f>
        <v>323.68421052631578</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123</v>
      </c>
      <c r="Q8" s="42">
        <f>(C$67*L67)-C8</f>
        <v>-85</v>
      </c>
      <c r="R8" s="42">
        <f t="shared" si="5"/>
        <v>38.049999999999997</v>
      </c>
      <c r="S8" s="30">
        <f t="shared" si="6"/>
        <v>1439.146125</v>
      </c>
      <c r="T8" s="30">
        <f t="shared" si="7"/>
        <v>-19852.815000000002</v>
      </c>
      <c r="U8" s="31">
        <f t="shared" si="8"/>
        <v>-7.2490784052538629E-2</v>
      </c>
    </row>
    <row r="9" spans="2:21" ht="18" customHeight="1">
      <c r="B9" s="32" t="str">
        <f>'Data Entry'!A9</f>
        <v xml:space="preserve">4. Cases Diverted </v>
      </c>
      <c r="C9" s="33">
        <f>'Data Entry'!C9</f>
        <v>95</v>
      </c>
      <c r="D9" s="34">
        <f>IF((AND(C68&gt;0,C9&gt;0)),((C9/C68)),0)</f>
        <v>77.235772357723576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95</v>
      </c>
      <c r="Q9" s="42">
        <f>(C$68*L68)-C9</f>
        <v>28</v>
      </c>
      <c r="R9" s="42">
        <f t="shared" si="5"/>
        <v>123</v>
      </c>
      <c r="S9" s="30">
        <f t="shared" si="6"/>
        <v>0</v>
      </c>
      <c r="T9" s="30">
        <f t="shared" si="7"/>
        <v>0</v>
      </c>
      <c r="U9" s="31" t="str">
        <f t="shared" si="8"/>
        <v>- -</v>
      </c>
    </row>
    <row r="10" spans="2:21" ht="18" customHeight="1">
      <c r="B10" s="32" t="str">
        <f>'Data Entry'!A10</f>
        <v>5. Cases Involving Secure Detention</v>
      </c>
      <c r="C10" s="33">
        <f>'Data Entry'!C10</f>
        <v>24</v>
      </c>
      <c r="D10" s="34">
        <f>IF(((AND(C68&gt;0,C10&gt;0))),(C10/(C68)),0)</f>
        <v>19.512195121951219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24</v>
      </c>
      <c r="Q10" s="42">
        <f>(C$68*L68)-C10</f>
        <v>99</v>
      </c>
      <c r="R10" s="42">
        <f t="shared" si="5"/>
        <v>123</v>
      </c>
      <c r="S10" s="30">
        <f t="shared" si="6"/>
        <v>0</v>
      </c>
      <c r="T10" s="30">
        <f t="shared" si="7"/>
        <v>0</v>
      </c>
      <c r="U10" s="31" t="str">
        <f t="shared" si="8"/>
        <v>- -</v>
      </c>
    </row>
    <row r="11" spans="2:21" ht="18" customHeight="1">
      <c r="B11" s="32" t="str">
        <f>'Data Entry'!A11</f>
        <v>6. Cases Petitioned (Charge Filed)</v>
      </c>
      <c r="C11" s="33">
        <f>'Data Entry'!C11</f>
        <v>66</v>
      </c>
      <c r="D11" s="34">
        <f>IF(((AND(C68&gt;0,C11&gt;0))),(C11/(C68)),0)</f>
        <v>53.658536585365852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66</v>
      </c>
      <c r="Q11" s="42">
        <f>(C$68*L68)-C11</f>
        <v>57</v>
      </c>
      <c r="R11" s="42">
        <f t="shared" si="5"/>
        <v>123</v>
      </c>
      <c r="S11" s="30">
        <f t="shared" si="6"/>
        <v>0</v>
      </c>
      <c r="T11" s="30">
        <f t="shared" si="7"/>
        <v>0</v>
      </c>
      <c r="U11" s="31" t="str">
        <f t="shared" si="8"/>
        <v>- -</v>
      </c>
    </row>
    <row r="12" spans="2:21" ht="18" customHeight="1">
      <c r="B12" s="32" t="str">
        <f>'Data Entry'!A12</f>
        <v>7. Cases Resulting in Delinquent Findings</v>
      </c>
      <c r="C12" s="33">
        <f>'Data Entry'!C12</f>
        <v>62</v>
      </c>
      <c r="D12" s="34">
        <f>IF(((AND(C69&gt;0,C12&gt;0))),(C12/(C69)),0)</f>
        <v>93.939393939393938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62</v>
      </c>
      <c r="Q12" s="42">
        <f>(C69*L69)-C12</f>
        <v>4</v>
      </c>
      <c r="R12" s="42">
        <f t="shared" si="5"/>
        <v>66</v>
      </c>
      <c r="S12" s="30">
        <f t="shared" si="6"/>
        <v>0</v>
      </c>
      <c r="T12" s="30">
        <f t="shared" si="7"/>
        <v>0</v>
      </c>
      <c r="U12" s="31" t="str">
        <f t="shared" si="8"/>
        <v>- -</v>
      </c>
    </row>
    <row r="13" spans="2:21" ht="18" customHeight="1">
      <c r="B13" s="32" t="str">
        <f>'Data Entry'!A13</f>
        <v>8. Cases Resulting in Probation Placement</v>
      </c>
      <c r="C13" s="33">
        <f>'Data Entry'!C13</f>
        <v>61</v>
      </c>
      <c r="D13" s="34">
        <f>IF(((AND(C70&gt;0,C13&gt;0))),(C13/(C70)),0)</f>
        <v>98.387096774193552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61</v>
      </c>
      <c r="Q13" s="42">
        <f>(C70*L70)-C13</f>
        <v>1</v>
      </c>
      <c r="R13" s="42">
        <f t="shared" si="5"/>
        <v>62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3.2258064516129035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60</v>
      </c>
      <c r="R14" s="42">
        <f t="shared" si="5"/>
        <v>62</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1.5151515151515151</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65</v>
      </c>
      <c r="R15" s="42">
        <f t="shared" si="5"/>
        <v>66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14.807</v>
      </c>
      <c r="D42" s="56">
        <f>E6/1000</f>
        <v>0</v>
      </c>
      <c r="E42" s="56">
        <f>MAX(C42:D42)</f>
        <v>14.807</v>
      </c>
      <c r="G42" s="1" t="str">
        <f>B42</f>
        <v>per 1000 youth</v>
      </c>
      <c r="L42" s="57">
        <v>1000</v>
      </c>
      <c r="M42" s="57"/>
      <c r="R42" s="49"/>
    </row>
    <row r="43" spans="2:18" ht="15" hidden="1" customHeight="1">
      <c r="B43" s="49" t="s">
        <v>87</v>
      </c>
      <c r="C43" s="56">
        <f>C7/100</f>
        <v>0.38</v>
      </c>
      <c r="D43" s="56">
        <f>E7/100</f>
        <v>0</v>
      </c>
      <c r="E43" s="56">
        <f>MAX(C43:D43,0)</f>
        <v>0.38</v>
      </c>
      <c r="G43" s="1" t="str">
        <f>B43</f>
        <v>per 100 arrests</v>
      </c>
      <c r="L43" s="57">
        <v>100</v>
      </c>
      <c r="M43" s="57"/>
      <c r="R43" s="49"/>
    </row>
    <row r="44" spans="2:18" ht="15" hidden="1" customHeight="1">
      <c r="B44" s="49" t="s">
        <v>88</v>
      </c>
      <c r="C44" s="56">
        <f>C8/100</f>
        <v>1.23</v>
      </c>
      <c r="D44" s="56">
        <f>E8/100</f>
        <v>0</v>
      </c>
      <c r="E44" s="56">
        <f>MAX(C44:D44,0)</f>
        <v>1.23</v>
      </c>
      <c r="G44" s="1" t="str">
        <f>B44</f>
        <v>per 100 referrals</v>
      </c>
      <c r="L44" s="57">
        <v>100</v>
      </c>
      <c r="M44" s="57"/>
      <c r="R44" s="49"/>
    </row>
    <row r="45" spans="2:18" ht="15" hidden="1" customHeight="1">
      <c r="B45" s="49" t="s">
        <v>89</v>
      </c>
      <c r="C45" s="49">
        <f>C11/100</f>
        <v>0.66</v>
      </c>
      <c r="D45" s="49">
        <f>E11/100</f>
        <v>0</v>
      </c>
      <c r="E45" s="56">
        <f>MAX(C45:D45,0)</f>
        <v>0.66</v>
      </c>
      <c r="G45" s="1" t="str">
        <f>B45</f>
        <v>per 100 youth petitioned</v>
      </c>
      <c r="L45" s="57">
        <v>100</v>
      </c>
      <c r="M45" s="57"/>
      <c r="R45" s="49"/>
    </row>
    <row r="46" spans="2:18" ht="15" hidden="1" customHeight="1">
      <c r="B46" s="49" t="s">
        <v>90</v>
      </c>
      <c r="C46" s="49">
        <f>C12/100</f>
        <v>0.62</v>
      </c>
      <c r="D46" s="49">
        <f>E12/100</f>
        <v>0</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14.807</v>
      </c>
      <c r="D48" s="56">
        <f>D42</f>
        <v>0</v>
      </c>
      <c r="E48" s="56">
        <f>MAX(C48:D48)</f>
        <v>14.807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0.66</v>
      </c>
      <c r="D51" s="49">
        <f>IF(($E45&gt;0),D45,D44)</f>
        <v>0</v>
      </c>
      <c r="E51" s="49">
        <f>MAX(C51:D51)</f>
        <v>0.66</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14.807</v>
      </c>
      <c r="D54" s="56">
        <f>D48</f>
        <v>0</v>
      </c>
      <c r="E54" s="56">
        <f>MAX(C54:D54)</f>
        <v>14.807</v>
      </c>
      <c r="G54" s="1" t="str">
        <f>G48</f>
        <v>per 1000 youth</v>
      </c>
      <c r="L54" s="58">
        <f>L48</f>
        <v>1000</v>
      </c>
      <c r="M54" s="58"/>
    </row>
    <row r="55" spans="2:18" ht="15" hidden="1" customHeight="1">
      <c r="B55" s="49" t="str">
        <f t="shared" ref="B55:D56" si="10">IF(($E49&gt;0),B49,B48)</f>
        <v>per 100 arrests</v>
      </c>
      <c r="C55" s="49">
        <f t="shared" si="10"/>
        <v>0.38</v>
      </c>
      <c r="D55" s="49">
        <f t="shared" si="10"/>
        <v>0</v>
      </c>
      <c r="E55" s="49">
        <f>MAX(C55:D55)</f>
        <v>0.38</v>
      </c>
      <c r="G55" s="1" t="str">
        <f>G49</f>
        <v>per 100 arrests</v>
      </c>
      <c r="L55" s="58">
        <f>IF(($E49&gt;0),L49,L48)</f>
        <v>100</v>
      </c>
      <c r="M55" s="58"/>
    </row>
    <row r="56" spans="2:18" ht="15" hidden="1" customHeight="1">
      <c r="B56" s="49" t="str">
        <f t="shared" si="10"/>
        <v>per 100 referrals</v>
      </c>
      <c r="C56" s="49">
        <f t="shared" si="10"/>
        <v>1.23</v>
      </c>
      <c r="D56" s="49">
        <f t="shared" si="10"/>
        <v>0</v>
      </c>
      <c r="E56" s="49">
        <f>MAX(C56:D56)</f>
        <v>1.23</v>
      </c>
      <c r="G56" s="1" t="str">
        <f>G50</f>
        <v>per 100 referrals</v>
      </c>
      <c r="L56" s="58">
        <f>IF(($E50&gt;0),L50,L49)</f>
        <v>100</v>
      </c>
      <c r="M56" s="58"/>
    </row>
    <row r="57" spans="2:18" ht="15" hidden="1" customHeight="1">
      <c r="B57" s="49" t="str">
        <f>IF(($E51&gt;0),B51,B49)</f>
        <v>per 100 youth petitioned</v>
      </c>
      <c r="C57" s="49">
        <f>IF(($E51&gt;0),C51,C50)</f>
        <v>0.66</v>
      </c>
      <c r="D57" s="49">
        <f>IF(($E51&gt;0),D51,D50)</f>
        <v>0</v>
      </c>
      <c r="E57" s="49">
        <f>MAX(C57:D57)</f>
        <v>0.66</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14.807</v>
      </c>
      <c r="D60" s="56">
        <f>D54</f>
        <v>0</v>
      </c>
      <c r="E60" s="56">
        <f>MAX(C60:D60)</f>
        <v>14.807</v>
      </c>
      <c r="G60" s="1" t="str">
        <f>G54</f>
        <v>per 1000 youth</v>
      </c>
      <c r="L60" s="58">
        <f>L54</f>
        <v>1000</v>
      </c>
      <c r="M60" s="58"/>
    </row>
    <row r="61" spans="2:18" ht="15" hidden="1" customHeight="1">
      <c r="B61" s="49" t="str">
        <f t="shared" ref="B61:D62" si="11">IF(($E55&gt;0),B55,B54)</f>
        <v>per 100 arrests</v>
      </c>
      <c r="C61" s="49">
        <f t="shared" si="11"/>
        <v>0.38</v>
      </c>
      <c r="D61" s="49">
        <f t="shared" si="11"/>
        <v>0</v>
      </c>
      <c r="E61" s="49">
        <f>MAX(C61:D61)</f>
        <v>0.38</v>
      </c>
      <c r="G61" s="1" t="str">
        <f>G55</f>
        <v>per 100 arrests</v>
      </c>
      <c r="L61" s="58">
        <f>IF(($E55&gt;0),L55,L54)</f>
        <v>100</v>
      </c>
      <c r="M61" s="58"/>
    </row>
    <row r="62" spans="2:18" ht="15" hidden="1" customHeight="1">
      <c r="B62" s="49" t="str">
        <f t="shared" si="11"/>
        <v>per 100 referrals</v>
      </c>
      <c r="C62" s="49">
        <f t="shared" si="11"/>
        <v>1.23</v>
      </c>
      <c r="D62" s="49">
        <f t="shared" si="11"/>
        <v>0</v>
      </c>
      <c r="E62" s="49">
        <f>MAX(C62:D62)</f>
        <v>1.23</v>
      </c>
      <c r="G62" s="1" t="str">
        <f>G56</f>
        <v>per 100 referrals</v>
      </c>
      <c r="L62" s="58">
        <f>IF(($E56&gt;0),L56,L55)</f>
        <v>100</v>
      </c>
      <c r="M62" s="58"/>
    </row>
    <row r="63" spans="2:18" ht="15" hidden="1" customHeight="1">
      <c r="B63" s="49" t="str">
        <f>IF(($E57&gt;0),B57,B55)</f>
        <v>per 100 youth petitioned</v>
      </c>
      <c r="C63" s="49">
        <f>IF(($E57&gt;0),C57,C56)</f>
        <v>0.66</v>
      </c>
      <c r="D63" s="49">
        <f>IF(($E57&gt;0),D57,D56)</f>
        <v>0</v>
      </c>
      <c r="E63" s="49">
        <f>MAX(C63:D63)</f>
        <v>0.66</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14.807</v>
      </c>
      <c r="D66" s="56">
        <f>D60</f>
        <v>0</v>
      </c>
      <c r="E66" s="56">
        <f>MAX(C66:D66)</f>
        <v>14.807</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v>
      </c>
      <c r="E67" s="49">
        <f>MAX(C67:D67)</f>
        <v>0.38</v>
      </c>
      <c r="G67" s="1" t="str">
        <f>G61</f>
        <v>per 100 arrests</v>
      </c>
      <c r="L67" s="58">
        <f>IF(($E61&gt;0),L61,L60)</f>
        <v>100</v>
      </c>
      <c r="M67" s="58">
        <f>IF((B67=G67),1,2)</f>
        <v>1</v>
      </c>
    </row>
    <row r="68" spans="2:13" ht="15" hidden="1" customHeight="1">
      <c r="B68" s="49" t="str">
        <f t="shared" si="12"/>
        <v>per 100 referrals</v>
      </c>
      <c r="C68" s="49">
        <f t="shared" si="12"/>
        <v>1.23</v>
      </c>
      <c r="D68" s="49">
        <f t="shared" si="12"/>
        <v>0</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0.66</v>
      </c>
      <c r="D69" s="49">
        <f>IF(($E63&gt;0),D63,D62)</f>
        <v>0</v>
      </c>
      <c r="E69" s="49">
        <f>MAX(C69:D69)</f>
        <v>0.66</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Ingham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14807</v>
      </c>
      <c r="D6" s="34"/>
      <c r="E6" s="33">
        <f>'Data Entry'!H6</f>
        <v>139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2.5663537516039709</v>
      </c>
      <c r="E7" s="33">
        <f>'Data Entry'!H7</f>
        <v>1</v>
      </c>
      <c r="F7" s="34">
        <f>IF((AND($E$7&gt;0,$D$66&gt;0)),($E$7/$D$66),0)</f>
        <v>7.1942446043165464</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138</v>
      </c>
      <c r="P7" s="42">
        <f t="shared" ref="P7:P15" si="4">C7</f>
        <v>38</v>
      </c>
      <c r="Q7" s="42">
        <f>C6-C7</f>
        <v>14769</v>
      </c>
      <c r="R7" s="42">
        <f t="shared" ref="R7:R15" si="5">SUM(N7:Q7)</f>
        <v>14946</v>
      </c>
      <c r="S7" s="30">
        <f t="shared" ref="S7:S15" si="6">R7*((((N7*Q7)-(O7*P7))^2))</f>
        <v>1355985191250</v>
      </c>
      <c r="T7" s="30">
        <f t="shared" ref="T7:T15" si="7">(N7+O7)*(P7+Q7)*(N7+P7)*(O7+Q7)</f>
        <v>1196566211529</v>
      </c>
      <c r="U7" s="31">
        <f t="shared" ref="U7:U15" si="8">IF((S7&gt;0),S7/T7,"- -")</f>
        <v>1.133230387240578</v>
      </c>
    </row>
    <row r="8" spans="2:21" ht="18" customHeight="1">
      <c r="B8" s="32" t="str">
        <f>'Data Entry'!A8</f>
        <v>3. Refer to Juvenile Court</v>
      </c>
      <c r="C8" s="33">
        <f>'Data Entry'!C8</f>
        <v>123</v>
      </c>
      <c r="D8" s="34">
        <f>IF((AND(C67&gt;0,C8&gt;0)),(C8/C67),0)</f>
        <v>323.68421052631578</v>
      </c>
      <c r="E8" s="33">
        <f>'Data Entry'!H8</f>
        <v>3</v>
      </c>
      <c r="F8" s="34">
        <f>IF((AND($E$8&gt;0,$D$67&gt;0)),($E8/$D67),0)</f>
        <v>300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3</v>
      </c>
      <c r="O8" s="42">
        <f>((D67*L67)-E8)+0.05</f>
        <v>-1.95</v>
      </c>
      <c r="P8" s="42">
        <f t="shared" si="4"/>
        <v>123</v>
      </c>
      <c r="Q8" s="42">
        <f>(C$67*L67)-C8</f>
        <v>-85</v>
      </c>
      <c r="R8" s="42">
        <f t="shared" si="5"/>
        <v>39.049999999999997</v>
      </c>
      <c r="S8" s="30">
        <f t="shared" si="6"/>
        <v>8962.853625000007</v>
      </c>
      <c r="T8" s="30">
        <f t="shared" si="7"/>
        <v>-437132.43</v>
      </c>
      <c r="U8" s="31">
        <f t="shared" si="8"/>
        <v>-2.0503749001189429E-2</v>
      </c>
    </row>
    <row r="9" spans="2:21" ht="18" customHeight="1">
      <c r="B9" s="32" t="str">
        <f>'Data Entry'!A9</f>
        <v xml:space="preserve">4. Cases Diverted </v>
      </c>
      <c r="C9" s="33">
        <f>'Data Entry'!C9</f>
        <v>95</v>
      </c>
      <c r="D9" s="34">
        <f>IF((AND(C68&gt;0,C9&gt;0)),((C9/C68)),0)</f>
        <v>77.235772357723576</v>
      </c>
      <c r="E9" s="33">
        <f>'Data Entry'!H9</f>
        <v>3</v>
      </c>
      <c r="F9" s="34">
        <f>IF((AND($E$9&gt;0,$D$68&gt;0)),(($E$9/$D$68)),0)</f>
        <v>100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3</v>
      </c>
      <c r="O9" s="42">
        <f>(D$68*L68)-E9</f>
        <v>0</v>
      </c>
      <c r="P9" s="42">
        <f t="shared" si="4"/>
        <v>95</v>
      </c>
      <c r="Q9" s="42">
        <f>(C$68*L68)-C9</f>
        <v>28</v>
      </c>
      <c r="R9" s="42">
        <f t="shared" si="5"/>
        <v>126</v>
      </c>
      <c r="S9" s="30">
        <f t="shared" si="6"/>
        <v>889056</v>
      </c>
      <c r="T9" s="30">
        <f t="shared" si="7"/>
        <v>1012536</v>
      </c>
      <c r="U9" s="31">
        <f t="shared" si="8"/>
        <v>0.87804878048780488</v>
      </c>
    </row>
    <row r="10" spans="2:21" ht="18" customHeight="1">
      <c r="B10" s="32" t="str">
        <f>'Data Entry'!A10</f>
        <v>5. Cases Involving Secure Detention</v>
      </c>
      <c r="C10" s="33">
        <f>'Data Entry'!C10</f>
        <v>24</v>
      </c>
      <c r="D10" s="34">
        <f>IF(((AND(C68&gt;0,C10&gt;0))),(C10/(C68)),0)</f>
        <v>19.512195121951219</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3</v>
      </c>
      <c r="P10" s="42">
        <f t="shared" si="4"/>
        <v>24</v>
      </c>
      <c r="Q10" s="42">
        <f>(C$68*L68)-C10</f>
        <v>99</v>
      </c>
      <c r="R10" s="42">
        <f t="shared" si="5"/>
        <v>126</v>
      </c>
      <c r="S10" s="30">
        <f t="shared" si="6"/>
        <v>653184</v>
      </c>
      <c r="T10" s="30">
        <f t="shared" si="7"/>
        <v>903312</v>
      </c>
      <c r="U10" s="31">
        <f t="shared" si="8"/>
        <v>0.72309899569583935</v>
      </c>
    </row>
    <row r="11" spans="2:21" ht="18" customHeight="1">
      <c r="B11" s="32" t="str">
        <f>'Data Entry'!A11</f>
        <v>6. Cases Petitioned (Charge Filed)</v>
      </c>
      <c r="C11" s="33">
        <f>'Data Entry'!C11</f>
        <v>66</v>
      </c>
      <c r="D11" s="34">
        <f>IF(((AND(C68&gt;0,C11&gt;0))),(C11/(C68)),0)</f>
        <v>53.658536585365852</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3</v>
      </c>
      <c r="P11" s="42">
        <f t="shared" si="4"/>
        <v>66</v>
      </c>
      <c r="Q11" s="42">
        <f>(C$68*L68)-C11</f>
        <v>57</v>
      </c>
      <c r="R11" s="42">
        <f t="shared" si="5"/>
        <v>126</v>
      </c>
      <c r="S11" s="30">
        <f t="shared" si="6"/>
        <v>4939704</v>
      </c>
      <c r="T11" s="30">
        <f t="shared" si="7"/>
        <v>1461240</v>
      </c>
      <c r="U11" s="31">
        <f t="shared" si="8"/>
        <v>3.3804878048780487</v>
      </c>
    </row>
    <row r="12" spans="2:21" ht="18" customHeight="1">
      <c r="B12" s="32" t="str">
        <f>'Data Entry'!A12</f>
        <v>7. Cases Resulting in Delinquent Findings</v>
      </c>
      <c r="C12" s="33">
        <f>'Data Entry'!C12</f>
        <v>62</v>
      </c>
      <c r="D12" s="34">
        <f>IF(((AND(C69&gt;0,C12&gt;0))),(C12/(C69)),0)</f>
        <v>93.939393939393938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62</v>
      </c>
      <c r="Q12" s="42">
        <f>(C69*L69)-C12</f>
        <v>4</v>
      </c>
      <c r="R12" s="42">
        <f t="shared" si="5"/>
        <v>66</v>
      </c>
      <c r="S12" s="30">
        <f t="shared" si="6"/>
        <v>0</v>
      </c>
      <c r="T12" s="30">
        <f t="shared" si="7"/>
        <v>0</v>
      </c>
      <c r="U12" s="31" t="str">
        <f t="shared" si="8"/>
        <v>- -</v>
      </c>
    </row>
    <row r="13" spans="2:21" ht="18" customHeight="1">
      <c r="B13" s="32" t="str">
        <f>'Data Entry'!A13</f>
        <v>8. Cases Resulting in Probation Placement</v>
      </c>
      <c r="C13" s="33">
        <f>'Data Entry'!C13</f>
        <v>61</v>
      </c>
      <c r="D13" s="34">
        <f>IF(((AND(C70&gt;0,C13&gt;0))),(C13/(C70)),0)</f>
        <v>98.387096774193552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61</v>
      </c>
      <c r="Q13" s="42">
        <f>(C70*L70)-C13</f>
        <v>1</v>
      </c>
      <c r="R13" s="42">
        <f t="shared" si="5"/>
        <v>62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3.2258064516129035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60</v>
      </c>
      <c r="R14" s="42">
        <f t="shared" si="5"/>
        <v>62</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1.5151515151515151</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65</v>
      </c>
      <c r="R15" s="42">
        <f t="shared" si="5"/>
        <v>66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14.807</v>
      </c>
      <c r="D42" s="56">
        <f>E6/1000</f>
        <v>0.13900000000000001</v>
      </c>
      <c r="E42" s="56">
        <f>MAX(C42:D42)</f>
        <v>14.807</v>
      </c>
      <c r="G42" s="1" t="str">
        <f>B42</f>
        <v>per 1000 youth</v>
      </c>
      <c r="L42" s="57">
        <v>1000</v>
      </c>
      <c r="M42" s="57"/>
      <c r="R42" s="49"/>
    </row>
    <row r="43" spans="2:18" ht="15" hidden="1" customHeight="1">
      <c r="B43" s="49" t="s">
        <v>87</v>
      </c>
      <c r="C43" s="56">
        <f>C7/100</f>
        <v>0.38</v>
      </c>
      <c r="D43" s="56">
        <f>E7/100</f>
        <v>0.01</v>
      </c>
      <c r="E43" s="56">
        <f>MAX(C43:D43,0)</f>
        <v>0.38</v>
      </c>
      <c r="G43" s="1" t="str">
        <f>B43</f>
        <v>per 100 arrests</v>
      </c>
      <c r="L43" s="57">
        <v>100</v>
      </c>
      <c r="M43" s="57"/>
      <c r="R43" s="49"/>
    </row>
    <row r="44" spans="2:18" ht="15" hidden="1" customHeight="1">
      <c r="B44" s="49" t="s">
        <v>88</v>
      </c>
      <c r="C44" s="56">
        <f>C8/100</f>
        <v>1.23</v>
      </c>
      <c r="D44" s="56">
        <f>E8/100</f>
        <v>0.03</v>
      </c>
      <c r="E44" s="56">
        <f>MAX(C44:D44,0)</f>
        <v>1.23</v>
      </c>
      <c r="G44" s="1" t="str">
        <f>B44</f>
        <v>per 100 referrals</v>
      </c>
      <c r="L44" s="57">
        <v>100</v>
      </c>
      <c r="M44" s="57"/>
      <c r="R44" s="49"/>
    </row>
    <row r="45" spans="2:18" ht="15" hidden="1" customHeight="1">
      <c r="B45" s="49" t="s">
        <v>89</v>
      </c>
      <c r="C45" s="49">
        <f>C11/100</f>
        <v>0.66</v>
      </c>
      <c r="D45" s="49">
        <f>E11/100</f>
        <v>0</v>
      </c>
      <c r="E45" s="56">
        <f>MAX(C45:D45,0)</f>
        <v>0.66</v>
      </c>
      <c r="G45" s="1" t="str">
        <f>B45</f>
        <v>per 100 youth petitioned</v>
      </c>
      <c r="L45" s="57">
        <v>100</v>
      </c>
      <c r="M45" s="57"/>
      <c r="R45" s="49"/>
    </row>
    <row r="46" spans="2:18" ht="15" hidden="1" customHeight="1">
      <c r="B46" s="49" t="s">
        <v>90</v>
      </c>
      <c r="C46" s="49">
        <f>C12/100</f>
        <v>0.62</v>
      </c>
      <c r="D46" s="49">
        <f>E12/100</f>
        <v>0</v>
      </c>
      <c r="E46" s="56">
        <f>MAX(C46:D46)</f>
        <v>0.62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14.807</v>
      </c>
      <c r="D48" s="56">
        <f>D42</f>
        <v>0.13900000000000001</v>
      </c>
      <c r="E48" s="56">
        <f>MAX(C48:D48)</f>
        <v>14.807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0.01</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0.03</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0.66</v>
      </c>
      <c r="D51" s="49">
        <f>IF(($E45&gt;0),D45,D44)</f>
        <v>0</v>
      </c>
      <c r="E51" s="49">
        <f>MAX(C51:D51)</f>
        <v>0.66</v>
      </c>
      <c r="G51" s="1" t="str">
        <f>G45</f>
        <v>per 100 youth petitioned</v>
      </c>
      <c r="L51" s="58">
        <f>IF(($E45&gt;0),L45,L44)</f>
        <v>100</v>
      </c>
      <c r="M51" s="58"/>
    </row>
    <row r="52" spans="2:18" ht="15" hidden="1" customHeight="1">
      <c r="B52" s="49" t="str">
        <f>IF(($E46&gt;0),B46,B45)</f>
        <v>per 100 youth found delinquent</v>
      </c>
      <c r="C52" s="49">
        <f>IF(($E46&gt;0),C46,C45)</f>
        <v>0.62</v>
      </c>
      <c r="D52" s="49">
        <f>IF(($E46&gt;0),D46,D45)</f>
        <v>0</v>
      </c>
      <c r="E52" s="56">
        <f>MAX(C52:D52)</f>
        <v>0.62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14.807</v>
      </c>
      <c r="D54" s="56">
        <f>D48</f>
        <v>0.13900000000000001</v>
      </c>
      <c r="E54" s="56">
        <f>MAX(C54:D54)</f>
        <v>14.807</v>
      </c>
      <c r="G54" s="1" t="str">
        <f>G48</f>
        <v>per 1000 youth</v>
      </c>
      <c r="L54" s="58">
        <f>L48</f>
        <v>1000</v>
      </c>
      <c r="M54" s="58"/>
    </row>
    <row r="55" spans="2:18" ht="15" hidden="1" customHeight="1">
      <c r="B55" s="49" t="str">
        <f t="shared" ref="B55:D56" si="10">IF(($E49&gt;0),B49,B48)</f>
        <v>per 100 arrests</v>
      </c>
      <c r="C55" s="49">
        <f t="shared" si="10"/>
        <v>0.38</v>
      </c>
      <c r="D55" s="49">
        <f t="shared" si="10"/>
        <v>0.01</v>
      </c>
      <c r="E55" s="49">
        <f>MAX(C55:D55)</f>
        <v>0.38</v>
      </c>
      <c r="G55" s="1" t="str">
        <f>G49</f>
        <v>per 100 arrests</v>
      </c>
      <c r="L55" s="58">
        <f>IF(($E49&gt;0),L49,L48)</f>
        <v>100</v>
      </c>
      <c r="M55" s="58"/>
    </row>
    <row r="56" spans="2:18" ht="15" hidden="1" customHeight="1">
      <c r="B56" s="49" t="str">
        <f t="shared" si="10"/>
        <v>per 100 referrals</v>
      </c>
      <c r="C56" s="49">
        <f t="shared" si="10"/>
        <v>1.23</v>
      </c>
      <c r="D56" s="49">
        <f t="shared" si="10"/>
        <v>0.03</v>
      </c>
      <c r="E56" s="49">
        <f>MAX(C56:D56)</f>
        <v>1.23</v>
      </c>
      <c r="G56" s="1" t="str">
        <f>G50</f>
        <v>per 100 referrals</v>
      </c>
      <c r="L56" s="58">
        <f>IF(($E50&gt;0),L50,L49)</f>
        <v>100</v>
      </c>
      <c r="M56" s="58"/>
    </row>
    <row r="57" spans="2:18" ht="15" hidden="1" customHeight="1">
      <c r="B57" s="49" t="str">
        <f>IF(($E51&gt;0),B51,B49)</f>
        <v>per 100 youth petitioned</v>
      </c>
      <c r="C57" s="49">
        <f>IF(($E51&gt;0),C51,C50)</f>
        <v>0.66</v>
      </c>
      <c r="D57" s="49">
        <f>IF(($E51&gt;0),D51,D50)</f>
        <v>0</v>
      </c>
      <c r="E57" s="49">
        <f>MAX(C57:D57)</f>
        <v>0.66</v>
      </c>
      <c r="G57" s="1" t="str">
        <f>G51</f>
        <v>per 100 youth petitioned</v>
      </c>
      <c r="L57" s="58">
        <f>IF(($E51&gt;0),L51,L50)</f>
        <v>100</v>
      </c>
      <c r="M57" s="58"/>
    </row>
    <row r="58" spans="2:18" ht="15" hidden="1" customHeight="1">
      <c r="B58" s="49" t="str">
        <f>IF(($E52&gt;0),B52,B51)</f>
        <v>per 100 youth found delinquent</v>
      </c>
      <c r="C58" s="49">
        <f>IF(($E52&gt;0),C52,C51)</f>
        <v>0.62</v>
      </c>
      <c r="D58" s="49">
        <f>IF(($E52&gt;0),D52,D51)</f>
        <v>0</v>
      </c>
      <c r="E58" s="56">
        <f>MAX(C58:D58)</f>
        <v>0.62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14.807</v>
      </c>
      <c r="D60" s="56">
        <f>D54</f>
        <v>0.13900000000000001</v>
      </c>
      <c r="E60" s="56">
        <f>MAX(C60:D60)</f>
        <v>14.807</v>
      </c>
      <c r="G60" s="1" t="str">
        <f>G54</f>
        <v>per 1000 youth</v>
      </c>
      <c r="L60" s="58">
        <f>L54</f>
        <v>1000</v>
      </c>
      <c r="M60" s="58"/>
    </row>
    <row r="61" spans="2:18" ht="15" hidden="1" customHeight="1">
      <c r="B61" s="49" t="str">
        <f t="shared" ref="B61:D62" si="11">IF(($E55&gt;0),B55,B54)</f>
        <v>per 100 arrests</v>
      </c>
      <c r="C61" s="49">
        <f t="shared" si="11"/>
        <v>0.38</v>
      </c>
      <c r="D61" s="49">
        <f t="shared" si="11"/>
        <v>0.01</v>
      </c>
      <c r="E61" s="49">
        <f>MAX(C61:D61)</f>
        <v>0.38</v>
      </c>
      <c r="G61" s="1" t="str">
        <f>G55</f>
        <v>per 100 arrests</v>
      </c>
      <c r="L61" s="58">
        <f>IF(($E55&gt;0),L55,L54)</f>
        <v>100</v>
      </c>
      <c r="M61" s="58"/>
    </row>
    <row r="62" spans="2:18" ht="15" hidden="1" customHeight="1">
      <c r="B62" s="49" t="str">
        <f t="shared" si="11"/>
        <v>per 100 referrals</v>
      </c>
      <c r="C62" s="49">
        <f t="shared" si="11"/>
        <v>1.23</v>
      </c>
      <c r="D62" s="49">
        <f t="shared" si="11"/>
        <v>0.03</v>
      </c>
      <c r="E62" s="49">
        <f>MAX(C62:D62)</f>
        <v>1.23</v>
      </c>
      <c r="G62" s="1" t="str">
        <f>G56</f>
        <v>per 100 referrals</v>
      </c>
      <c r="L62" s="58">
        <f>IF(($E56&gt;0),L56,L55)</f>
        <v>100</v>
      </c>
      <c r="M62" s="58"/>
    </row>
    <row r="63" spans="2:18" ht="15" hidden="1" customHeight="1">
      <c r="B63" s="49" t="str">
        <f>IF(($E57&gt;0),B57,B55)</f>
        <v>per 100 youth petitioned</v>
      </c>
      <c r="C63" s="49">
        <f>IF(($E57&gt;0),C57,C56)</f>
        <v>0.66</v>
      </c>
      <c r="D63" s="49">
        <f>IF(($E57&gt;0),D57,D56)</f>
        <v>0</v>
      </c>
      <c r="E63" s="49">
        <f>MAX(C63:D63)</f>
        <v>0.66</v>
      </c>
      <c r="G63" s="1" t="str">
        <f>G57</f>
        <v>per 100 youth petitioned</v>
      </c>
      <c r="L63" s="58">
        <f>IF(($E57&gt;0),L57,L56)</f>
        <v>100</v>
      </c>
      <c r="M63" s="58"/>
    </row>
    <row r="64" spans="2:18" ht="15" hidden="1" customHeight="1">
      <c r="B64" s="49" t="str">
        <f>IF(($E58&gt;0),B58,B57)</f>
        <v>per 100 youth found delinquent</v>
      </c>
      <c r="C64" s="49">
        <f>IF(($E58&gt;0),C58,C57)</f>
        <v>0.62</v>
      </c>
      <c r="D64" s="49">
        <f>IF(($E58&gt;0),D58,D57)</f>
        <v>0</v>
      </c>
      <c r="E64" s="56">
        <f>MAX(C64:D64)</f>
        <v>0.62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14.807</v>
      </c>
      <c r="D66" s="56">
        <f>D60</f>
        <v>0.13900000000000001</v>
      </c>
      <c r="E66" s="56">
        <f>MAX(C66:D66)</f>
        <v>14.807</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0.01</v>
      </c>
      <c r="E67" s="49">
        <f>MAX(C67:D67)</f>
        <v>0.38</v>
      </c>
      <c r="G67" s="1" t="str">
        <f>G61</f>
        <v>per 100 arrests</v>
      </c>
      <c r="L67" s="58">
        <f>IF(($E61&gt;0),L61,L60)</f>
        <v>100</v>
      </c>
      <c r="M67" s="58">
        <f>IF((B67=G67),1,2)</f>
        <v>1</v>
      </c>
    </row>
    <row r="68" spans="2:13" ht="15" hidden="1" customHeight="1">
      <c r="B68" s="49" t="str">
        <f t="shared" si="12"/>
        <v>per 100 referrals</v>
      </c>
      <c r="C68" s="49">
        <f t="shared" si="12"/>
        <v>1.23</v>
      </c>
      <c r="D68" s="49">
        <f t="shared" si="12"/>
        <v>0.03</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0.66</v>
      </c>
      <c r="D69" s="49">
        <f>IF(($E63&gt;0),D63,D62)</f>
        <v>0</v>
      </c>
      <c r="E69" s="49">
        <f>MAX(C69:D69)</f>
        <v>0.66</v>
      </c>
      <c r="G69" s="1" t="str">
        <f>G63</f>
        <v>per 100 youth petitioned</v>
      </c>
      <c r="L69" s="58">
        <f>IF(($E63&gt;0),L63,L62)</f>
        <v>100</v>
      </c>
      <c r="M69" s="58">
        <f>IF((B69=G69),1,2)</f>
        <v>1</v>
      </c>
    </row>
    <row r="70" spans="2:13" ht="15" hidden="1" customHeight="1">
      <c r="B70" s="49" t="str">
        <f>IF(($E64&gt;0),B64,B63)</f>
        <v>per 100 youth found delinquent</v>
      </c>
      <c r="C70" s="49">
        <f>IF(($E64&gt;0),C64,C63)</f>
        <v>0.62</v>
      </c>
      <c r="D70" s="49">
        <f>IF(($E64&gt;0),D64,D63)</f>
        <v>0</v>
      </c>
      <c r="E70" s="56">
        <f>MAX(C70:D70)</f>
        <v>0.62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U47JMPN4QEAR-1806752177-35351</_dlc_DocId>
    <_dlc_DocIdUrl xmlns="ac3811b5-0f3e-49e2-ba69-f2ffa0c782af">
      <Url>https://michiganphi.sharepoint.com/sites/CMDMC/_layouts/15/DocIdRedir.aspx?ID=U47JMPN4QEAR-1806752177-35351</Url>
      <Description>U47JMPN4QEAR-1806752177-35351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A657AB2-6274-4B15-99D0-A9EBF2AE3C40}">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65C35DF8-276B-4040-8996-DD390D633C7A}"/>
</file>

<file path=customXml/itemProps3.xml><?xml version="1.0" encoding="utf-8"?>
<ds:datastoreItem xmlns:ds="http://schemas.openxmlformats.org/officeDocument/2006/customXml" ds:itemID="{AA59307C-F5A6-4DCB-A1D0-26078A39B494}">
  <ds:schemaRefs>
    <ds:schemaRef ds:uri="http://schemas.microsoft.com/sharepoint/v3/contenttype/forms"/>
  </ds:schemaRefs>
</ds:datastoreItem>
</file>

<file path=customXml/itemProps4.xml><?xml version="1.0" encoding="utf-8"?>
<ds:datastoreItem xmlns:ds="http://schemas.openxmlformats.org/officeDocument/2006/customXml" ds:itemID="{A8BCB2D7-F3F6-4AB4-8C36-C0C2992854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7d580826-b3ec-4efe-86b5-8debbd925765</vt:lpwstr>
  </property>
</Properties>
</file>