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mc:AlternateContent xmlns:mc="http://schemas.openxmlformats.org/markup-compatibility/2006">
    <mc:Choice Requires="x15">
      <x15ac:absPath xmlns:x15ac="http://schemas.microsoft.com/office/spreadsheetml/2010/11/ac" url="https://michiganphi.sharepoint.com/sites/CMDMC/Shared Documents/DMC/2022 Matrices/"/>
    </mc:Choice>
  </mc:AlternateContent>
  <xr:revisionPtr revIDLastSave="44" documentId="8_{54EFB5F8-5B63-4384-A7C8-61E28CC61B96}" xr6:coauthVersionLast="47" xr6:coauthVersionMax="47" xr10:uidLastSave="{E951D6F9-2C9E-4FF8-863D-2DF8782A46B6}"/>
  <bookViews>
    <workbookView xWindow="-120" yWindow="-120" windowWidth="29040" windowHeight="15720" tabRatio="674" activeTab="2"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 l="1"/>
  <c r="B9" i="1"/>
  <c r="B10" i="1"/>
  <c r="B11" i="1"/>
  <c r="B12" i="1"/>
  <c r="B13" i="1"/>
  <c r="B14" i="1"/>
  <c r="B15" i="1"/>
  <c r="B7" i="1"/>
  <c r="B7" i="13" l="1"/>
  <c r="H4" i="16"/>
  <c r="B4" i="16" l="1"/>
  <c r="B7" i="16" l="1"/>
  <c r="B6" i="17"/>
  <c r="H7" i="16" l="1"/>
  <c r="F7" i="16"/>
  <c r="D7" i="16"/>
  <c r="C7" i="16"/>
  <c r="N7" i="13"/>
  <c r="L7" i="13"/>
  <c r="J7" i="13"/>
  <c r="H7" i="13"/>
  <c r="F7" i="13"/>
  <c r="D7" i="13"/>
  <c r="C7" i="13"/>
  <c r="A5" i="17" l="1"/>
  <c r="A6" i="17" s="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9" i="2" s="1"/>
  <c r="G55" i="2" s="1"/>
  <c r="G61" i="2" s="1"/>
  <c r="G67" i="2" s="1"/>
  <c r="G44" i="2"/>
  <c r="G50" i="2" s="1"/>
  <c r="G56" i="2" s="1"/>
  <c r="G62" i="2" s="1"/>
  <c r="G68" i="2" s="1"/>
  <c r="G45" i="2"/>
  <c r="G51" i="2" s="1"/>
  <c r="G57" i="2" s="1"/>
  <c r="G63" i="2" s="1"/>
  <c r="G69" i="2" s="1"/>
  <c r="G46" i="2"/>
  <c r="G52" i="2" s="1"/>
  <c r="G58" i="2" s="1"/>
  <c r="G64" i="2" s="1"/>
  <c r="G70" i="2" s="1"/>
  <c r="L48" i="2"/>
  <c r="L54" i="2" s="1"/>
  <c r="L60" i="2" s="1"/>
  <c r="L66" i="2" s="1"/>
  <c r="F1" i="3"/>
  <c r="E6" i="9" s="1"/>
  <c r="B2" i="3"/>
  <c r="B3" i="3"/>
  <c r="B6" i="3"/>
  <c r="B7" i="3"/>
  <c r="B8" i="3"/>
  <c r="B9" i="3"/>
  <c r="B10" i="3"/>
  <c r="B11" i="3"/>
  <c r="B12" i="3"/>
  <c r="B13" i="3"/>
  <c r="B14" i="3"/>
  <c r="B15" i="3"/>
  <c r="B48" i="3"/>
  <c r="B54" i="3" s="1"/>
  <c r="B60" i="3" s="1"/>
  <c r="B66" i="3" s="1"/>
  <c r="J27" i="3"/>
  <c r="G42" i="3"/>
  <c r="G48" i="3" s="1"/>
  <c r="G54" i="3" s="1"/>
  <c r="G60" i="3" s="1"/>
  <c r="G66" i="3" s="1"/>
  <c r="G43" i="3"/>
  <c r="G49" i="3" s="1"/>
  <c r="G55" i="3" s="1"/>
  <c r="G61" i="3" s="1"/>
  <c r="G67" i="3" s="1"/>
  <c r="G44" i="3"/>
  <c r="G50" i="3" s="1"/>
  <c r="G56" i="3" s="1"/>
  <c r="G62" i="3" s="1"/>
  <c r="G68" i="3" s="1"/>
  <c r="G45" i="3"/>
  <c r="G51" i="3" s="1"/>
  <c r="G57" i="3" s="1"/>
  <c r="G63" i="3" s="1"/>
  <c r="G69" i="3" s="1"/>
  <c r="G46" i="3"/>
  <c r="G52" i="3" s="1"/>
  <c r="G58" i="3" s="1"/>
  <c r="G64" i="3" s="1"/>
  <c r="G70" i="3" s="1"/>
  <c r="L48" i="3"/>
  <c r="L54" i="3" s="1"/>
  <c r="L60" i="3" s="1"/>
  <c r="L66" i="3" s="1"/>
  <c r="F1" i="4"/>
  <c r="D6" i="9" s="1"/>
  <c r="B2" i="4"/>
  <c r="B3" i="4"/>
  <c r="B6" i="4"/>
  <c r="B7" i="4"/>
  <c r="B8" i="4"/>
  <c r="B9" i="4"/>
  <c r="E9" i="4"/>
  <c r="N9" i="4" s="1"/>
  <c r="B10" i="4"/>
  <c r="B11" i="4"/>
  <c r="B12" i="4"/>
  <c r="B13" i="4"/>
  <c r="B14" i="4"/>
  <c r="B15" i="4"/>
  <c r="B48" i="4"/>
  <c r="B54" i="4" s="1"/>
  <c r="B60" i="4" s="1"/>
  <c r="B66" i="4" s="1"/>
  <c r="J27" i="4"/>
  <c r="G42" i="4"/>
  <c r="G48" i="4" s="1"/>
  <c r="G54" i="4" s="1"/>
  <c r="G60" i="4" s="1"/>
  <c r="G66" i="4" s="1"/>
  <c r="G43" i="4"/>
  <c r="G49" i="4" s="1"/>
  <c r="G55" i="4" s="1"/>
  <c r="G61" i="4" s="1"/>
  <c r="G67" i="4" s="1"/>
  <c r="G44" i="4"/>
  <c r="G50" i="4" s="1"/>
  <c r="G56" i="4" s="1"/>
  <c r="G62" i="4" s="1"/>
  <c r="G68" i="4" s="1"/>
  <c r="G45" i="4"/>
  <c r="G51" i="4" s="1"/>
  <c r="G57" i="4" s="1"/>
  <c r="G63" i="4" s="1"/>
  <c r="G69" i="4" s="1"/>
  <c r="G46" i="4"/>
  <c r="G52" i="4" s="1"/>
  <c r="G58" i="4" s="1"/>
  <c r="G64" i="4" s="1"/>
  <c r="G70" i="4" s="1"/>
  <c r="L48" i="4"/>
  <c r="L54" i="4" s="1"/>
  <c r="L60" i="4" s="1"/>
  <c r="L66" i="4" s="1"/>
  <c r="F1" i="5"/>
  <c r="J5" i="13" s="1"/>
  <c r="B2" i="5"/>
  <c r="B3" i="5"/>
  <c r="B6" i="5"/>
  <c r="B7" i="5"/>
  <c r="B8" i="5"/>
  <c r="B9" i="5"/>
  <c r="B10" i="5"/>
  <c r="B11" i="5"/>
  <c r="B12" i="5"/>
  <c r="B13" i="5"/>
  <c r="B14" i="5"/>
  <c r="B15" i="5"/>
  <c r="B48" i="5"/>
  <c r="B54" i="5" s="1"/>
  <c r="B60" i="5" s="1"/>
  <c r="B66" i="5" s="1"/>
  <c r="J27" i="5"/>
  <c r="G42" i="5"/>
  <c r="G48" i="5" s="1"/>
  <c r="G54" i="5" s="1"/>
  <c r="G60" i="5" s="1"/>
  <c r="G66" i="5" s="1"/>
  <c r="G43" i="5"/>
  <c r="G49" i="5" s="1"/>
  <c r="G55" i="5" s="1"/>
  <c r="G61" i="5" s="1"/>
  <c r="G67" i="5" s="1"/>
  <c r="G44" i="5"/>
  <c r="G50" i="5" s="1"/>
  <c r="G56" i="5" s="1"/>
  <c r="G62" i="5" s="1"/>
  <c r="G68" i="5" s="1"/>
  <c r="G45" i="5"/>
  <c r="G51" i="5" s="1"/>
  <c r="G57" i="5" s="1"/>
  <c r="G63" i="5" s="1"/>
  <c r="G69" i="5" s="1"/>
  <c r="G46" i="5"/>
  <c r="G52" i="5" s="1"/>
  <c r="G58" i="5" s="1"/>
  <c r="G64" i="5" s="1"/>
  <c r="G70" i="5" s="1"/>
  <c r="L48" i="5"/>
  <c r="L54" i="5" s="1"/>
  <c r="L60" i="5" s="1"/>
  <c r="L66" i="5" s="1"/>
  <c r="F1" i="6"/>
  <c r="B2" i="6"/>
  <c r="B3" i="6"/>
  <c r="B6" i="6"/>
  <c r="B7" i="6"/>
  <c r="B8" i="6"/>
  <c r="B9" i="6"/>
  <c r="B10" i="6"/>
  <c r="B11" i="6"/>
  <c r="B12" i="6"/>
  <c r="B13" i="6"/>
  <c r="B14" i="6"/>
  <c r="B15" i="6"/>
  <c r="B48" i="6"/>
  <c r="B54" i="6" s="1"/>
  <c r="B60" i="6" s="1"/>
  <c r="B66" i="6" s="1"/>
  <c r="J27" i="6"/>
  <c r="G42" i="6"/>
  <c r="G48" i="6" s="1"/>
  <c r="G54" i="6" s="1"/>
  <c r="G60" i="6" s="1"/>
  <c r="G66" i="6" s="1"/>
  <c r="G43" i="6"/>
  <c r="G49" i="6" s="1"/>
  <c r="G55" i="6" s="1"/>
  <c r="G61" i="6" s="1"/>
  <c r="G67" i="6" s="1"/>
  <c r="G44" i="6"/>
  <c r="G50" i="6" s="1"/>
  <c r="G56" i="6" s="1"/>
  <c r="G62" i="6" s="1"/>
  <c r="G68" i="6" s="1"/>
  <c r="G45" i="6"/>
  <c r="G51" i="6" s="1"/>
  <c r="G57" i="6" s="1"/>
  <c r="G63" i="6" s="1"/>
  <c r="G69" i="6" s="1"/>
  <c r="G46" i="6"/>
  <c r="G52" i="6" s="1"/>
  <c r="G58" i="6" s="1"/>
  <c r="G64" i="6" s="1"/>
  <c r="G70" i="6" s="1"/>
  <c r="L48" i="6"/>
  <c r="L54" i="6" s="1"/>
  <c r="L60" i="6" s="1"/>
  <c r="L66"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50" i="7" s="1"/>
  <c r="G56" i="7" s="1"/>
  <c r="G62" i="7" s="1"/>
  <c r="G68" i="7" s="1"/>
  <c r="G45" i="7"/>
  <c r="G51" i="7" s="1"/>
  <c r="G57" i="7" s="1"/>
  <c r="G63" i="7" s="1"/>
  <c r="G69" i="7" s="1"/>
  <c r="G46" i="7"/>
  <c r="G52" i="7" s="1"/>
  <c r="G58" i="7" s="1"/>
  <c r="G64" i="7" s="1"/>
  <c r="G70" i="7" s="1"/>
  <c r="L48" i="7"/>
  <c r="L54" i="7" s="1"/>
  <c r="L60" i="7" s="1"/>
  <c r="L66" i="7" s="1"/>
  <c r="F1" i="8"/>
  <c r="B2" i="8"/>
  <c r="B3" i="8"/>
  <c r="B6" i="8"/>
  <c r="B7" i="8"/>
  <c r="B8" i="8"/>
  <c r="B9" i="8"/>
  <c r="B10" i="8"/>
  <c r="B11" i="8"/>
  <c r="B12" i="8"/>
  <c r="B13" i="8"/>
  <c r="B14" i="8"/>
  <c r="B15" i="8"/>
  <c r="B48" i="8"/>
  <c r="B54" i="8" s="1"/>
  <c r="B60" i="8" s="1"/>
  <c r="B66" i="8" s="1"/>
  <c r="J27" i="8"/>
  <c r="G42" i="8"/>
  <c r="G48" i="8" s="1"/>
  <c r="G54" i="8" s="1"/>
  <c r="G60" i="8" s="1"/>
  <c r="G66" i="8" s="1"/>
  <c r="G43" i="8"/>
  <c r="G49" i="8" s="1"/>
  <c r="G55" i="8" s="1"/>
  <c r="G61" i="8" s="1"/>
  <c r="G67" i="8" s="1"/>
  <c r="G44" i="8"/>
  <c r="G50" i="8" s="1"/>
  <c r="G56" i="8" s="1"/>
  <c r="G62" i="8" s="1"/>
  <c r="G68" i="8" s="1"/>
  <c r="G45" i="8"/>
  <c r="G51" i="8" s="1"/>
  <c r="G57" i="8" s="1"/>
  <c r="G63" i="8" s="1"/>
  <c r="G69" i="8" s="1"/>
  <c r="G46" i="8"/>
  <c r="G52" i="8" s="1"/>
  <c r="G58" i="8" s="1"/>
  <c r="G64" i="8" s="1"/>
  <c r="G70" i="8" s="1"/>
  <c r="L48" i="8"/>
  <c r="L54" i="8" s="1"/>
  <c r="L60" i="8" s="1"/>
  <c r="L66" i="8" s="1"/>
  <c r="E3" i="9"/>
  <c r="B4" i="9"/>
  <c r="E4" i="9"/>
  <c r="B5"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4"/>
  <c r="M66" i="4"/>
  <c r="F27" i="2"/>
  <c r="M66" i="2"/>
  <c r="F27" i="5"/>
  <c r="M66" i="5"/>
  <c r="F27" i="8"/>
  <c r="M66" i="8"/>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O25" i="5" s="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7" l="1"/>
  <c r="L52" i="7" s="1"/>
  <c r="E43" i="7"/>
  <c r="L49" i="7" s="1"/>
  <c r="E43" i="6"/>
  <c r="C49" i="6" s="1"/>
  <c r="E46" i="3"/>
  <c r="L52" i="3" s="1"/>
  <c r="E44" i="6"/>
  <c r="D50" i="6"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C45" i="6"/>
  <c r="E45" i="6" s="1"/>
  <c r="P11" i="6"/>
  <c r="P11" i="8"/>
  <c r="C45" i="8"/>
  <c r="L52" i="5"/>
  <c r="B52" i="5"/>
  <c r="D52" i="5"/>
  <c r="C48" i="6"/>
  <c r="E42" i="6"/>
  <c r="R7" i="6"/>
  <c r="S7" i="6" s="1"/>
  <c r="D21" i="10"/>
  <c r="C4" i="10"/>
  <c r="C7" i="10"/>
  <c r="C5" i="10"/>
  <c r="C10" i="10"/>
  <c r="C11" i="10"/>
  <c r="C6" i="10"/>
  <c r="C9" i="10"/>
  <c r="C12" i="10"/>
  <c r="C8" i="10"/>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E19" i="10"/>
  <c r="F25" i="10"/>
  <c r="C45" i="3"/>
  <c r="E45" i="3" s="1"/>
  <c r="P11" i="3"/>
  <c r="C45" i="2"/>
  <c r="P11" i="2"/>
  <c r="G8" i="5"/>
  <c r="G14" i="5"/>
  <c r="G11" i="5"/>
  <c r="G7" i="5"/>
  <c r="G12" i="5"/>
  <c r="G10" i="5"/>
  <c r="G13" i="5"/>
  <c r="G9" i="5"/>
  <c r="G15" i="5"/>
  <c r="O25" i="2"/>
  <c r="C49" i="3"/>
  <c r="D49" i="3"/>
  <c r="L49" i="3"/>
  <c r="B49" i="3"/>
  <c r="E46" i="2"/>
  <c r="D52" i="4"/>
  <c r="L52" i="4"/>
  <c r="B52" i="4"/>
  <c r="D23" i="10"/>
  <c r="C48" i="7"/>
  <c r="E42" i="7"/>
  <c r="C54" i="8"/>
  <c r="E48" i="8"/>
  <c r="H26" i="10"/>
  <c r="D26" i="10"/>
  <c r="I26" i="10"/>
  <c r="C26" i="10"/>
  <c r="E20" i="10"/>
  <c r="C20" i="10"/>
  <c r="G20" i="10"/>
  <c r="H20" i="10"/>
  <c r="D20" i="10"/>
  <c r="G23" i="10"/>
  <c r="G19" i="10"/>
  <c r="E44" i="7"/>
  <c r="H23" i="10"/>
  <c r="E22" i="10"/>
  <c r="E25" i="10"/>
  <c r="F20" i="10"/>
  <c r="B49" i="6" l="1"/>
  <c r="D49" i="7"/>
  <c r="D49" i="6"/>
  <c r="E49" i="6" s="1"/>
  <c r="L49" i="6"/>
  <c r="B50" i="6"/>
  <c r="B49" i="7"/>
  <c r="C49" i="7"/>
  <c r="C50" i="6"/>
  <c r="E50" i="6" s="1"/>
  <c r="D52" i="7"/>
  <c r="B52" i="7"/>
  <c r="L50" i="6"/>
  <c r="D52" i="3"/>
  <c r="B52" i="3"/>
  <c r="D50" i="5"/>
  <c r="E50" i="5" s="1"/>
  <c r="L56" i="5" s="1"/>
  <c r="E45" i="2"/>
  <c r="C51" i="2" s="1"/>
  <c r="D52" i="8"/>
  <c r="C52" i="6"/>
  <c r="E52" i="6" s="1"/>
  <c r="C52" i="7"/>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C54" i="7"/>
  <c r="E48" i="7"/>
  <c r="E48" i="5"/>
  <c r="C54" i="5"/>
  <c r="C54" i="6"/>
  <c r="E48" i="6"/>
  <c r="B51" i="6"/>
  <c r="D51" i="6"/>
  <c r="C51" i="6"/>
  <c r="L51" i="6"/>
  <c r="L51" i="2" l="1"/>
  <c r="E49" i="7"/>
  <c r="E52" i="7"/>
  <c r="L58" i="7" s="1"/>
  <c r="E52" i="3"/>
  <c r="D58" i="3" s="1"/>
  <c r="D51" i="2"/>
  <c r="E51" i="2" s="1"/>
  <c r="E49" i="5"/>
  <c r="C55" i="5" s="1"/>
  <c r="R7" i="8"/>
  <c r="S7" i="8" s="1"/>
  <c r="C58" i="5"/>
  <c r="B51" i="2"/>
  <c r="D51" i="8"/>
  <c r="E52" i="8"/>
  <c r="T7" i="8"/>
  <c r="D49" i="8"/>
  <c r="D50" i="8"/>
  <c r="L50" i="8"/>
  <c r="L7" i="5"/>
  <c r="Q8" i="16" s="1"/>
  <c r="K7" i="8"/>
  <c r="B49" i="8"/>
  <c r="C49" i="8"/>
  <c r="C50" i="8"/>
  <c r="M7" i="6"/>
  <c r="G7" i="6" s="1"/>
  <c r="G7" i="9" s="1"/>
  <c r="D55" i="4"/>
  <c r="E55" i="4" s="1"/>
  <c r="L7" i="7"/>
  <c r="Q7" i="9" s="1"/>
  <c r="C58" i="4"/>
  <c r="L7" i="3"/>
  <c r="P8" i="16" s="1"/>
  <c r="B51" i="8"/>
  <c r="L7" i="4"/>
  <c r="O8" i="16" s="1"/>
  <c r="E50" i="2"/>
  <c r="D56" i="2" s="1"/>
  <c r="L55" i="3"/>
  <c r="C55" i="3"/>
  <c r="E55" i="3" s="1"/>
  <c r="L51" i="8"/>
  <c r="B58" i="4"/>
  <c r="B55" i="4"/>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B58" i="3" l="1"/>
  <c r="D58" i="7"/>
  <c r="B58" i="7"/>
  <c r="C58" i="3"/>
  <c r="E58" i="3" s="1"/>
  <c r="L58" i="3"/>
  <c r="D55" i="5"/>
  <c r="E55" i="5" s="1"/>
  <c r="D61" i="5" s="1"/>
  <c r="B55" i="5"/>
  <c r="L55" i="5"/>
  <c r="B58" i="8"/>
  <c r="L58" i="8"/>
  <c r="E58" i="5"/>
  <c r="C56" i="2"/>
  <c r="E56" i="2" s="1"/>
  <c r="D58" i="8"/>
  <c r="U7" i="8"/>
  <c r="J7" i="8" s="1"/>
  <c r="M7" i="8" s="1"/>
  <c r="E50" i="8"/>
  <c r="C56" i="8" s="1"/>
  <c r="E58" i="4"/>
  <c r="D64" i="4" s="1"/>
  <c r="E51" i="8"/>
  <c r="L57" i="8" s="1"/>
  <c r="E49" i="8"/>
  <c r="C55" i="8" s="1"/>
  <c r="L62" i="3"/>
  <c r="W8" i="13"/>
  <c r="O7" i="9"/>
  <c r="V8" i="13"/>
  <c r="M8" i="13"/>
  <c r="B56" i="2"/>
  <c r="L56" i="2"/>
  <c r="N7" i="9"/>
  <c r="U8" i="13"/>
  <c r="S8" i="16"/>
  <c r="Y8" i="13"/>
  <c r="D57" i="6"/>
  <c r="M7" i="9"/>
  <c r="T8" i="13"/>
  <c r="E56" i="5"/>
  <c r="C62" i="5" s="1"/>
  <c r="C57" i="4"/>
  <c r="E57" i="4" s="1"/>
  <c r="B57" i="4"/>
  <c r="C57" i="3"/>
  <c r="B57" i="7"/>
  <c r="L57" i="4"/>
  <c r="B57" i="6"/>
  <c r="C58" i="8"/>
  <c r="C57" i="6"/>
  <c r="L57" i="3"/>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B64" i="5" l="1"/>
  <c r="L64" i="5"/>
  <c r="C64" i="5"/>
  <c r="D64" i="5"/>
  <c r="E58" i="8"/>
  <c r="L64" i="8" s="1"/>
  <c r="L64" i="3"/>
  <c r="C57" i="8"/>
  <c r="B56" i="8"/>
  <c r="L56" i="8"/>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D64" i="8"/>
  <c r="C64" i="8"/>
  <c r="B64" i="8"/>
  <c r="I7" i="9"/>
  <c r="E57" i="8"/>
  <c r="B63" i="8" s="1"/>
  <c r="Q8" i="13"/>
  <c r="C63" i="3"/>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B63" i="5"/>
  <c r="L63" i="5"/>
  <c r="F8" i="5"/>
  <c r="L70" i="5" l="1"/>
  <c r="C70" i="5"/>
  <c r="D13" i="5" s="1"/>
  <c r="B70" i="5"/>
  <c r="F33" i="5" s="1"/>
  <c r="E64" i="8"/>
  <c r="C63" i="8"/>
  <c r="D63" i="8"/>
  <c r="L63" i="8"/>
  <c r="D70" i="6"/>
  <c r="F13" i="6" s="1"/>
  <c r="E63" i="3"/>
  <c r="C69" i="3" s="1"/>
  <c r="D12" i="3" s="1"/>
  <c r="C70" i="6"/>
  <c r="C70" i="3"/>
  <c r="D14" i="3" s="1"/>
  <c r="L70" i="6"/>
  <c r="L69" i="7"/>
  <c r="C69" i="7"/>
  <c r="D12" i="7" s="1"/>
  <c r="L70" i="3"/>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E64" i="2"/>
  <c r="L70" i="2" s="1"/>
  <c r="L67" i="6"/>
  <c r="F10" i="3"/>
  <c r="F11" i="3"/>
  <c r="F34" i="3"/>
  <c r="D67" i="6"/>
  <c r="F8" i="6" s="1"/>
  <c r="D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E70" i="5" l="1"/>
  <c r="M70" i="5"/>
  <c r="Q13" i="5"/>
  <c r="O14" i="5"/>
  <c r="O13" i="5"/>
  <c r="K13" i="5" s="1"/>
  <c r="Q14" i="5"/>
  <c r="L70" i="8"/>
  <c r="B70" i="8"/>
  <c r="M70" i="8" s="1"/>
  <c r="E63" i="8"/>
  <c r="D69" i="8" s="1"/>
  <c r="F15" i="8" s="1"/>
  <c r="C70" i="8"/>
  <c r="D70" i="8"/>
  <c r="F13" i="8" s="1"/>
  <c r="D15" i="3"/>
  <c r="E70" i="6"/>
  <c r="F14" i="6"/>
  <c r="O13" i="6"/>
  <c r="L69" i="3"/>
  <c r="Q12" i="3" s="1"/>
  <c r="D69" i="3"/>
  <c r="E69" i="3" s="1"/>
  <c r="Q13" i="3"/>
  <c r="B69" i="6"/>
  <c r="M69" i="6" s="1"/>
  <c r="O14" i="6"/>
  <c r="Q14" i="3"/>
  <c r="D13" i="3"/>
  <c r="O13" i="3"/>
  <c r="F14" i="3"/>
  <c r="Q14" i="6"/>
  <c r="Q13" i="6"/>
  <c r="D15" i="7"/>
  <c r="C69" i="6"/>
  <c r="D12" i="6" s="1"/>
  <c r="Q15" i="7"/>
  <c r="D13" i="6"/>
  <c r="B69" i="3"/>
  <c r="M69" i="3" s="1"/>
  <c r="D14" i="6"/>
  <c r="E69" i="7"/>
  <c r="Q12" i="7"/>
  <c r="F12" i="7"/>
  <c r="O12" i="7"/>
  <c r="O15" i="7"/>
  <c r="E70" i="3"/>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R10" i="3"/>
  <c r="S10" i="3" s="1"/>
  <c r="F8" i="2"/>
  <c r="T14" i="4"/>
  <c r="B70" i="2"/>
  <c r="F33" i="2" s="1"/>
  <c r="D69" i="5"/>
  <c r="O15" i="5" s="1"/>
  <c r="F34" i="7"/>
  <c r="M70" i="7"/>
  <c r="O13" i="7"/>
  <c r="K11" i="3"/>
  <c r="R11" i="3"/>
  <c r="S11" i="3" s="1"/>
  <c r="U11" i="3" s="1"/>
  <c r="J11" i="3" s="1"/>
  <c r="M11" i="3" s="1"/>
  <c r="L68" i="7"/>
  <c r="Q9" i="7" s="1"/>
  <c r="C69" i="5"/>
  <c r="Q12" i="5" s="1"/>
  <c r="B69" i="5"/>
  <c r="F32" i="5" s="1"/>
  <c r="D68" i="7"/>
  <c r="E68" i="7" s="1"/>
  <c r="B68" i="7"/>
  <c r="F31" i="7" s="1"/>
  <c r="K9" i="3"/>
  <c r="K10" i="3"/>
  <c r="R14" i="4"/>
  <c r="S14" i="4" s="1"/>
  <c r="D13" i="7"/>
  <c r="R9" i="3"/>
  <c r="S9" i="3" s="1"/>
  <c r="T9" i="3"/>
  <c r="C70" i="2"/>
  <c r="D14" i="2" s="1"/>
  <c r="D70" i="2"/>
  <c r="O14" i="2" s="1"/>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T13" i="5" l="1"/>
  <c r="R14" i="5"/>
  <c r="S14" i="5" s="1"/>
  <c r="U14" i="5" s="1"/>
  <c r="J14" i="5" s="1"/>
  <c r="M14" i="5" s="1"/>
  <c r="F34" i="8"/>
  <c r="F33" i="8"/>
  <c r="K14" i="5"/>
  <c r="T14" i="5"/>
  <c r="R13" i="5"/>
  <c r="S13" i="5" s="1"/>
  <c r="U13" i="5" s="1"/>
  <c r="J13" i="5" s="1"/>
  <c r="M13" i="5" s="1"/>
  <c r="O15" i="3"/>
  <c r="F12" i="8"/>
  <c r="Q14" i="8"/>
  <c r="C69" i="8"/>
  <c r="D12" i="8" s="1"/>
  <c r="L69" i="8"/>
  <c r="O15" i="8" s="1"/>
  <c r="Q13" i="8"/>
  <c r="B69" i="8"/>
  <c r="M69" i="8" s="1"/>
  <c r="D13" i="8"/>
  <c r="O14" i="8"/>
  <c r="D14" i="8"/>
  <c r="E70" i="8"/>
  <c r="O13" i="8"/>
  <c r="F14" i="8"/>
  <c r="T13" i="6"/>
  <c r="F15" i="3"/>
  <c r="F12" i="3"/>
  <c r="Q15" i="3"/>
  <c r="K15" i="3" s="1"/>
  <c r="O12" i="3"/>
  <c r="R12" i="3" s="1"/>
  <c r="S12" i="3" s="1"/>
  <c r="U13" i="4"/>
  <c r="J13" i="4" s="1"/>
  <c r="M13" i="4" s="1"/>
  <c r="G13" i="4" s="1"/>
  <c r="G14" i="16" s="1"/>
  <c r="F35" i="6"/>
  <c r="K15" i="7"/>
  <c r="R13" i="3"/>
  <c r="S13" i="3" s="1"/>
  <c r="F32" i="6"/>
  <c r="K13" i="3"/>
  <c r="R14" i="3"/>
  <c r="S14" i="3" s="1"/>
  <c r="T15" i="7"/>
  <c r="T13" i="3"/>
  <c r="U14" i="4"/>
  <c r="J14" i="4" s="1"/>
  <c r="M14" i="4" s="1"/>
  <c r="G14" i="4" s="1"/>
  <c r="G15" i="16" s="1"/>
  <c r="R15" i="7"/>
  <c r="S15" i="7" s="1"/>
  <c r="U15" i="7" s="1"/>
  <c r="J15" i="7" s="1"/>
  <c r="M15" i="7" s="1"/>
  <c r="R13" i="6"/>
  <c r="S13" i="6" s="1"/>
  <c r="U13" i="6" s="1"/>
  <c r="J13" i="6" s="1"/>
  <c r="M13" i="6" s="1"/>
  <c r="G13" i="6" s="1"/>
  <c r="G13" i="9" s="1"/>
  <c r="F32" i="3"/>
  <c r="R14" i="6"/>
  <c r="S14" i="6" s="1"/>
  <c r="F35" i="3"/>
  <c r="U9" i="4"/>
  <c r="J9" i="4" s="1"/>
  <c r="M9" i="4" s="1"/>
  <c r="G9" i="4" s="1"/>
  <c r="G10" i="16" s="1"/>
  <c r="T14" i="6"/>
  <c r="K14" i="6"/>
  <c r="K13" i="6"/>
  <c r="K12" i="7"/>
  <c r="D15" i="6"/>
  <c r="Q12" i="6"/>
  <c r="Q15" i="6"/>
  <c r="K14" i="3"/>
  <c r="T14" i="3"/>
  <c r="O12" i="6"/>
  <c r="R12" i="7"/>
  <c r="S12" i="7" s="1"/>
  <c r="U12" i="7" s="1"/>
  <c r="J12" i="7" s="1"/>
  <c r="M12" i="7" s="1"/>
  <c r="T12" i="7"/>
  <c r="E69" i="6"/>
  <c r="O15" i="6"/>
  <c r="U10" i="3"/>
  <c r="J10" i="3" s="1"/>
  <c r="M10" i="3" s="1"/>
  <c r="G10" i="3" s="1"/>
  <c r="I11" i="16" s="1"/>
  <c r="G11" i="3"/>
  <c r="E11" i="9" s="1"/>
  <c r="U10" i="4"/>
  <c r="J10" i="4" s="1"/>
  <c r="M10" i="4" s="1"/>
  <c r="G10" i="4" s="1"/>
  <c r="G11" i="16" s="1"/>
  <c r="F15" i="6"/>
  <c r="L11" i="4"/>
  <c r="O12" i="16" s="1"/>
  <c r="K8" i="7"/>
  <c r="O13" i="2"/>
  <c r="T8" i="7"/>
  <c r="U8" i="7" s="1"/>
  <c r="J8" i="7" s="1"/>
  <c r="M8" i="7" s="1"/>
  <c r="T13" i="7"/>
  <c r="Q10" i="7"/>
  <c r="F13" i="2"/>
  <c r="Q11" i="7"/>
  <c r="R8" i="6"/>
  <c r="S8" i="6" s="1"/>
  <c r="F14" i="2"/>
  <c r="F10" i="7"/>
  <c r="F30" i="7"/>
  <c r="M68" i="7"/>
  <c r="F29" i="7"/>
  <c r="F15" i="5"/>
  <c r="D15" i="8"/>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D13" i="2"/>
  <c r="E70" i="2"/>
  <c r="Q14" i="2"/>
  <c r="K14" i="2" s="1"/>
  <c r="R13" i="7"/>
  <c r="S13" i="7" s="1"/>
  <c r="U13" i="7" s="1"/>
  <c r="J13" i="7" s="1"/>
  <c r="M13" i="7" s="1"/>
  <c r="Q13" i="2"/>
  <c r="U9" i="3"/>
  <c r="J9" i="3" s="1"/>
  <c r="L9" i="3" s="1"/>
  <c r="N30" i="5"/>
  <c r="K13" i="7"/>
  <c r="T8" i="2"/>
  <c r="U8" i="2" s="1"/>
  <c r="J8" i="2" s="1"/>
  <c r="M11" i="4"/>
  <c r="G11" i="4" s="1"/>
  <c r="T14" i="7"/>
  <c r="U14" i="7" s="1"/>
  <c r="J14" i="7" s="1"/>
  <c r="K14" i="7"/>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4" i="5" l="1"/>
  <c r="Q15" i="16" s="1"/>
  <c r="E69" i="8"/>
  <c r="L13" i="5"/>
  <c r="Q14" i="16" s="1"/>
  <c r="T14" i="8"/>
  <c r="Q15" i="8"/>
  <c r="R15" i="8" s="1"/>
  <c r="S15" i="8" s="1"/>
  <c r="F35" i="8"/>
  <c r="K13" i="8"/>
  <c r="F32" i="8"/>
  <c r="O12" i="8"/>
  <c r="Q12" i="8"/>
  <c r="T13" i="8"/>
  <c r="R14" i="8"/>
  <c r="S14" i="8" s="1"/>
  <c r="U14" i="8" s="1"/>
  <c r="J14" i="8" s="1"/>
  <c r="N30" i="8" s="1"/>
  <c r="R13" i="8"/>
  <c r="S13" i="8" s="1"/>
  <c r="K14" i="8"/>
  <c r="T12" i="3"/>
  <c r="U12" i="3" s="1"/>
  <c r="J12" i="3" s="1"/>
  <c r="R15" i="3"/>
  <c r="S15" i="3" s="1"/>
  <c r="U15" i="3" s="1"/>
  <c r="J15" i="3" s="1"/>
  <c r="M15" i="3" s="1"/>
  <c r="G15" i="3" s="1"/>
  <c r="I16" i="16" s="1"/>
  <c r="T15" i="3"/>
  <c r="L13" i="4"/>
  <c r="O14" i="16" s="1"/>
  <c r="K12" i="3"/>
  <c r="U14" i="6"/>
  <c r="J14" i="6" s="1"/>
  <c r="M14" i="6" s="1"/>
  <c r="G14" i="6" s="1"/>
  <c r="M15" i="13" s="1"/>
  <c r="U14" i="3"/>
  <c r="J14" i="3" s="1"/>
  <c r="M14" i="3" s="1"/>
  <c r="G14" i="3" s="1"/>
  <c r="U13" i="3"/>
  <c r="J13" i="3" s="1"/>
  <c r="M13" i="3" s="1"/>
  <c r="G13" i="3" s="1"/>
  <c r="I14" i="13" s="1"/>
  <c r="K12" i="6"/>
  <c r="N30" i="4"/>
  <c r="L14" i="4"/>
  <c r="O15" i="16" s="1"/>
  <c r="L9" i="4"/>
  <c r="O10" i="16" s="1"/>
  <c r="M14" i="13"/>
  <c r="D9" i="9"/>
  <c r="G10" i="13"/>
  <c r="L15" i="7"/>
  <c r="S16" i="16" s="1"/>
  <c r="L13" i="6"/>
  <c r="R14" i="16" s="1"/>
  <c r="L12" i="7"/>
  <c r="S13" i="16" s="1"/>
  <c r="K15" i="6"/>
  <c r="I12" i="16"/>
  <c r="R15" i="6"/>
  <c r="S15" i="6" s="1"/>
  <c r="U15" i="6" s="1"/>
  <c r="J15" i="6" s="1"/>
  <c r="M15" i="6" s="1"/>
  <c r="G15" i="6" s="1"/>
  <c r="R12" i="6"/>
  <c r="S12" i="6" s="1"/>
  <c r="U12" i="6" s="1"/>
  <c r="J12" i="6" s="1"/>
  <c r="M12" i="6" s="1"/>
  <c r="G12" i="6" s="1"/>
  <c r="T12" i="6"/>
  <c r="T15" i="6"/>
  <c r="D10" i="9"/>
  <c r="I12" i="13"/>
  <c r="E10" i="9"/>
  <c r="L10" i="3"/>
  <c r="P11" i="16" s="1"/>
  <c r="I11" i="13"/>
  <c r="L10" i="4"/>
  <c r="O11" i="16" s="1"/>
  <c r="G11" i="13"/>
  <c r="U12" i="13"/>
  <c r="M11" i="9"/>
  <c r="T13" i="2"/>
  <c r="U8" i="6"/>
  <c r="J8" i="6" s="1"/>
  <c r="M8" i="6" s="1"/>
  <c r="G8" i="6" s="1"/>
  <c r="M9" i="13" s="1"/>
  <c r="R13" i="2"/>
  <c r="S13" i="2" s="1"/>
  <c r="R10" i="7"/>
  <c r="S10" i="7" s="1"/>
  <c r="U10" i="7" s="1"/>
  <c r="J10" i="7" s="1"/>
  <c r="T11" i="7"/>
  <c r="T10" i="7"/>
  <c r="L8" i="2"/>
  <c r="N9" i="16" s="1"/>
  <c r="K13" i="2"/>
  <c r="R15" i="5"/>
  <c r="S15" i="5" s="1"/>
  <c r="U15" i="5" s="1"/>
  <c r="J15" i="5" s="1"/>
  <c r="M15" i="5" s="1"/>
  <c r="K11" i="7"/>
  <c r="T9" i="7"/>
  <c r="R11" i="7"/>
  <c r="S11" i="7" s="1"/>
  <c r="U11" i="7" s="1"/>
  <c r="J11" i="7" s="1"/>
  <c r="K12" i="5"/>
  <c r="L12" i="5" s="1"/>
  <c r="Q13" i="16" s="1"/>
  <c r="T12" i="5"/>
  <c r="K10" i="7"/>
  <c r="R14" i="2"/>
  <c r="S14" i="2" s="1"/>
  <c r="D13" i="9"/>
  <c r="G14" i="13"/>
  <c r="K9" i="7"/>
  <c r="T14" i="2"/>
  <c r="V12" i="13"/>
  <c r="N11" i="9"/>
  <c r="T15" i="5"/>
  <c r="L13" i="7"/>
  <c r="S14" i="16" s="1"/>
  <c r="M9" i="3"/>
  <c r="G9" i="3" s="1"/>
  <c r="I10" i="13" s="1"/>
  <c r="G12" i="13"/>
  <c r="G12" i="16"/>
  <c r="N9" i="9"/>
  <c r="P10" i="16"/>
  <c r="M14" i="7"/>
  <c r="N30" i="7"/>
  <c r="L14" i="7"/>
  <c r="S15" i="16" s="1"/>
  <c r="L8" i="7"/>
  <c r="S9" i="16" s="1"/>
  <c r="O14" i="9"/>
  <c r="V10" i="13"/>
  <c r="W15" i="13"/>
  <c r="U12" i="2"/>
  <c r="J12" i="2" s="1"/>
  <c r="L12" i="2" s="1"/>
  <c r="N13" i="16" s="1"/>
  <c r="D11" i="9"/>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K9" i="8"/>
  <c r="T9" i="8"/>
  <c r="W14" i="13" l="1"/>
  <c r="O13" i="9"/>
  <c r="K15" i="8"/>
  <c r="T15" i="8"/>
  <c r="U15" i="8" s="1"/>
  <c r="J15" i="8" s="1"/>
  <c r="M15" i="8" s="1"/>
  <c r="U13" i="8"/>
  <c r="J13" i="8" s="1"/>
  <c r="M13" i="8" s="1"/>
  <c r="G13" i="8" s="1"/>
  <c r="K14" i="16" s="1"/>
  <c r="R12" i="8"/>
  <c r="S12" i="8" s="1"/>
  <c r="L12" i="3"/>
  <c r="P13" i="16" s="1"/>
  <c r="K12" i="8"/>
  <c r="T12" i="8"/>
  <c r="M12" i="3"/>
  <c r="G12" i="3" s="1"/>
  <c r="I13" i="16" s="1"/>
  <c r="U14" i="13"/>
  <c r="M13" i="9"/>
  <c r="L14" i="6"/>
  <c r="R15" i="16" s="1"/>
  <c r="U10" i="13"/>
  <c r="N30" i="6"/>
  <c r="G14" i="9"/>
  <c r="Y16" i="13"/>
  <c r="Q15" i="9"/>
  <c r="L14" i="3"/>
  <c r="P15" i="16" s="1"/>
  <c r="N30" i="3"/>
  <c r="U15" i="13"/>
  <c r="M14" i="9"/>
  <c r="L13" i="3"/>
  <c r="V14" i="13" s="1"/>
  <c r="M9" i="9"/>
  <c r="L15" i="3"/>
  <c r="P16" i="16" s="1"/>
  <c r="I16" i="13"/>
  <c r="E15" i="9"/>
  <c r="Y13" i="13"/>
  <c r="L12" i="6"/>
  <c r="R13" i="16" s="1"/>
  <c r="X14" i="13"/>
  <c r="P13" i="9"/>
  <c r="L15" i="6"/>
  <c r="R16" i="16" s="1"/>
  <c r="E13" i="9"/>
  <c r="I14" i="16"/>
  <c r="I15" i="16"/>
  <c r="I15" i="13"/>
  <c r="E14" i="9"/>
  <c r="U13" i="2"/>
  <c r="J13" i="2" s="1"/>
  <c r="M13" i="2" s="1"/>
  <c r="G13" i="2" s="1"/>
  <c r="E14" i="16" s="1"/>
  <c r="M14" i="8"/>
  <c r="G14" i="8" s="1"/>
  <c r="K15" i="16" s="1"/>
  <c r="L14" i="8"/>
  <c r="T15" i="16" s="1"/>
  <c r="Q12" i="9"/>
  <c r="M10" i="9"/>
  <c r="N10" i="9"/>
  <c r="V11" i="13"/>
  <c r="U11" i="13"/>
  <c r="U14" i="2"/>
  <c r="J14" i="2" s="1"/>
  <c r="M14" i="2" s="1"/>
  <c r="G14" i="2" s="1"/>
  <c r="E15" i="16" s="1"/>
  <c r="L8" i="6"/>
  <c r="R9" i="16" s="1"/>
  <c r="L10" i="7"/>
  <c r="S11" i="16" s="1"/>
  <c r="L15" i="5"/>
  <c r="Q16" i="16" s="1"/>
  <c r="T9" i="13"/>
  <c r="L8" i="9"/>
  <c r="G8" i="9"/>
  <c r="Q14" i="9"/>
  <c r="Y15" i="13"/>
  <c r="Y14" i="13"/>
  <c r="E9" i="13"/>
  <c r="Q13" i="9"/>
  <c r="L10" i="2"/>
  <c r="N11" i="16" s="1"/>
  <c r="M10" i="7"/>
  <c r="L11" i="6"/>
  <c r="R12" i="16" s="1"/>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I13" i="13"/>
  <c r="D8" i="9"/>
  <c r="G9" i="13"/>
  <c r="U9" i="8"/>
  <c r="J9" i="8" s="1"/>
  <c r="M9" i="8" s="1"/>
  <c r="G9" i="8" s="1"/>
  <c r="K10" i="16" s="1"/>
  <c r="C10" i="9"/>
  <c r="E11" i="13"/>
  <c r="L12" i="9"/>
  <c r="T13" i="13"/>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G15" i="8" l="1"/>
  <c r="K16" i="16" s="1"/>
  <c r="L15" i="8"/>
  <c r="T16" i="16" s="1"/>
  <c r="V13" i="13"/>
  <c r="N12" i="9"/>
  <c r="Q14" i="13"/>
  <c r="I13" i="9"/>
  <c r="L13" i="8"/>
  <c r="T14" i="16" s="1"/>
  <c r="U12" i="8"/>
  <c r="J12" i="8" s="1"/>
  <c r="M12" i="8" s="1"/>
  <c r="G12" i="8" s="1"/>
  <c r="K13" i="16" s="1"/>
  <c r="E12" i="9"/>
  <c r="X13" i="13"/>
  <c r="P14" i="9"/>
  <c r="X15" i="13"/>
  <c r="N15" i="9"/>
  <c r="V15" i="13"/>
  <c r="P12" i="9"/>
  <c r="N14" i="9"/>
  <c r="V16" i="13"/>
  <c r="P14" i="16"/>
  <c r="N13" i="9"/>
  <c r="P15" i="9"/>
  <c r="X16" i="13"/>
  <c r="Z15" i="13"/>
  <c r="L13" i="2"/>
  <c r="N14" i="16" s="1"/>
  <c r="I14" i="9"/>
  <c r="Q15" i="13"/>
  <c r="R14" i="9"/>
  <c r="N30" i="2"/>
  <c r="L14" i="2"/>
  <c r="N15" i="16" s="1"/>
  <c r="C13" i="9"/>
  <c r="E15" i="13"/>
  <c r="C14" i="9"/>
  <c r="E14" i="13"/>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I9" i="9"/>
  <c r="Q10" i="13"/>
  <c r="Q11" i="9"/>
  <c r="Y12" i="13"/>
  <c r="D15" i="9"/>
  <c r="G16" i="13"/>
  <c r="M10" i="8"/>
  <c r="G10" i="8" s="1"/>
  <c r="K11" i="16" s="1"/>
  <c r="L10" i="8"/>
  <c r="T11" i="16" s="1"/>
  <c r="L11" i="8"/>
  <c r="T12" i="16" s="1"/>
  <c r="M11" i="8"/>
  <c r="G11" i="8" s="1"/>
  <c r="K12" i="16" s="1"/>
  <c r="Z16" i="13" l="1"/>
  <c r="R13" i="9"/>
  <c r="Z14" i="13"/>
  <c r="L12" i="8"/>
  <c r="T13" i="16" s="1"/>
  <c r="Q13" i="13"/>
  <c r="I12" i="9"/>
  <c r="L13" i="9"/>
  <c r="T14" i="13"/>
  <c r="L14" i="9"/>
  <c r="T15" i="13"/>
  <c r="R9" i="9"/>
  <c r="Z10" i="13"/>
  <c r="R10" i="9"/>
  <c r="Z11" i="13"/>
  <c r="I11" i="9"/>
  <c r="Q12" i="13"/>
  <c r="I10" i="9"/>
  <c r="Q11" i="13"/>
  <c r="R11" i="9"/>
  <c r="Z12" i="13"/>
  <c r="R12" i="9" l="1"/>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<sst xmlns="http://schemas.openxmlformats.org/spreadsheetml/2006/main" count="654" uniqueCount="141">
  <si>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</si>
  <si>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</si>
  <si>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</si>
  <si>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</si>
  <si>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</si>
  <si>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</si>
  <si>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</si>
  <si>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</si>
  <si>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</si>
  <si>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</si>
  <si>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</si>
  <si>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</si>
  <si>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</si>
  <si>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</si>
  <si>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</si>
  <si>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</si>
  <si>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</si>
  <si>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</si>
  <si>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</si>
  <si>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</si>
  <si>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</si>
  <si>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</si>
  <si>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</si>
  <si>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</si>
  <si>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</si>
  <si>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</si>
  <si>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</si>
  <si>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</si>
  <si>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</si>
  <si>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</si>
  <si>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</si>
  <si>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</si>
  <si>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</si>
  <si>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</si>
  <si>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</si>
  <si>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</si>
  <si>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</si>
  <si>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</si>
  <si>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</si>
  <si>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</si>
  <si>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</si>
  <si>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</si>
  <si>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</si>
  <si>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</si>
  <si>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</si>
  <si>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</si>
  <si>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</si>
  <si>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</si>
  <si>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</si>
  <si>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</si>
  <si>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</si>
  <si>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</si>
  <si>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</si>
  <si>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</si>
  <si>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</si>
  <si>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</si>
  <si>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</si>
  <si>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</si>
  <si>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</si>
  <si>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</si>
  <si>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</si>
  <si>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</si>
  <si>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</si>
  <si>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</si>
  <si>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</si>
  <si>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</si>
  <si>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</si>
  <si>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</si>
  <si>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</si>
  <si>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</si>
  <si>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</si>
  <si>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</si>
  <si>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</si>
  <si>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</si>
  <si>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</si>
  <si>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</si>
  <si>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</si>
  <si>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</si>
  <si>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</si>
  <si>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</si>
  <si>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</si>
  <si>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</si>
  <si>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</si>
  <si>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</si>
  <si>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</si>
  <si>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</si>
  <si>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</si>
  <si>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</si>
  <si>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</si>
  <si>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</si>
  <si>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</si>
  <si>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</si>
  <si>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</si>
  <si>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</si>
  <si>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</si>
  <si>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</si>
  <si>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</si>
  <si>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</si>
  <si>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</si>
  <si>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</si>
  <si>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</si>
  <si>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</si>
  <si>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</si>
  <si>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</si>
  <si>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</si>
  <si>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</si>
  <si>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</si>
  <si>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</si>
  <si>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</si>
  <si>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</si>
  <si>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</si>
  <si>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</si>
  <si>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</si>
  <si>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</si>
  <si>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</si>
  <si>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</si>
  <si>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</si>
  <si>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</si>
  <si>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</si>
  <si>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</si>
  <si>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</si>
  <si>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</si>
  <si>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</si>
  <si>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</si>
  <si>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</si>
  <si>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</si>
  <si>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</si>
  <si>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</si>
  <si>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Ingham</t>
  </si>
  <si>
    <t>Item 3.Referral: Ingham County Juvenile Court</t>
  </si>
  <si>
    <t>Item 4.Diversion: Ingham County Juvenile Court</t>
  </si>
  <si>
    <t>Item 5.Detention: Ingham County Juvenile Court</t>
  </si>
  <si>
    <t>Item 6.Petitioned: Ingham County Juvenile Court</t>
  </si>
  <si>
    <t>Item 7.Delinquent: Ingham County Juvenile Court</t>
  </si>
  <si>
    <t>Item 8.Probation: Ingham County Juvenile Court</t>
  </si>
  <si>
    <t>Item 9.Confinement: Ingham County Juvenile Court</t>
  </si>
  <si>
    <t>Item 10.Transferred: Ingham County Juvenile Court</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</si>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</sst>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Ingham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N=6</c:v>
                </c:pt>
                <c:pt idx="1">
                  <c:v>Confinement, total N=7</c:v>
                </c:pt>
                <c:pt idx="2">
                  <c:v>Delinquent Findings, total N=196</c:v>
                </c:pt>
                <c:pt idx="3">
                  <c:v>Petitions, total N=196</c:v>
                </c:pt>
                <c:pt idx="4">
                  <c:v>Detentions, total N=138</c:v>
                </c:pt>
                <c:pt idx="5">
                  <c:v>Referrals, total N=272</c:v>
                </c:pt>
                <c:pt idx="6">
                  <c:v>Arrests, total N=131</c:v>
                </c:pt>
                <c:pt idx="7">
                  <c:v>Population, total N=25079</c:v>
                </c:pt>
              </c:strCache>
            </c:strRef>
          </c:cat>
          <c:val>
            <c:numRef>
              <c:f>'Stacked 100%'!$B$7:$B$14</c:f>
              <c:numCache>
                <c:formatCode>0%</c:formatCode>
                <c:ptCount val="8"/>
                <c:pt idx="0">
                  <c:v>0.16666666666666666</c:v>
                </c:pt>
                <c:pt idx="1">
                  <c:v>0.7142857142857143</c:v>
                </c:pt>
                <c:pt idx="2">
                  <c:v>0.44897959183673469</c:v>
                </c:pt>
                <c:pt idx="3">
                  <c:v>0.43877551020408162</c:v>
                </c:pt>
                <c:pt idx="4">
                  <c:v>0.45652173913043476</c:v>
                </c:pt>
                <c:pt idx="5">
                  <c:v>0.38235294117647056</c:v>
                </c:pt>
                <c:pt idx="6">
                  <c:v>0.6717557251908397</c:v>
                </c:pt>
                <c:pt idx="7">
                  <c:v>0.19550221300689821</c:v>
                </c:pt>
              </c:numCache>
            </c:numRef>
          </c:val>
          <c:extLst>
            <c:ext xmlns:c16="http://schemas.microsoft.com/office/drawing/2014/chart" uri="{C3380CC4-5D6E-409C-BE32-E72D297353CC}">
              <c16:uniqueId val="{00000000-395D-47C1-A2E4-AE6E37450B01}"/>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N=6</c:v>
                </c:pt>
                <c:pt idx="1">
                  <c:v>Confinement, total N=7</c:v>
                </c:pt>
                <c:pt idx="2">
                  <c:v>Delinquent Findings, total N=196</c:v>
                </c:pt>
                <c:pt idx="3">
                  <c:v>Petitions, total N=196</c:v>
                </c:pt>
                <c:pt idx="4">
                  <c:v>Detentions, total N=138</c:v>
                </c:pt>
                <c:pt idx="5">
                  <c:v>Referrals, total N=272</c:v>
                </c:pt>
                <c:pt idx="6">
                  <c:v>Arrests, total N=131</c:v>
                </c:pt>
                <c:pt idx="7">
                  <c:v>Population, total N=25079</c:v>
                </c:pt>
              </c:strCache>
            </c:strRef>
          </c:cat>
          <c:val>
            <c:numRef>
              <c:f>'Stacked 100%'!$C$7:$C$14</c:f>
              <c:numCache>
                <c:formatCode>0%</c:formatCode>
                <c:ptCount val="8"/>
                <c:pt idx="0">
                  <c:v>0</c:v>
                </c:pt>
                <c:pt idx="1">
                  <c:v>0.14285714285714285</c:v>
                </c:pt>
                <c:pt idx="2">
                  <c:v>4.0816326530612242E-2</c:v>
                </c:pt>
                <c:pt idx="3">
                  <c:v>4.5918367346938778E-2</c:v>
                </c:pt>
                <c:pt idx="4">
                  <c:v>4.3478260869565216E-2</c:v>
                </c:pt>
                <c:pt idx="5">
                  <c:v>3.6764705882352942E-2</c:v>
                </c:pt>
                <c:pt idx="6">
                  <c:v>5.3435114503816793E-2</c:v>
                </c:pt>
                <c:pt idx="7">
                  <c:v>0.132381673910443</c:v>
                </c:pt>
              </c:numCache>
            </c:numRef>
          </c:val>
          <c:extLst>
            <c:ext xmlns:c16="http://schemas.microsoft.com/office/drawing/2014/chart" uri="{C3380CC4-5D6E-409C-BE32-E72D297353CC}">
              <c16:uniqueId val="{00000001-395D-47C1-A2E4-AE6E37450B01}"/>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N=6</c:v>
                </c:pt>
                <c:pt idx="1">
                  <c:v>Confinement, total N=7</c:v>
                </c:pt>
                <c:pt idx="2">
                  <c:v>Delinquent Findings, total N=196</c:v>
                </c:pt>
                <c:pt idx="3">
                  <c:v>Petitions, total N=196</c:v>
                </c:pt>
                <c:pt idx="4">
                  <c:v>Detentions, total N=138</c:v>
                </c:pt>
                <c:pt idx="5">
                  <c:v>Referrals, total N=272</c:v>
                </c:pt>
                <c:pt idx="6">
                  <c:v>Arrests, total N=131</c:v>
                </c:pt>
                <c:pt idx="7">
                  <c:v>Population, total N=25079</c:v>
                </c:pt>
              </c:strCache>
            </c:strRef>
          </c:cat>
          <c:val>
            <c:numRef>
              <c:f>'Stacked 100%'!$H$7:$H$14</c:f>
              <c:numCache>
                <c:formatCode>0%</c:formatCode>
                <c:ptCount val="8"/>
                <c:pt idx="0">
                  <c:v>0</c:v>
                </c:pt>
                <c:pt idx="1">
                  <c:v>0</c:v>
                </c:pt>
                <c:pt idx="2">
                  <c:v>5.2061640982923777E-5</c:v>
                </c:pt>
                <c:pt idx="3">
                  <c:v>2.6030820491461889E-5</c:v>
                </c:pt>
                <c:pt idx="4">
                  <c:v>5.250997689561017E-5</c:v>
                </c:pt>
                <c:pt idx="5">
                  <c:v>1.351643598615917E-5</c:v>
                </c:pt>
                <c:pt idx="6">
                  <c:v>5.827166249053085E-5</c:v>
                </c:pt>
                <c:pt idx="7">
                  <c:v>2.8634742492363636E-6</c:v>
                </c:pt>
              </c:numCache>
            </c:numRef>
          </c:val>
          <c:extLst>
            <c:ext xmlns:c16="http://schemas.microsoft.com/office/drawing/2014/chart" uri="{C3380CC4-5D6E-409C-BE32-E72D297353CC}">
              <c16:uniqueId val="{00000002-395D-47C1-A2E4-AE6E37450B01}"/>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N=6</c:v>
                </c:pt>
                <c:pt idx="1">
                  <c:v>Confinement, total N=7</c:v>
                </c:pt>
                <c:pt idx="2">
                  <c:v>Delinquent Findings, total N=196</c:v>
                </c:pt>
                <c:pt idx="3">
                  <c:v>Petitions, total N=196</c:v>
                </c:pt>
                <c:pt idx="4">
                  <c:v>Detentions, total N=138</c:v>
                </c:pt>
                <c:pt idx="5">
                  <c:v>Referrals, total N=272</c:v>
                </c:pt>
                <c:pt idx="6">
                  <c:v>Arrests, total N=131</c:v>
                </c:pt>
                <c:pt idx="7">
                  <c:v>Population, total N=25079</c:v>
                </c:pt>
              </c:strCache>
            </c:strRef>
          </c:cat>
          <c:val>
            <c:numRef>
              <c:f>'Stacked 100%'!$I$7:$I$14</c:f>
              <c:numCache>
                <c:formatCode>0%</c:formatCode>
                <c:ptCount val="8"/>
                <c:pt idx="0">
                  <c:v>0</c:v>
                </c:pt>
                <c:pt idx="1">
                  <c:v>0.14285714285714285</c:v>
                </c:pt>
                <c:pt idx="2">
                  <c:v>0.19387755102040816</c:v>
                </c:pt>
                <c:pt idx="3">
                  <c:v>0.16326530612244897</c:v>
                </c:pt>
                <c:pt idx="4">
                  <c:v>6.5217391304347824E-2</c:v>
                </c:pt>
                <c:pt idx="5">
                  <c:v>0.20955882352941177</c:v>
                </c:pt>
                <c:pt idx="6">
                  <c:v>0.18320610687022901</c:v>
                </c:pt>
                <c:pt idx="7">
                  <c:v>0.60030304238606003</c:v>
                </c:pt>
              </c:numCache>
            </c:numRef>
          </c:val>
          <c:extLst>
            <c:ext xmlns:c16="http://schemas.microsoft.com/office/drawing/2014/chart" uri="{C3380CC4-5D6E-409C-BE32-E72D297353CC}">
              <c16:uniqueId val="{00000003-395D-47C1-A2E4-AE6E37450B01}"/>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N=6</c:v>
                </c:pt>
                <c:pt idx="1">
                  <c:v>Confinement, total N=7</c:v>
                </c:pt>
                <c:pt idx="2">
                  <c:v>Delinquent Findings, total N=196</c:v>
                </c:pt>
                <c:pt idx="3">
                  <c:v>Petitions, total N=196</c:v>
                </c:pt>
                <c:pt idx="4">
                  <c:v>Detentions, total N=138</c:v>
                </c:pt>
                <c:pt idx="5">
                  <c:v>Referrals, total N=272</c:v>
                </c:pt>
                <c:pt idx="6">
                  <c:v>Arrests, total N=131</c:v>
                </c:pt>
                <c:pt idx="7">
                  <c:v>Population, total N=25079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395D-47C1-A2E4-AE6E37450B01}"/>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opLeftCell="A4" zoomScaleNormal="100" workbookViewId="0">
      <selection activeCell="K9" sqref="K9"/>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114</v>
      </c>
      <c r="B2" s="4"/>
      <c r="C2" s="4"/>
      <c r="D2" s="4"/>
      <c r="E2" s="4"/>
      <c r="F2" s="4"/>
    </row>
    <row r="3" spans="1:11" ht="15" customHeight="1">
      <c r="A3" s="136" t="s">
        <v>128</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124</v>
      </c>
      <c r="E5" s="9" t="s">
        <v>4</v>
      </c>
      <c r="F5" s="9" t="s">
        <v>5</v>
      </c>
      <c r="G5" s="9" t="s">
        <v>127</v>
      </c>
      <c r="H5" s="9" t="s">
        <v>6</v>
      </c>
      <c r="I5" s="9" t="s">
        <v>116</v>
      </c>
      <c r="J5" s="9" t="s">
        <v>7</v>
      </c>
      <c r="K5" s="9" t="s">
        <v>108</v>
      </c>
    </row>
    <row r="6" spans="1:11" ht="15.75" customHeight="1" thickBot="1">
      <c r="A6" s="10" t="s">
        <v>139</v>
      </c>
      <c r="B6" s="11">
        <f>SUM(C6:I6)+K6</f>
        <v>25079</v>
      </c>
      <c r="C6" s="11">
        <v>15055</v>
      </c>
      <c r="D6" s="11">
        <v>4903</v>
      </c>
      <c r="E6" s="11">
        <v>3320</v>
      </c>
      <c r="F6" s="11">
        <v>1654</v>
      </c>
      <c r="G6" s="11"/>
      <c r="H6" s="11">
        <v>147</v>
      </c>
      <c r="I6" s="11">
        <v>0</v>
      </c>
      <c r="J6" s="91">
        <f>SUM(D6:I6)</f>
        <v>10024</v>
      </c>
      <c r="K6" s="92"/>
    </row>
    <row r="7" spans="1:11" ht="15.75" customHeight="1" thickBot="1">
      <c r="A7" s="10" t="s">
        <v>8</v>
      </c>
      <c r="B7" s="11">
        <f t="shared" ref="B7:B15" si="0">SUM(C7:I7)+K7</f>
        <v>131</v>
      </c>
      <c r="C7" s="11">
        <v>24</v>
      </c>
      <c r="D7" s="11">
        <v>88</v>
      </c>
      <c r="E7" s="11">
        <v>7</v>
      </c>
      <c r="F7" s="11">
        <v>1</v>
      </c>
      <c r="G7" s="11"/>
      <c r="H7" s="11"/>
      <c r="I7" s="11"/>
      <c r="J7" s="91">
        <f t="shared" ref="J7:J15" si="1">SUM(D7:I7)</f>
        <v>96</v>
      </c>
      <c r="K7" s="92">
        <v>11</v>
      </c>
    </row>
    <row r="8" spans="1:11" ht="15.75" customHeight="1" thickBot="1">
      <c r="A8" s="10" t="s">
        <v>9</v>
      </c>
      <c r="B8" s="11">
        <f t="shared" si="0"/>
        <v>272</v>
      </c>
      <c r="C8" s="11">
        <v>57</v>
      </c>
      <c r="D8" s="11">
        <v>104</v>
      </c>
      <c r="E8" s="11">
        <v>10</v>
      </c>
      <c r="F8" s="11">
        <v>1</v>
      </c>
      <c r="G8" s="11"/>
      <c r="H8" s="11"/>
      <c r="I8" s="11"/>
      <c r="J8" s="91">
        <f t="shared" si="1"/>
        <v>115</v>
      </c>
      <c r="K8" s="92">
        <v>100</v>
      </c>
    </row>
    <row r="9" spans="1:11" ht="15.75" customHeight="1" thickBot="1">
      <c r="A9" s="10" t="s">
        <v>10</v>
      </c>
      <c r="B9" s="11">
        <f t="shared" si="0"/>
        <v>229</v>
      </c>
      <c r="C9" s="11">
        <v>89</v>
      </c>
      <c r="D9" s="11">
        <v>87</v>
      </c>
      <c r="E9" s="11">
        <v>6</v>
      </c>
      <c r="F9" s="11"/>
      <c r="G9" s="11"/>
      <c r="H9" s="11"/>
      <c r="I9" s="11"/>
      <c r="J9" s="91">
        <f t="shared" si="1"/>
        <v>93</v>
      </c>
      <c r="K9" s="92">
        <v>47</v>
      </c>
    </row>
    <row r="10" spans="1:11" ht="15.75" customHeight="1" thickBot="1">
      <c r="A10" s="10" t="s">
        <v>11</v>
      </c>
      <c r="B10" s="11">
        <f t="shared" si="0"/>
        <v>138</v>
      </c>
      <c r="C10" s="11">
        <v>9</v>
      </c>
      <c r="D10" s="11">
        <v>63</v>
      </c>
      <c r="E10" s="11">
        <v>6</v>
      </c>
      <c r="F10" s="11">
        <v>1</v>
      </c>
      <c r="G10" s="11"/>
      <c r="H10" s="11"/>
      <c r="I10" s="11"/>
      <c r="J10" s="91">
        <f t="shared" si="1"/>
        <v>70</v>
      </c>
      <c r="K10" s="92">
        <v>59</v>
      </c>
    </row>
    <row r="11" spans="1:11" ht="15.75" customHeight="1" thickBot="1">
      <c r="A11" s="10" t="s">
        <v>12</v>
      </c>
      <c r="B11" s="11">
        <f t="shared" si="0"/>
        <v>196</v>
      </c>
      <c r="C11" s="11">
        <v>32</v>
      </c>
      <c r="D11" s="11">
        <v>86</v>
      </c>
      <c r="E11" s="11">
        <v>9</v>
      </c>
      <c r="F11" s="11">
        <v>1</v>
      </c>
      <c r="G11" s="11"/>
      <c r="H11" s="11"/>
      <c r="I11" s="11"/>
      <c r="J11" s="91">
        <f t="shared" si="1"/>
        <v>96</v>
      </c>
      <c r="K11" s="92">
        <v>68</v>
      </c>
    </row>
    <row r="12" spans="1:11" ht="15.75" customHeight="1" thickBot="1">
      <c r="A12" s="10" t="s">
        <v>13</v>
      </c>
      <c r="B12" s="11">
        <f t="shared" si="0"/>
        <v>196</v>
      </c>
      <c r="C12" s="11">
        <v>38</v>
      </c>
      <c r="D12" s="11">
        <v>88</v>
      </c>
      <c r="E12" s="11">
        <v>8</v>
      </c>
      <c r="F12" s="11">
        <v>2</v>
      </c>
      <c r="G12" s="11"/>
      <c r="H12" s="11"/>
      <c r="I12" s="11"/>
      <c r="J12" s="91">
        <f t="shared" si="1"/>
        <v>98</v>
      </c>
      <c r="K12" s="92">
        <v>60</v>
      </c>
    </row>
    <row r="13" spans="1:11" ht="15.75" customHeight="1" thickBot="1">
      <c r="A13" s="10" t="s">
        <v>125</v>
      </c>
      <c r="B13" s="11">
        <f t="shared" si="0"/>
        <v>196</v>
      </c>
      <c r="C13" s="11">
        <v>38</v>
      </c>
      <c r="D13" s="11">
        <v>88</v>
      </c>
      <c r="E13" s="11">
        <v>8</v>
      </c>
      <c r="F13" s="11">
        <v>2</v>
      </c>
      <c r="G13" s="11"/>
      <c r="H13" s="11"/>
      <c r="I13" s="11"/>
      <c r="J13" s="91">
        <f t="shared" si="1"/>
        <v>98</v>
      </c>
      <c r="K13" s="92">
        <v>60</v>
      </c>
    </row>
    <row r="14" spans="1:11" ht="26.25" customHeight="1" thickBot="1">
      <c r="A14" s="10" t="s">
        <v>115</v>
      </c>
      <c r="B14" s="11">
        <f t="shared" si="0"/>
        <v>7</v>
      </c>
      <c r="C14" s="11">
        <v>1</v>
      </c>
      <c r="D14" s="11">
        <v>5</v>
      </c>
      <c r="E14" s="11">
        <v>1</v>
      </c>
      <c r="F14" s="11"/>
      <c r="G14" s="11"/>
      <c r="H14" s="11"/>
      <c r="I14" s="11"/>
      <c r="J14" s="91">
        <f t="shared" si="1"/>
        <v>6</v>
      </c>
      <c r="K14" s="92"/>
    </row>
    <row r="15" spans="1:11" ht="15.75" customHeight="1" thickBot="1">
      <c r="A15" s="10" t="s">
        <v>16</v>
      </c>
      <c r="B15" s="11">
        <f t="shared" si="0"/>
        <v>6</v>
      </c>
      <c r="C15" s="11"/>
      <c r="D15" s="11">
        <v>1</v>
      </c>
      <c r="E15" s="11"/>
      <c r="F15" s="11"/>
      <c r="G15" s="11"/>
      <c r="H15" s="11"/>
      <c r="I15" s="11"/>
      <c r="J15" s="91">
        <f t="shared" si="1"/>
        <v>1</v>
      </c>
      <c r="K15" s="92">
        <v>5</v>
      </c>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129</v>
      </c>
      <c r="B20" s="170"/>
      <c r="C20" s="8"/>
      <c r="D20" s="170" t="s">
        <v>130</v>
      </c>
      <c r="E20" s="170"/>
      <c r="F20" s="170"/>
      <c r="G20" s="170"/>
      <c r="H20" s="170"/>
      <c r="I20" s="170"/>
    </row>
    <row r="21" spans="1:9" ht="15" customHeight="1">
      <c r="A21" s="170" t="s">
        <v>131</v>
      </c>
      <c r="B21" s="170"/>
      <c r="C21" s="8"/>
      <c r="D21" s="170" t="s">
        <v>132</v>
      </c>
      <c r="E21" s="170"/>
      <c r="F21" s="170"/>
      <c r="G21" s="170"/>
      <c r="H21" s="170"/>
      <c r="I21" s="170"/>
    </row>
    <row r="22" spans="1:9" ht="15" customHeight="1">
      <c r="A22" s="170" t="s">
        <v>133</v>
      </c>
      <c r="B22" s="170"/>
      <c r="C22" s="8"/>
      <c r="D22" s="170" t="s">
        <v>134</v>
      </c>
      <c r="E22" s="170"/>
      <c r="F22" s="170"/>
      <c r="G22" s="170"/>
      <c r="H22" s="170"/>
      <c r="I22" s="170"/>
    </row>
    <row r="23" spans="1:9" ht="15" customHeight="1">
      <c r="A23" s="170" t="s">
        <v>135</v>
      </c>
      <c r="B23" s="170"/>
      <c r="C23" s="8"/>
      <c r="D23" s="170" t="s">
        <v>136</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Ingham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15055</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24</v>
      </c>
      <c r="D7" s="34">
        <f>IF((AND(C66&gt;0,C7&gt;0)),(C7/C66),0)</f>
        <v>1.5941547658585189</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24</v>
      </c>
      <c r="Q7" s="42">
        <f>C6-C7</f>
        <v>15031</v>
      </c>
      <c r="R7" s="42">
        <f t="shared" ref="R7:R15" si="5">SUM(N7:Q7)</f>
        <v>15055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57</v>
      </c>
      <c r="D8" s="34">
        <f>IF((AND(C67&gt;0,C8&gt;0)),(C8/C67),0)</f>
        <v>237.5</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57</v>
      </c>
      <c r="Q8" s="42">
        <f>(C$67*L67)-C8</f>
        <v>-33</v>
      </c>
      <c r="R8" s="42">
        <f t="shared" si="5"/>
        <v>24.049999999999997</v>
      </c>
      <c r="S8" s="30">
        <f t="shared" si="6"/>
        <v>195.346125</v>
      </c>
      <c r="T8" s="30">
        <f t="shared" si="7"/>
        <v>-2253.7800000000002</v>
      </c>
      <c r="U8" s="31">
        <f t="shared" si="8"/>
        <v>-8.6674886191198786E-2</v>
      </c>
    </row>
    <row r="9" spans="2:21" ht="18" customHeight="1">
      <c r="B9" s="32" t="str">
        <f>'Data Entry'!A9</f>
        <v xml:space="preserve">4. Cases Diverted </v>
      </c>
      <c r="C9" s="33">
        <f>'Data Entry'!C9</f>
        <v>89</v>
      </c>
      <c r="D9" s="34">
        <f>IF((AND(C68&gt;0,C9&gt;0)),((C9/C68)),0)</f>
        <v>156.14035087719299</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89</v>
      </c>
      <c r="Q9" s="42">
        <f>(C$68*L68)-C9</f>
        <v>-32.000000000000007</v>
      </c>
      <c r="R9" s="42">
        <f t="shared" si="5"/>
        <v>56.999999999999993</v>
      </c>
      <c r="S9" s="30">
        <f t="shared" si="6"/>
        <v>0</v>
      </c>
      <c r="T9" s="30">
        <f t="shared" si="7"/>
        <v>0</v>
      </c>
      <c r="U9" s="31" t="str">
        <f t="shared" si="8"/>
        <v>- -</v>
      </c>
    </row>
    <row r="10" spans="2:21" ht="18" customHeight="1">
      <c r="B10" s="32" t="str">
        <f>'Data Entry'!A10</f>
        <v>5. Cases Involving Secure Detention</v>
      </c>
      <c r="C10" s="33">
        <f>'Data Entry'!C10</f>
        <v>9</v>
      </c>
      <c r="D10" s="34">
        <f>IF(((AND(C68&gt;0,C10&gt;0))),(C10/(C68)),0)</f>
        <v>15.789473684210527</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9</v>
      </c>
      <c r="Q10" s="42">
        <f>(C$68*L68)-C10</f>
        <v>47.999999999999993</v>
      </c>
      <c r="R10" s="42">
        <f t="shared" si="5"/>
        <v>56.999999999999993</v>
      </c>
      <c r="S10" s="30">
        <f t="shared" si="6"/>
        <v>0</v>
      </c>
      <c r="T10" s="30">
        <f t="shared" si="7"/>
        <v>0</v>
      </c>
      <c r="U10" s="31" t="str">
        <f t="shared" si="8"/>
        <v>- -</v>
      </c>
    </row>
    <row r="11" spans="2:21" ht="18" customHeight="1">
      <c r="B11" s="32" t="str">
        <f>'Data Entry'!A11</f>
        <v>6. Cases Petitioned (Charge Filed)</v>
      </c>
      <c r="C11" s="33">
        <f>'Data Entry'!C11</f>
        <v>32</v>
      </c>
      <c r="D11" s="34">
        <f>IF(((AND(C68&gt;0,C11&gt;0))),(C11/(C68)),0)</f>
        <v>56.140350877192986</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32</v>
      </c>
      <c r="Q11" s="42">
        <f>(C$68*L68)-C11</f>
        <v>24.999999999999993</v>
      </c>
      <c r="R11" s="42">
        <f t="shared" si="5"/>
        <v>56.999999999999993</v>
      </c>
      <c r="S11" s="30">
        <f t="shared" si="6"/>
        <v>0</v>
      </c>
      <c r="T11" s="30">
        <f t="shared" si="7"/>
        <v>0</v>
      </c>
      <c r="U11" s="31" t="str">
        <f t="shared" si="8"/>
        <v>- -</v>
      </c>
    </row>
    <row r="12" spans="2:21" ht="18" customHeight="1">
      <c r="B12" s="32" t="str">
        <f>'Data Entry'!A12</f>
        <v>7. Cases Resulting in Delinquent Findings</v>
      </c>
      <c r="C12" s="33">
        <f>'Data Entry'!C12</f>
        <v>38</v>
      </c>
      <c r="D12" s="34">
        <f>IF(((AND(C69&gt;0,C12&gt;0))),(C12/(C69)),0)</f>
        <v>118.75</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38</v>
      </c>
      <c r="Q12" s="42">
        <f>(C69*L69)-C12</f>
        <v>-6</v>
      </c>
      <c r="R12" s="42">
        <f t="shared" si="5"/>
        <v>32</v>
      </c>
      <c r="S12" s="30">
        <f t="shared" si="6"/>
        <v>0</v>
      </c>
      <c r="T12" s="30">
        <f t="shared" si="7"/>
        <v>0</v>
      </c>
      <c r="U12" s="31" t="str">
        <f t="shared" si="8"/>
        <v>- -</v>
      </c>
    </row>
    <row r="13" spans="2:21" ht="18" customHeight="1">
      <c r="B13" s="32" t="str">
        <f>'Data Entry'!A13</f>
        <v>8. Cases Resulting in Probation Placement</v>
      </c>
      <c r="C13" s="33">
        <f>'Data Entry'!C13</f>
        <v>38</v>
      </c>
      <c r="D13" s="34">
        <f>IF(((AND(C70&gt;0,C13&gt;0))),(C13/(C70)),0)</f>
        <v>100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38</v>
      </c>
      <c r="Q13" s="42">
        <f>(C70*L70)-C13</f>
        <v>0</v>
      </c>
      <c r="R13" s="42">
        <f t="shared" si="5"/>
        <v>38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2.6315789473684212</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37</v>
      </c>
      <c r="R14" s="42">
        <f t="shared" si="5"/>
        <v>38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32</v>
      </c>
      <c r="R15" s="42">
        <f t="shared" si="5"/>
        <v>32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15.055</v>
      </c>
      <c r="D42" s="56">
        <f>E6/1000</f>
        <v>0</v>
      </c>
      <c r="E42" s="56">
        <f>MAX(C42:D42)</f>
        <v>15.055</v>
      </c>
      <c r="G42" s="1" t="str">
        <f>B42</f>
        <v>per 1000 youth</v>
      </c>
      <c r="L42" s="57">
        <v>1000</v>
      </c>
      <c r="M42" s="57"/>
      <c r="R42" s="49"/>
    </row>
    <row r="43" spans="2:18" ht="15" hidden="1" customHeight="1">
      <c r="B43" s="49" t="s">
        <v>87</v>
      </c>
      <c r="C43" s="56">
        <f>C7/100</f>
        <v>0.24</v>
      </c>
      <c r="D43" s="56">
        <f>E7/100</f>
        <v>0</v>
      </c>
      <c r="E43" s="56">
        <f>MAX(C43:D43,0)</f>
        <v>0.24</v>
      </c>
      <c r="G43" s="1" t="str">
        <f>B43</f>
        <v>per 100 arrests</v>
      </c>
      <c r="L43" s="57">
        <v>100</v>
      </c>
      <c r="M43" s="57"/>
      <c r="R43" s="49"/>
    </row>
    <row r="44" spans="2:18" ht="15" hidden="1" customHeight="1">
      <c r="B44" s="49" t="s">
        <v>88</v>
      </c>
      <c r="C44" s="56">
        <f>C8/100</f>
        <v>0.56999999999999995</v>
      </c>
      <c r="D44" s="56">
        <f>E8/100</f>
        <v>0</v>
      </c>
      <c r="E44" s="56">
        <f>MAX(C44:D44,0)</f>
        <v>0.56999999999999995</v>
      </c>
      <c r="G44" s="1" t="str">
        <f>B44</f>
        <v>per 100 referrals</v>
      </c>
      <c r="L44" s="57">
        <v>100</v>
      </c>
      <c r="M44" s="57"/>
      <c r="R44" s="49"/>
    </row>
    <row r="45" spans="2:18" ht="15" hidden="1" customHeight="1">
      <c r="B45" s="49" t="s">
        <v>89</v>
      </c>
      <c r="C45" s="49">
        <f>C11/100</f>
        <v>0.32</v>
      </c>
      <c r="D45" s="49">
        <f>E11/100</f>
        <v>0</v>
      </c>
      <c r="E45" s="56">
        <f>MAX(C45:D45,0)</f>
        <v>0.32</v>
      </c>
      <c r="G45" s="1" t="str">
        <f>B45</f>
        <v>per 100 youth petitioned</v>
      </c>
      <c r="L45" s="57">
        <v>100</v>
      </c>
      <c r="M45" s="57"/>
      <c r="R45" s="49"/>
    </row>
    <row r="46" spans="2:18" ht="15" hidden="1" customHeight="1">
      <c r="B46" s="49" t="s">
        <v>90</v>
      </c>
      <c r="C46" s="49">
        <f>C12/100</f>
        <v>0.38</v>
      </c>
      <c r="D46" s="49">
        <f>E12/100</f>
        <v>0</v>
      </c>
      <c r="E46" s="56">
        <f>MAX(C46:D46)</f>
        <v>0.38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15.055</v>
      </c>
      <c r="D48" s="56">
        <f>D42</f>
        <v>0</v>
      </c>
      <c r="E48" s="56">
        <f>MAX(C48:D48)</f>
        <v>15.055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0.24</v>
      </c>
      <c r="D49" s="49">
        <f t="shared" si="9"/>
        <v>0</v>
      </c>
      <c r="E49" s="49">
        <f>MAX(C49:D49)</f>
        <v>0.24</v>
      </c>
      <c r="G49" s="1" t="str">
        <f>G43</f>
        <v>per 100 arrests</v>
      </c>
      <c r="L49" s="58">
        <f>IF(($E43&gt;0),L43,L42)</f>
        <v>100</v>
      </c>
      <c r="M49" s="58"/>
      <c r="N49" s="21"/>
      <c r="O49" s="21"/>
      <c r="P49" s="21"/>
      <c r="Q49" s="21"/>
      <c r="R49" s="21"/>
    </row>
    <row r="50" spans="2:18" ht="15" hidden="1" customHeight="1">
      <c r="B50" s="49" t="str">
        <f t="shared" si="9"/>
        <v>per 100 referrals</v>
      </c>
      <c r="C50" s="49">
        <f t="shared" si="9"/>
        <v>0.56999999999999995</v>
      </c>
      <c r="D50" s="49">
        <f t="shared" si="9"/>
        <v>0</v>
      </c>
      <c r="E50" s="49">
        <f>MAX(C50:D50)</f>
        <v>0.56999999999999995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0.32</v>
      </c>
      <c r="D51" s="49">
        <f>IF(($E45&gt;0),D45,D44)</f>
        <v>0</v>
      </c>
      <c r="E51" s="49">
        <f>MAX(C51:D51)</f>
        <v>0.32</v>
      </c>
      <c r="G51" s="1" t="str">
        <f>G45</f>
        <v>per 100 youth petitioned</v>
      </c>
      <c r="L51" s="58">
        <f>IF(($E45&gt;0),L45,L44)</f>
        <v>100</v>
      </c>
      <c r="M51" s="58"/>
    </row>
    <row r="52" spans="2:18" ht="15" hidden="1" customHeight="1">
      <c r="B52" s="49" t="str">
        <f>IF(($E46&gt;0),B46,B45)</f>
        <v>per 100 youth found delinquent</v>
      </c>
      <c r="C52" s="49">
        <f>IF(($E46&gt;0),C46,C45)</f>
        <v>0.38</v>
      </c>
      <c r="D52" s="49">
        <f>IF(($E46&gt;0),D46,D45)</f>
        <v>0</v>
      </c>
      <c r="E52" s="56">
        <f>MAX(C52:D52)</f>
        <v>0.38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15.055</v>
      </c>
      <c r="D54" s="56">
        <f>D48</f>
        <v>0</v>
      </c>
      <c r="E54" s="56">
        <f>MAX(C54:D54)</f>
        <v>15.055</v>
      </c>
      <c r="G54" s="1" t="str">
        <f>G48</f>
        <v>per 1000 youth</v>
      </c>
      <c r="L54" s="58">
        <f>L48</f>
        <v>1000</v>
      </c>
      <c r="M54" s="58"/>
    </row>
    <row r="55" spans="2:18" ht="15" hidden="1" customHeight="1">
      <c r="B55" s="49" t="str">
        <f t="shared" ref="B55:D56" si="10">IF(($E49&gt;0),B49,B48)</f>
        <v>per 100 arrests</v>
      </c>
      <c r="C55" s="49">
        <f t="shared" si="10"/>
        <v>0.24</v>
      </c>
      <c r="D55" s="49">
        <f t="shared" si="10"/>
        <v>0</v>
      </c>
      <c r="E55" s="49">
        <f>MAX(C55:D55)</f>
        <v>0.24</v>
      </c>
      <c r="G55" s="1" t="str">
        <f>G49</f>
        <v>per 100 arrests</v>
      </c>
      <c r="L55" s="58">
        <f>IF(($E49&gt;0),L49,L48)</f>
        <v>100</v>
      </c>
      <c r="M55" s="58"/>
    </row>
    <row r="56" spans="2:18" ht="15" hidden="1" customHeight="1">
      <c r="B56" s="49" t="str">
        <f t="shared" si="10"/>
        <v>per 100 referrals</v>
      </c>
      <c r="C56" s="49">
        <f t="shared" si="10"/>
        <v>0.56999999999999995</v>
      </c>
      <c r="D56" s="49">
        <f t="shared" si="10"/>
        <v>0</v>
      </c>
      <c r="E56" s="49">
        <f>MAX(C56:D56)</f>
        <v>0.56999999999999995</v>
      </c>
      <c r="G56" s="1" t="str">
        <f>G50</f>
        <v>per 100 referrals</v>
      </c>
      <c r="L56" s="58">
        <f>IF(($E50&gt;0),L50,L49)</f>
        <v>100</v>
      </c>
      <c r="M56" s="58"/>
    </row>
    <row r="57" spans="2:18" ht="15" hidden="1" customHeight="1">
      <c r="B57" s="49" t="str">
        <f>IF(($E51&gt;0),B51,B49)</f>
        <v>per 100 youth petitioned</v>
      </c>
      <c r="C57" s="49">
        <f>IF(($E51&gt;0),C51,C50)</f>
        <v>0.32</v>
      </c>
      <c r="D57" s="49">
        <f>IF(($E51&gt;0),D51,D50)</f>
        <v>0</v>
      </c>
      <c r="E57" s="49">
        <f>MAX(C57:D57)</f>
        <v>0.32</v>
      </c>
      <c r="G57" s="1" t="str">
        <f>G51</f>
        <v>per 100 youth petitioned</v>
      </c>
      <c r="L57" s="58">
        <f>IF(($E51&gt;0),L51,L50)</f>
        <v>100</v>
      </c>
      <c r="M57" s="58"/>
    </row>
    <row r="58" spans="2:18" ht="15" hidden="1" customHeight="1">
      <c r="B58" s="49" t="str">
        <f>IF(($E52&gt;0),B52,B51)</f>
        <v>per 100 youth found delinquent</v>
      </c>
      <c r="C58" s="49">
        <f>IF(($E52&gt;0),C52,C51)</f>
        <v>0.38</v>
      </c>
      <c r="D58" s="49">
        <f>IF(($E52&gt;0),D52,D51)</f>
        <v>0</v>
      </c>
      <c r="E58" s="56">
        <f>MAX(C58:D58)</f>
        <v>0.38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15.055</v>
      </c>
      <c r="D60" s="56">
        <f>D54</f>
        <v>0</v>
      </c>
      <c r="E60" s="56">
        <f>MAX(C60:D60)</f>
        <v>15.055</v>
      </c>
      <c r="G60" s="1" t="str">
        <f>G54</f>
        <v>per 1000 youth</v>
      </c>
      <c r="L60" s="58">
        <f>L54</f>
        <v>1000</v>
      </c>
      <c r="M60" s="58"/>
    </row>
    <row r="61" spans="2:18" ht="15" hidden="1" customHeight="1">
      <c r="B61" s="49" t="str">
        <f t="shared" ref="B61:D62" si="11">IF(($E55&gt;0),B55,B54)</f>
        <v>per 100 arrests</v>
      </c>
      <c r="C61" s="49">
        <f t="shared" si="11"/>
        <v>0.24</v>
      </c>
      <c r="D61" s="49">
        <f t="shared" si="11"/>
        <v>0</v>
      </c>
      <c r="E61" s="49">
        <f>MAX(C61:D61)</f>
        <v>0.24</v>
      </c>
      <c r="G61" s="1" t="str">
        <f>G55</f>
        <v>per 100 arrests</v>
      </c>
      <c r="L61" s="58">
        <f>IF(($E55&gt;0),L55,L54)</f>
        <v>100</v>
      </c>
      <c r="M61" s="58"/>
    </row>
    <row r="62" spans="2:18" ht="15" hidden="1" customHeight="1">
      <c r="B62" s="49" t="str">
        <f t="shared" si="11"/>
        <v>per 100 referrals</v>
      </c>
      <c r="C62" s="49">
        <f t="shared" si="11"/>
        <v>0.56999999999999995</v>
      </c>
      <c r="D62" s="49">
        <f t="shared" si="11"/>
        <v>0</v>
      </c>
      <c r="E62" s="49">
        <f>MAX(C62:D62)</f>
        <v>0.56999999999999995</v>
      </c>
      <c r="G62" s="1" t="str">
        <f>G56</f>
        <v>per 100 referrals</v>
      </c>
      <c r="L62" s="58">
        <f>IF(($E56&gt;0),L56,L55)</f>
        <v>100</v>
      </c>
      <c r="M62" s="58"/>
    </row>
    <row r="63" spans="2:18" ht="15" hidden="1" customHeight="1">
      <c r="B63" s="49" t="str">
        <f>IF(($E57&gt;0),B57,B55)</f>
        <v>per 100 youth petitioned</v>
      </c>
      <c r="C63" s="49">
        <f>IF(($E57&gt;0),C57,C56)</f>
        <v>0.32</v>
      </c>
      <c r="D63" s="49">
        <f>IF(($E57&gt;0),D57,D56)</f>
        <v>0</v>
      </c>
      <c r="E63" s="49">
        <f>MAX(C63:D63)</f>
        <v>0.32</v>
      </c>
      <c r="G63" s="1" t="str">
        <f>G57</f>
        <v>per 100 youth petitioned</v>
      </c>
      <c r="L63" s="58">
        <f>IF(($E57&gt;0),L57,L56)</f>
        <v>100</v>
      </c>
      <c r="M63" s="58"/>
    </row>
    <row r="64" spans="2:18" ht="15" hidden="1" customHeight="1">
      <c r="B64" s="49" t="str">
        <f>IF(($E58&gt;0),B58,B57)</f>
        <v>per 100 youth found delinquent</v>
      </c>
      <c r="C64" s="49">
        <f>IF(($E58&gt;0),C58,C57)</f>
        <v>0.38</v>
      </c>
      <c r="D64" s="49">
        <f>IF(($E58&gt;0),D58,D57)</f>
        <v>0</v>
      </c>
      <c r="E64" s="56">
        <f>MAX(C64:D64)</f>
        <v>0.38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15.055</v>
      </c>
      <c r="D66" s="56">
        <f>D60</f>
        <v>0</v>
      </c>
      <c r="E66" s="56">
        <f>MAX(C66:D66)</f>
        <v>15.055</v>
      </c>
      <c r="G66" s="1" t="str">
        <f>G60</f>
        <v>per 1000 youth</v>
      </c>
      <c r="L66" s="58">
        <f>L60</f>
        <v>1000</v>
      </c>
      <c r="M66" s="58">
        <f>IF((B66=G66),1,2)</f>
        <v>1</v>
      </c>
    </row>
    <row r="67" spans="2:13" ht="15" hidden="1" customHeight="1">
      <c r="B67" s="49" t="str">
        <f t="shared" ref="B67:D68" si="12">IF(($E61&gt;0),B61,B60)</f>
        <v>per 100 arrests</v>
      </c>
      <c r="C67" s="49">
        <f t="shared" si="12"/>
        <v>0.24</v>
      </c>
      <c r="D67" s="49">
        <f t="shared" si="12"/>
        <v>0</v>
      </c>
      <c r="E67" s="49">
        <f>MAX(C67:D67)</f>
        <v>0.24</v>
      </c>
      <c r="G67" s="1" t="str">
        <f>G61</f>
        <v>per 100 arrests</v>
      </c>
      <c r="L67" s="58">
        <f>IF(($E61&gt;0),L61,L60)</f>
        <v>100</v>
      </c>
      <c r="M67" s="58">
        <f>IF((B67=G67),1,2)</f>
        <v>1</v>
      </c>
    </row>
    <row r="68" spans="2:13" ht="15" hidden="1" customHeight="1">
      <c r="B68" s="49" t="str">
        <f t="shared" si="12"/>
        <v>per 100 referrals</v>
      </c>
      <c r="C68" s="49">
        <f t="shared" si="12"/>
        <v>0.56999999999999995</v>
      </c>
      <c r="D68" s="49">
        <f t="shared" si="12"/>
        <v>0</v>
      </c>
      <c r="E68" s="49">
        <f>MAX(C68:D68)</f>
        <v>0.56999999999999995</v>
      </c>
      <c r="G68" s="1" t="str">
        <f>G62</f>
        <v>per 100 referrals</v>
      </c>
      <c r="L68" s="58">
        <f>IF(($E62&gt;0),L62,L61)</f>
        <v>100</v>
      </c>
      <c r="M68" s="58">
        <f>IF((B68=G68),1,2)</f>
        <v>1</v>
      </c>
    </row>
    <row r="69" spans="2:13" ht="15" hidden="1" customHeight="1">
      <c r="B69" s="49" t="str">
        <f>IF(($E63&gt;0),B63,B61)</f>
        <v>per 100 youth petitioned</v>
      </c>
      <c r="C69" s="49">
        <f>IF(($E63&gt;0),C63,C62)</f>
        <v>0.32</v>
      </c>
      <c r="D69" s="49">
        <f>IF(($E63&gt;0),D63,D62)</f>
        <v>0</v>
      </c>
      <c r="E69" s="49">
        <f>MAX(C69:D69)</f>
        <v>0.32</v>
      </c>
      <c r="G69" s="1" t="str">
        <f>G63</f>
        <v>per 100 youth petitioned</v>
      </c>
      <c r="L69" s="58">
        <f>IF(($E63&gt;0),L63,L62)</f>
        <v>100</v>
      </c>
      <c r="M69" s="58">
        <f>IF((B69=G69),1,2)</f>
        <v>1</v>
      </c>
    </row>
    <row r="70" spans="2:13" ht="15" hidden="1" customHeight="1">
      <c r="B70" s="49" t="str">
        <f>IF(($E64&gt;0),B64,B63)</f>
        <v>per 100 youth found delinquent</v>
      </c>
      <c r="C70" s="49">
        <f>IF(($E64&gt;0),C64,C63)</f>
        <v>0.38</v>
      </c>
      <c r="D70" s="49">
        <f>IF(($E64&gt;0),D64,D63)</f>
        <v>0</v>
      </c>
      <c r="E70" s="56">
        <f>MAX(C70:D70)</f>
        <v>0.38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Ingham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15055</v>
      </c>
      <c r="D6" s="34"/>
      <c r="E6" s="33">
        <f>'Data Entry'!J6</f>
        <v>10024</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24</v>
      </c>
      <c r="D7" s="34">
        <f>IF((AND(C66&gt;0,C7&gt;0)),(C7/C66),0)</f>
        <v>1.5941547658585189</v>
      </c>
      <c r="E7" s="33">
        <f>'Data Entry'!J7</f>
        <v>96</v>
      </c>
      <c r="F7" s="34">
        <f>IF((AND($E$7&gt;0,$D$66&gt;0)),($E$7/$D$66),0)</f>
        <v>9.577015163607344</v>
      </c>
      <c r="G7" s="39">
        <f t="shared" ref="G7:G15" si="0">IF(L$6=100,"*",IF(M7=FALSE,"--",IF(K7=20,"**",($F7/$D7))))</f>
        <v>6.0075818036711892</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96</v>
      </c>
      <c r="O7" s="42">
        <f>E6-E7</f>
        <v>9928</v>
      </c>
      <c r="P7" s="42">
        <f t="shared" ref="P7:P15" si="4">C7</f>
        <v>24</v>
      </c>
      <c r="Q7" s="42">
        <f>C6-C7</f>
        <v>15031</v>
      </c>
      <c r="R7" s="42">
        <f t="shared" ref="R7:R15" si="5">SUM(N7:Q7)</f>
        <v>25079</v>
      </c>
      <c r="S7" s="30">
        <f t="shared" ref="S7:S15" si="6">R7*((((N7*Q7)-(O7*P7))^2))</f>
        <v>3.6397446816881664E+16</v>
      </c>
      <c r="T7" s="30">
        <f t="shared" ref="T7:T15" si="7">(N7+O7)*(P7+Q7)*(N7+P7)*(O7+Q7)</f>
        <v>451991476305600</v>
      </c>
      <c r="U7" s="31">
        <f t="shared" ref="U7:U15" si="8">IF((S7&gt;0),S7/T7,"- -")</f>
        <v>80.52684336965828</v>
      </c>
    </row>
    <row r="8" spans="2:21" ht="18" customHeight="1">
      <c r="B8" s="32" t="str">
        <f>'Data Entry'!A8</f>
        <v>3. Refer to Juvenile Court</v>
      </c>
      <c r="C8" s="33">
        <f>'Data Entry'!C8</f>
        <v>57</v>
      </c>
      <c r="D8" s="34">
        <f>IF((AND(C67&gt;0,C8&gt;0)),(C8/C67),0)</f>
        <v>237.5</v>
      </c>
      <c r="E8" s="33">
        <f>'Data Entry'!J8</f>
        <v>115</v>
      </c>
      <c r="F8" s="34">
        <f>IF((AND($E$8&gt;0,$D$67&gt;0)),($E8/$D67),0)</f>
        <v>119.79166666666667</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115</v>
      </c>
      <c r="O8" s="42">
        <f>((D67*L67)-E8)+0.05</f>
        <v>-18.95</v>
      </c>
      <c r="P8" s="42">
        <f t="shared" si="4"/>
        <v>57</v>
      </c>
      <c r="Q8" s="42">
        <f>(C$67*L67)-C8</f>
        <v>-33</v>
      </c>
      <c r="R8" s="42">
        <f t="shared" si="5"/>
        <v>120.05000000000001</v>
      </c>
      <c r="S8" s="30">
        <f t="shared" si="6"/>
        <v>884817783.22612536</v>
      </c>
      <c r="T8" s="30">
        <f t="shared" si="7"/>
        <v>-20597884.079999998</v>
      </c>
      <c r="U8" s="31">
        <f t="shared" si="8"/>
        <v>-42.956731856028846</v>
      </c>
    </row>
    <row r="9" spans="2:21" ht="18" customHeight="1">
      <c r="B9" s="32" t="str">
        <f>'Data Entry'!A9</f>
        <v xml:space="preserve">4. Cases Diverted </v>
      </c>
      <c r="C9" s="33">
        <f>'Data Entry'!C9</f>
        <v>89</v>
      </c>
      <c r="D9" s="34">
        <f>IF((AND(C68&gt;0,C9&gt;0)),((C9/C68)),0)</f>
        <v>156.14035087719299</v>
      </c>
      <c r="E9" s="33">
        <f>'Data Entry'!J9</f>
        <v>93</v>
      </c>
      <c r="F9" s="34">
        <f>IF((AND($E$9&gt;0,$D$68&gt;0)),(($E$9/$D$68)),0)</f>
        <v>80.869565217391312</v>
      </c>
      <c r="G9" s="39">
        <f t="shared" si="0"/>
        <v>0.51792867611138249</v>
      </c>
      <c r="H9" s="40"/>
      <c r="I9" s="41"/>
      <c r="J9" s="40">
        <f>IF((ABS($U9)&gt;Defaults!D$7),1,2)</f>
        <v>1</v>
      </c>
      <c r="K9" s="39">
        <f>IF((AND(N9&gt;Defaults!B$12,(N9+O9)&gt;Defaults!B$13, P9 &gt; Defaults!B$12, (P9+Q9) &gt; Defaults!B$13)),1,20)</f>
        <v>1</v>
      </c>
      <c r="L9" s="1">
        <f t="shared" si="1"/>
        <v>1</v>
      </c>
      <c r="M9" s="1" t="b">
        <f t="shared" si="2"/>
        <v>1</v>
      </c>
      <c r="N9" s="42">
        <f t="shared" si="3"/>
        <v>93</v>
      </c>
      <c r="O9" s="42">
        <f>(D$68*L68)-E9</f>
        <v>21.999999999999986</v>
      </c>
      <c r="P9" s="42">
        <f t="shared" si="4"/>
        <v>89</v>
      </c>
      <c r="Q9" s="42">
        <f>(C$68*L68)-C9</f>
        <v>-32.000000000000007</v>
      </c>
      <c r="R9" s="42">
        <f t="shared" si="5"/>
        <v>172</v>
      </c>
      <c r="S9" s="30">
        <f t="shared" si="6"/>
        <v>4187229231.9999986</v>
      </c>
      <c r="T9" s="30">
        <f t="shared" si="7"/>
        <v>-11930100.000000022</v>
      </c>
      <c r="U9" s="31">
        <f t="shared" si="8"/>
        <v>-350.98022916823754</v>
      </c>
    </row>
    <row r="10" spans="2:21" ht="18" customHeight="1">
      <c r="B10" s="32" t="str">
        <f>'Data Entry'!A10</f>
        <v>5. Cases Involving Secure Detention</v>
      </c>
      <c r="C10" s="33">
        <f>'Data Entry'!C10</f>
        <v>9</v>
      </c>
      <c r="D10" s="34">
        <f>IF(((AND(C68&gt;0,C10&gt;0))),(C10/(C68)),0)</f>
        <v>15.789473684210527</v>
      </c>
      <c r="E10" s="33">
        <f>'Data Entry'!J10</f>
        <v>70</v>
      </c>
      <c r="F10" s="34">
        <f>IF(((AND($E$10&gt;0,$D$68&gt;0))),($E$10/($D$68)),0)</f>
        <v>60.869565217391312</v>
      </c>
      <c r="G10" s="39">
        <f t="shared" si="0"/>
        <v>3.8550724637681162</v>
      </c>
      <c r="H10" s="40"/>
      <c r="I10" s="41"/>
      <c r="J10" s="40">
        <f>IF((ABS($U10)&gt;Defaults!D$7),1,2)</f>
        <v>1</v>
      </c>
      <c r="K10" s="39">
        <f>IF((AND(N10&gt;Defaults!B$12,(N10+O10)&gt;Defaults!B$13, P10 &gt; Defaults!B$12, (P10+Q10) &gt; Defaults!B$13)),1,20)</f>
        <v>1</v>
      </c>
      <c r="L10" s="1">
        <f t="shared" si="1"/>
        <v>1</v>
      </c>
      <c r="M10" s="1" t="b">
        <f t="shared" si="2"/>
        <v>1</v>
      </c>
      <c r="N10" s="42">
        <f t="shared" si="3"/>
        <v>70</v>
      </c>
      <c r="O10" s="42">
        <f>(D$68*L68)-E10</f>
        <v>44.999999999999986</v>
      </c>
      <c r="P10" s="42">
        <f t="shared" si="4"/>
        <v>9</v>
      </c>
      <c r="Q10" s="42">
        <f>(C$68*L68)-C10</f>
        <v>47.999999999999993</v>
      </c>
      <c r="R10" s="42">
        <f t="shared" si="5"/>
        <v>171.99999999999997</v>
      </c>
      <c r="S10" s="30">
        <f t="shared" si="6"/>
        <v>1501908299.9999995</v>
      </c>
      <c r="T10" s="30">
        <f t="shared" si="7"/>
        <v>48159584.999999978</v>
      </c>
      <c r="U10" s="31">
        <f t="shared" si="8"/>
        <v>31.186072305232702</v>
      </c>
    </row>
    <row r="11" spans="2:21" ht="18" customHeight="1">
      <c r="B11" s="32" t="str">
        <f>'Data Entry'!A11</f>
        <v>6. Cases Petitioned (Charge Filed)</v>
      </c>
      <c r="C11" s="33">
        <f>'Data Entry'!C11</f>
        <v>32</v>
      </c>
      <c r="D11" s="34">
        <f>IF(((AND(C68&gt;0,C11&gt;0))),(C11/(C68)),0)</f>
        <v>56.140350877192986</v>
      </c>
      <c r="E11" s="33">
        <f>'Data Entry'!J11</f>
        <v>96</v>
      </c>
      <c r="F11" s="34">
        <f>IF(((AND($E$11&gt;0,$D$68&gt;0))),($E$11/($D$68)),0)</f>
        <v>83.478260869565219</v>
      </c>
      <c r="G11" s="39">
        <f t="shared" si="0"/>
        <v>1.4869565217391303</v>
      </c>
      <c r="H11" s="40"/>
      <c r="I11" s="41"/>
      <c r="J11" s="40">
        <f>IF((ABS($U11)&gt;Defaults!D$7),1,2)</f>
        <v>1</v>
      </c>
      <c r="K11" s="39">
        <f>IF((AND(N11&gt;Defaults!B$12,(N11+O11)&gt;Defaults!B$13, P11 &gt; Defaults!B$12, (P11+Q11) &gt; Defaults!B$13)),1,20)</f>
        <v>1</v>
      </c>
      <c r="L11" s="1">
        <f t="shared" si="1"/>
        <v>1</v>
      </c>
      <c r="M11" s="1" t="b">
        <f t="shared" si="2"/>
        <v>1</v>
      </c>
      <c r="N11" s="42">
        <f t="shared" si="3"/>
        <v>96</v>
      </c>
      <c r="O11" s="42">
        <f>(D$68*L68)-E11</f>
        <v>18.999999999999986</v>
      </c>
      <c r="P11" s="42">
        <f t="shared" si="4"/>
        <v>32</v>
      </c>
      <c r="Q11" s="42">
        <f>(C$68*L68)-C11</f>
        <v>24.999999999999993</v>
      </c>
      <c r="R11" s="42">
        <f t="shared" si="5"/>
        <v>172</v>
      </c>
      <c r="S11" s="30">
        <f t="shared" si="6"/>
        <v>552337407.99999964</v>
      </c>
      <c r="T11" s="30">
        <f t="shared" si="7"/>
        <v>36917759.99999997</v>
      </c>
      <c r="U11" s="31">
        <f t="shared" si="8"/>
        <v>14.961292559461898</v>
      </c>
    </row>
    <row r="12" spans="2:21" ht="18" customHeight="1">
      <c r="B12" s="32" t="str">
        <f>'Data Entry'!A12</f>
        <v>7. Cases Resulting in Delinquent Findings</v>
      </c>
      <c r="C12" s="33">
        <f>'Data Entry'!C12</f>
        <v>38</v>
      </c>
      <c r="D12" s="34">
        <f>IF(((AND(C69&gt;0,C12&gt;0))),(C12/(C69)),0)</f>
        <v>118.75</v>
      </c>
      <c r="E12" s="33">
        <f>'Data Entry'!J12</f>
        <v>98</v>
      </c>
      <c r="F12" s="34">
        <f>IF(((AND($D$69&gt;0,$E$12&gt;0))),(E12/(D69)),0)</f>
        <v>102.08333333333334</v>
      </c>
      <c r="G12" s="39">
        <f t="shared" si="0"/>
        <v>0.85964912280701766</v>
      </c>
      <c r="H12" s="40"/>
      <c r="I12" s="41"/>
      <c r="J12" s="40">
        <f>IF((ABS($U12)&gt;Defaults!D$7),1,2)</f>
        <v>1</v>
      </c>
      <c r="K12" s="39">
        <f>IF((AND(N12&gt;Defaults!B$12,(N12+O12)&gt;Defaults!B$13, P12 &gt; Defaults!B$12, (P12+Q12) &gt; Defaults!B$13)),1,20)</f>
        <v>1</v>
      </c>
      <c r="L12" s="1">
        <f t="shared" si="1"/>
        <v>1</v>
      </c>
      <c r="M12" s="1" t="b">
        <f t="shared" si="2"/>
        <v>1</v>
      </c>
      <c r="N12" s="42">
        <f t="shared" si="3"/>
        <v>98</v>
      </c>
      <c r="O12" s="42">
        <f>(D69*L69)-E12</f>
        <v>-2</v>
      </c>
      <c r="P12" s="42">
        <f t="shared" si="4"/>
        <v>38</v>
      </c>
      <c r="Q12" s="42">
        <f>(C69*L69)-C12</f>
        <v>-6</v>
      </c>
      <c r="R12" s="42">
        <f t="shared" si="5"/>
        <v>128</v>
      </c>
      <c r="S12" s="30">
        <f t="shared" si="6"/>
        <v>33554432</v>
      </c>
      <c r="T12" s="30">
        <f t="shared" si="7"/>
        <v>-3342336</v>
      </c>
      <c r="U12" s="31">
        <f t="shared" si="8"/>
        <v>-10.03921568627451</v>
      </c>
    </row>
    <row r="13" spans="2:21" ht="18" customHeight="1">
      <c r="B13" s="32" t="str">
        <f>'Data Entry'!A13</f>
        <v>8. Cases Resulting in Probation Placement</v>
      </c>
      <c r="C13" s="33">
        <f>'Data Entry'!C13</f>
        <v>38</v>
      </c>
      <c r="D13" s="34">
        <f>IF(((AND(C70&gt;0,C13&gt;0))),(C13/(C70)),0)</f>
        <v>100</v>
      </c>
      <c r="E13" s="33">
        <f>'Data Entry'!J13</f>
        <v>98</v>
      </c>
      <c r="F13" s="34">
        <f>IF(((AND($D$70&gt;0,$E$13&gt;0))),($E$13/($D$70)),0)</f>
        <v>100</v>
      </c>
      <c r="G13" s="39" t="str">
        <f t="shared" si="0"/>
        <v>--</v>
      </c>
      <c r="H13" s="40"/>
      <c r="I13" s="41"/>
      <c r="J13" s="40" t="e">
        <f>IF((ABS($U13)&gt;Defaults!D$7),1,2)</f>
        <v>#VALUE!</v>
      </c>
      <c r="K13" s="39">
        <f>IF((AND(N13&gt;Defaults!B$12,(N13+O13)&gt;Defaults!B$13, P13 &gt; Defaults!B$12, (P13+Q13) &gt; Defaults!B$13)),1,20)</f>
        <v>1</v>
      </c>
      <c r="L13" s="1" t="e">
        <f t="shared" si="1"/>
        <v>#VALUE!</v>
      </c>
      <c r="M13" s="1" t="b">
        <f t="shared" si="2"/>
        <v>0</v>
      </c>
      <c r="N13" s="42">
        <f t="shared" si="3"/>
        <v>98</v>
      </c>
      <c r="O13" s="42">
        <f>(D70*L70)-E13</f>
        <v>0</v>
      </c>
      <c r="P13" s="42">
        <f t="shared" si="4"/>
        <v>38</v>
      </c>
      <c r="Q13" s="42">
        <f>(C70*L70)-C13</f>
        <v>0</v>
      </c>
      <c r="R13" s="42">
        <f t="shared" si="5"/>
        <v>136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2.6315789473684212</v>
      </c>
      <c r="E14" s="33">
        <f>'Data Entry'!J14</f>
        <v>6</v>
      </c>
      <c r="F14" s="34">
        <f>IF(((AND($D$70&gt;0,$E$14&gt;0))), (($E$14/($D$70))),0)</f>
        <v>6.1224489795918364</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6</v>
      </c>
      <c r="O14" s="42">
        <f>(D70*L70)-E14</f>
        <v>92</v>
      </c>
      <c r="P14" s="42">
        <f t="shared" si="4"/>
        <v>1</v>
      </c>
      <c r="Q14" s="42">
        <f>(C70*L70)-C14</f>
        <v>37</v>
      </c>
      <c r="R14" s="42">
        <f t="shared" si="5"/>
        <v>136</v>
      </c>
      <c r="S14" s="30">
        <f t="shared" si="6"/>
        <v>2298400</v>
      </c>
      <c r="T14" s="30">
        <f t="shared" si="7"/>
        <v>3362772</v>
      </c>
      <c r="U14" s="31">
        <f t="shared" si="8"/>
        <v>0.68348374495802866</v>
      </c>
    </row>
    <row r="15" spans="2:21" ht="15.75" customHeight="1">
      <c r="B15" s="32" t="str">
        <f>'Data Entry'!A15</f>
        <v xml:space="preserve">10. Cases Transferred to Adult Court </v>
      </c>
      <c r="C15" s="33">
        <f>'Data Entry'!C15</f>
        <v>0</v>
      </c>
      <c r="D15" s="34">
        <f>IF(((AND(C69&gt;0,C15&gt;0))),((C15/(C69))),0)</f>
        <v>0</v>
      </c>
      <c r="E15" s="33">
        <f>'Data Entry'!J15</f>
        <v>1</v>
      </c>
      <c r="F15" s="34">
        <f>IF(((AND($D$69&gt;0,$E$15&gt;0))),(($E$15/($D$69))),0)</f>
        <v>1.0416666666666667</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1</v>
      </c>
      <c r="O15" s="42">
        <f>(D69*L69)-E15</f>
        <v>95</v>
      </c>
      <c r="P15" s="42">
        <f t="shared" si="4"/>
        <v>0</v>
      </c>
      <c r="Q15" s="42">
        <f>(C69*L69)-C15</f>
        <v>32</v>
      </c>
      <c r="R15" s="42">
        <f t="shared" si="5"/>
        <v>128</v>
      </c>
      <c r="S15" s="30">
        <f t="shared" si="6"/>
        <v>131072</v>
      </c>
      <c r="T15" s="30">
        <f t="shared" si="7"/>
        <v>390144</v>
      </c>
      <c r="U15" s="31">
        <f t="shared" si="8"/>
        <v>0.33595800524934383</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15.055</v>
      </c>
      <c r="D42" s="56">
        <f>E6/1000</f>
        <v>10.023999999999999</v>
      </c>
      <c r="E42" s="56">
        <f>MAX(C42:D42)</f>
        <v>15.055</v>
      </c>
      <c r="G42" s="1" t="str">
        <f>B42</f>
        <v>per 1000 youth</v>
      </c>
      <c r="L42" s="57">
        <v>1000</v>
      </c>
      <c r="M42" s="57"/>
      <c r="R42" s="49"/>
    </row>
    <row r="43" spans="2:18" ht="15" hidden="1" customHeight="1">
      <c r="B43" s="49" t="s">
        <v>87</v>
      </c>
      <c r="C43" s="56">
        <f>C7/100</f>
        <v>0.24</v>
      </c>
      <c r="D43" s="56">
        <f>E7/100</f>
        <v>0.96</v>
      </c>
      <c r="E43" s="56">
        <f>MAX(C43:D43,0)</f>
        <v>0.96</v>
      </c>
      <c r="G43" s="1" t="str">
        <f>B43</f>
        <v>per 100 arrests</v>
      </c>
      <c r="L43" s="57">
        <v>100</v>
      </c>
      <c r="M43" s="57"/>
      <c r="R43" s="49"/>
    </row>
    <row r="44" spans="2:18" ht="15" hidden="1" customHeight="1">
      <c r="B44" s="49" t="s">
        <v>88</v>
      </c>
      <c r="C44" s="56">
        <f>C8/100</f>
        <v>0.56999999999999995</v>
      </c>
      <c r="D44" s="56">
        <f>E8/100</f>
        <v>1.1499999999999999</v>
      </c>
      <c r="E44" s="56">
        <f>MAX(C44:D44,0)</f>
        <v>1.1499999999999999</v>
      </c>
      <c r="G44" s="1" t="str">
        <f>B44</f>
        <v>per 100 referrals</v>
      </c>
      <c r="L44" s="57">
        <v>100</v>
      </c>
      <c r="M44" s="57"/>
      <c r="R44" s="49"/>
    </row>
    <row r="45" spans="2:18" ht="15" hidden="1" customHeight="1">
      <c r="B45" s="49" t="s">
        <v>89</v>
      </c>
      <c r="C45" s="49">
        <f>C11/100</f>
        <v>0.32</v>
      </c>
      <c r="D45" s="49">
        <f>E11/100</f>
        <v>0.96</v>
      </c>
      <c r="E45" s="56">
        <f>MAX(C45:D45,0)</f>
        <v>0.96</v>
      </c>
      <c r="G45" s="1" t="str">
        <f>B45</f>
        <v>per 100 youth petitioned</v>
      </c>
      <c r="L45" s="57">
        <v>100</v>
      </c>
      <c r="M45" s="57"/>
      <c r="R45" s="49"/>
    </row>
    <row r="46" spans="2:18" ht="15" hidden="1" customHeight="1">
      <c r="B46" s="49" t="s">
        <v>90</v>
      </c>
      <c r="C46" s="49">
        <f>C12/100</f>
        <v>0.38</v>
      </c>
      <c r="D46" s="49">
        <f>E12/100</f>
        <v>0.98</v>
      </c>
      <c r="E46" s="56">
        <f>MAX(C46:D46)</f>
        <v>0.98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15.055</v>
      </c>
      <c r="D48" s="56">
        <f>D42</f>
        <v>10.023999999999999</v>
      </c>
      <c r="E48" s="56">
        <f>MAX(C48:D48)</f>
        <v>15.055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0.24</v>
      </c>
      <c r="D49" s="49">
        <f t="shared" si="9"/>
        <v>0.96</v>
      </c>
      <c r="E49" s="49">
        <f>MAX(C49:D49)</f>
        <v>0.96</v>
      </c>
      <c r="G49" s="1" t="str">
        <f>G43</f>
        <v>per 100 arrests</v>
      </c>
      <c r="L49" s="58">
        <f>IF(($E43&gt;0),L43,L42)</f>
        <v>100</v>
      </c>
      <c r="M49" s="58"/>
      <c r="N49" s="21"/>
      <c r="O49" s="21"/>
      <c r="P49" s="21"/>
      <c r="Q49" s="21"/>
      <c r="R49" s="21"/>
    </row>
    <row r="50" spans="2:18" ht="15" hidden="1" customHeight="1">
      <c r="B50" s="49" t="str">
        <f t="shared" si="9"/>
        <v>per 100 referrals</v>
      </c>
      <c r="C50" s="49">
        <f t="shared" si="9"/>
        <v>0.56999999999999995</v>
      </c>
      <c r="D50" s="49">
        <f t="shared" si="9"/>
        <v>1.1499999999999999</v>
      </c>
      <c r="E50" s="49">
        <f>MAX(C50:D50)</f>
        <v>1.1499999999999999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0.32</v>
      </c>
      <c r="D51" s="49">
        <f>IF(($E45&gt;0),D45,D44)</f>
        <v>0.96</v>
      </c>
      <c r="E51" s="49">
        <f>MAX(C51:D51)</f>
        <v>0.96</v>
      </c>
      <c r="G51" s="1" t="str">
        <f>G45</f>
        <v>per 100 youth petitioned</v>
      </c>
      <c r="L51" s="58">
        <f>IF(($E45&gt;0),L45,L44)</f>
        <v>100</v>
      </c>
      <c r="M51" s="58"/>
    </row>
    <row r="52" spans="2:18" ht="15" hidden="1" customHeight="1">
      <c r="B52" s="49" t="str">
        <f>IF(($E46&gt;0),B46,B45)</f>
        <v>per 100 youth found delinquent</v>
      </c>
      <c r="C52" s="49">
        <f>IF(($E46&gt;0),C46,C45)</f>
        <v>0.38</v>
      </c>
      <c r="D52" s="49">
        <f>IF(($E46&gt;0),D46,D45)</f>
        <v>0.98</v>
      </c>
      <c r="E52" s="56">
        <f>MAX(C52:D52)</f>
        <v>0.98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15.055</v>
      </c>
      <c r="D54" s="56">
        <f>D48</f>
        <v>10.023999999999999</v>
      </c>
      <c r="E54" s="56">
        <f>MAX(C54:D54)</f>
        <v>15.055</v>
      </c>
      <c r="G54" s="1" t="str">
        <f>G48</f>
        <v>per 1000 youth</v>
      </c>
      <c r="L54" s="58">
        <f>L48</f>
        <v>1000</v>
      </c>
      <c r="M54" s="58"/>
    </row>
    <row r="55" spans="2:18" ht="15" hidden="1" customHeight="1">
      <c r="B55" s="49" t="str">
        <f t="shared" ref="B55:D56" si="10">IF(($E49&gt;0),B49,B48)</f>
        <v>per 100 arrests</v>
      </c>
      <c r="C55" s="49">
        <f t="shared" si="10"/>
        <v>0.24</v>
      </c>
      <c r="D55" s="49">
        <f t="shared" si="10"/>
        <v>0.96</v>
      </c>
      <c r="E55" s="49">
        <f>MAX(C55:D55)</f>
        <v>0.96</v>
      </c>
      <c r="G55" s="1" t="str">
        <f>G49</f>
        <v>per 100 arrests</v>
      </c>
      <c r="L55" s="58">
        <f>IF(($E49&gt;0),L49,L48)</f>
        <v>100</v>
      </c>
      <c r="M55" s="58"/>
    </row>
    <row r="56" spans="2:18" ht="15" hidden="1" customHeight="1">
      <c r="B56" s="49" t="str">
        <f t="shared" si="10"/>
        <v>per 100 referrals</v>
      </c>
      <c r="C56" s="49">
        <f t="shared" si="10"/>
        <v>0.56999999999999995</v>
      </c>
      <c r="D56" s="49">
        <f t="shared" si="10"/>
        <v>1.1499999999999999</v>
      </c>
      <c r="E56" s="49">
        <f>MAX(C56:D56)</f>
        <v>1.1499999999999999</v>
      </c>
      <c r="G56" s="1" t="str">
        <f>G50</f>
        <v>per 100 referrals</v>
      </c>
      <c r="L56" s="58">
        <f>IF(($E50&gt;0),L50,L49)</f>
        <v>100</v>
      </c>
      <c r="M56" s="58"/>
    </row>
    <row r="57" spans="2:18" ht="15" hidden="1" customHeight="1">
      <c r="B57" s="49" t="str">
        <f>IF(($E51&gt;0),B51,B49)</f>
        <v>per 100 youth petitioned</v>
      </c>
      <c r="C57" s="49">
        <f>IF(($E51&gt;0),C51,C50)</f>
        <v>0.32</v>
      </c>
      <c r="D57" s="49">
        <f>IF(($E51&gt;0),D51,D50)</f>
        <v>0.96</v>
      </c>
      <c r="E57" s="49">
        <f>MAX(C57:D57)</f>
        <v>0.96</v>
      </c>
      <c r="G57" s="1" t="str">
        <f>G51</f>
        <v>per 100 youth petitioned</v>
      </c>
      <c r="L57" s="58">
        <f>IF(($E51&gt;0),L51,L50)</f>
        <v>100</v>
      </c>
      <c r="M57" s="58"/>
    </row>
    <row r="58" spans="2:18" ht="15" hidden="1" customHeight="1">
      <c r="B58" s="49" t="str">
        <f>IF(($E52&gt;0),B52,B51)</f>
        <v>per 100 youth found delinquent</v>
      </c>
      <c r="C58" s="49">
        <f>IF(($E52&gt;0),C52,C51)</f>
        <v>0.38</v>
      </c>
      <c r="D58" s="49">
        <f>IF(($E52&gt;0),D52,D51)</f>
        <v>0.98</v>
      </c>
      <c r="E58" s="56">
        <f>MAX(C58:D58)</f>
        <v>0.98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15.055</v>
      </c>
      <c r="D60" s="56">
        <f>D54</f>
        <v>10.023999999999999</v>
      </c>
      <c r="E60" s="56">
        <f>MAX(C60:D60)</f>
        <v>15.055</v>
      </c>
      <c r="G60" s="1" t="str">
        <f>G54</f>
        <v>per 1000 youth</v>
      </c>
      <c r="L60" s="58">
        <f>L54</f>
        <v>1000</v>
      </c>
      <c r="M60" s="58"/>
    </row>
    <row r="61" spans="2:18" ht="15" hidden="1" customHeight="1">
      <c r="B61" s="49" t="str">
        <f t="shared" ref="B61:D62" si="11">IF(($E55&gt;0),B55,B54)</f>
        <v>per 100 arrests</v>
      </c>
      <c r="C61" s="49">
        <f t="shared" si="11"/>
        <v>0.24</v>
      </c>
      <c r="D61" s="49">
        <f t="shared" si="11"/>
        <v>0.96</v>
      </c>
      <c r="E61" s="49">
        <f>MAX(C61:D61)</f>
        <v>0.96</v>
      </c>
      <c r="G61" s="1" t="str">
        <f>G55</f>
        <v>per 100 arrests</v>
      </c>
      <c r="L61" s="58">
        <f>IF(($E55&gt;0),L55,L54)</f>
        <v>100</v>
      </c>
      <c r="M61" s="58"/>
    </row>
    <row r="62" spans="2:18" ht="15" hidden="1" customHeight="1">
      <c r="B62" s="49" t="str">
        <f t="shared" si="11"/>
        <v>per 100 referrals</v>
      </c>
      <c r="C62" s="49">
        <f t="shared" si="11"/>
        <v>0.56999999999999995</v>
      </c>
      <c r="D62" s="49">
        <f t="shared" si="11"/>
        <v>1.1499999999999999</v>
      </c>
      <c r="E62" s="49">
        <f>MAX(C62:D62)</f>
        <v>1.1499999999999999</v>
      </c>
      <c r="G62" s="1" t="str">
        <f>G56</f>
        <v>per 100 referrals</v>
      </c>
      <c r="L62" s="58">
        <f>IF(($E56&gt;0),L56,L55)</f>
        <v>100</v>
      </c>
      <c r="M62" s="58"/>
    </row>
    <row r="63" spans="2:18" ht="15" hidden="1" customHeight="1">
      <c r="B63" s="49" t="str">
        <f>IF(($E57&gt;0),B57,B55)</f>
        <v>per 100 youth petitioned</v>
      </c>
      <c r="C63" s="49">
        <f>IF(($E57&gt;0),C57,C56)</f>
        <v>0.32</v>
      </c>
      <c r="D63" s="49">
        <f>IF(($E57&gt;0),D57,D56)</f>
        <v>0.96</v>
      </c>
      <c r="E63" s="49">
        <f>MAX(C63:D63)</f>
        <v>0.96</v>
      </c>
      <c r="G63" s="1" t="str">
        <f>G57</f>
        <v>per 100 youth petitioned</v>
      </c>
      <c r="L63" s="58">
        <f>IF(($E57&gt;0),L57,L56)</f>
        <v>100</v>
      </c>
      <c r="M63" s="58"/>
    </row>
    <row r="64" spans="2:18" ht="15" hidden="1" customHeight="1">
      <c r="B64" s="49" t="str">
        <f>IF(($E58&gt;0),B58,B57)</f>
        <v>per 100 youth found delinquent</v>
      </c>
      <c r="C64" s="49">
        <f>IF(($E58&gt;0),C58,C57)</f>
        <v>0.38</v>
      </c>
      <c r="D64" s="49">
        <f>IF(($E58&gt;0),D58,D57)</f>
        <v>0.98</v>
      </c>
      <c r="E64" s="56">
        <f>MAX(C64:D64)</f>
        <v>0.98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15.055</v>
      </c>
      <c r="D66" s="56">
        <f>D60</f>
        <v>10.023999999999999</v>
      </c>
      <c r="E66" s="56">
        <f>MAX(C66:D66)</f>
        <v>15.055</v>
      </c>
      <c r="G66" s="1" t="str">
        <f>G60</f>
        <v>per 1000 youth</v>
      </c>
      <c r="L66" s="58">
        <f>L60</f>
        <v>1000</v>
      </c>
      <c r="M66" s="58">
        <f>IF((B66=G66),1,2)</f>
        <v>1</v>
      </c>
    </row>
    <row r="67" spans="2:13" ht="15" hidden="1" customHeight="1">
      <c r="B67" s="49" t="str">
        <f t="shared" ref="B67:D68" si="12">IF(($E61&gt;0),B61,B60)</f>
        <v>per 100 arrests</v>
      </c>
      <c r="C67" s="49">
        <f t="shared" si="12"/>
        <v>0.24</v>
      </c>
      <c r="D67" s="49">
        <f t="shared" si="12"/>
        <v>0.96</v>
      </c>
      <c r="E67" s="49">
        <f>MAX(C67:D67)</f>
        <v>0.96</v>
      </c>
      <c r="G67" s="1" t="str">
        <f>G61</f>
        <v>per 100 arrests</v>
      </c>
      <c r="L67" s="58">
        <f>IF(($E61&gt;0),L61,L60)</f>
        <v>100</v>
      </c>
      <c r="M67" s="58">
        <f>IF((B67=G67),1,2)</f>
        <v>1</v>
      </c>
    </row>
    <row r="68" spans="2:13" ht="15" hidden="1" customHeight="1">
      <c r="B68" s="49" t="str">
        <f t="shared" si="12"/>
        <v>per 100 referrals</v>
      </c>
      <c r="C68" s="49">
        <f t="shared" si="12"/>
        <v>0.56999999999999995</v>
      </c>
      <c r="D68" s="49">
        <f t="shared" si="12"/>
        <v>1.1499999999999999</v>
      </c>
      <c r="E68" s="49">
        <f>MAX(C68:D68)</f>
        <v>1.1499999999999999</v>
      </c>
      <c r="G68" s="1" t="str">
        <f>G62</f>
        <v>per 100 referrals</v>
      </c>
      <c r="L68" s="58">
        <f>IF(($E62&gt;0),L62,L61)</f>
        <v>100</v>
      </c>
      <c r="M68" s="58">
        <f>IF((B68=G68),1,2)</f>
        <v>1</v>
      </c>
    </row>
    <row r="69" spans="2:13" ht="15" hidden="1" customHeight="1">
      <c r="B69" s="49" t="str">
        <f>IF(($E63&gt;0),B63,B61)</f>
        <v>per 100 youth petitioned</v>
      </c>
      <c r="C69" s="49">
        <f>IF(($E63&gt;0),C63,C62)</f>
        <v>0.32</v>
      </c>
      <c r="D69" s="49">
        <f>IF(($E63&gt;0),D63,D62)</f>
        <v>0.96</v>
      </c>
      <c r="E69" s="49">
        <f>MAX(C69:D69)</f>
        <v>0.96</v>
      </c>
      <c r="G69" s="1" t="str">
        <f>G63</f>
        <v>per 100 youth petitioned</v>
      </c>
      <c r="L69" s="58">
        <f>IF(($E63&gt;0),L63,L62)</f>
        <v>100</v>
      </c>
      <c r="M69" s="58">
        <f>IF((B69=G69),1,2)</f>
        <v>1</v>
      </c>
    </row>
    <row r="70" spans="2:13" ht="15" hidden="1" customHeight="1">
      <c r="B70" s="49" t="str">
        <f>IF(($E64&gt;0),B64,B63)</f>
        <v>per 100 youth found delinquent</v>
      </c>
      <c r="C70" s="49">
        <f>IF(($E64&gt;0),C64,C63)</f>
        <v>0.38</v>
      </c>
      <c r="D70" s="49">
        <f>IF(($E64&gt;0),D64,D63)</f>
        <v>0.98</v>
      </c>
      <c r="E70" s="56">
        <f>MAX(C70:D70)</f>
        <v>0.98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Ingham</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11.258753144333401</v>
      </c>
      <c r="D7" s="72">
        <f>Hispanic!G7</f>
        <v>1.3226029116465863</v>
      </c>
      <c r="E7" s="72" t="str">
        <f>Asian!G7</f>
        <v>**</v>
      </c>
      <c r="F7" s="72" t="str">
        <f>Hawaiian!G7</f>
        <v>*</v>
      </c>
      <c r="G7" s="72" t="str">
        <f>'Am Indian'!G7</f>
        <v>*</v>
      </c>
      <c r="H7" s="72" t="str">
        <f>'Other - Mixed'!G7</f>
        <v>*</v>
      </c>
      <c r="I7" s="73">
        <f>'All Minorities'!G7</f>
        <v>6.0075818036711892</v>
      </c>
      <c r="L7" s="1">
        <f>'Black or African-American'!L7</f>
        <v>1</v>
      </c>
      <c r="M7" s="1">
        <f>Hispanic!L7</f>
        <v>2</v>
      </c>
      <c r="N7" s="1">
        <f>Asian!L7</f>
        <v>40</v>
      </c>
      <c r="O7" s="1" t="e">
        <f>Hawaiian!L7</f>
        <v>#VALUE!</v>
      </c>
      <c r="P7" s="1">
        <f>'Am Indian'!L7</f>
        <v>139</v>
      </c>
      <c r="Q7" s="1" t="e">
        <f>'Other - Mixed'!L7</f>
        <v>#VALUE!</v>
      </c>
      <c r="R7" s="1">
        <f>'All Minorities'!L7</f>
        <v>1</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40</v>
      </c>
      <c r="O8" s="1">
        <f>Hawaiian!L8</f>
        <v>139</v>
      </c>
      <c r="P8" s="1">
        <f>'Am Indian'!L8</f>
        <v>139</v>
      </c>
      <c r="Q8" s="1">
        <f>'Other - Mixed'!L8</f>
        <v>139</v>
      </c>
      <c r="R8" s="1">
        <f>'All Minorities'!L8</f>
        <v>20</v>
      </c>
    </row>
    <row r="9" spans="2:18" ht="15" customHeight="1">
      <c r="B9" s="71" t="s">
        <v>10</v>
      </c>
      <c r="C9" s="72">
        <f>'Black or African-American'!$G9</f>
        <v>0.53576058772687984</v>
      </c>
      <c r="D9" s="72" t="str">
        <f>Hispanic!G9</f>
        <v>**</v>
      </c>
      <c r="E9" s="72" t="str">
        <f>Asian!G9</f>
        <v>**</v>
      </c>
      <c r="F9" s="72" t="str">
        <f>Hawaiian!G9</f>
        <v>*</v>
      </c>
      <c r="G9" s="72" t="str">
        <f>'Am Indian'!G9</f>
        <v>*</v>
      </c>
      <c r="H9" s="72" t="str">
        <f>'Other - Mixed'!G9</f>
        <v>*</v>
      </c>
      <c r="I9" s="73">
        <f>'All Minorities'!G9</f>
        <v>0.51792867611138249</v>
      </c>
      <c r="L9" s="1">
        <f>'Black or African-American'!L9</f>
        <v>1</v>
      </c>
      <c r="M9" s="1">
        <f>Hispanic!L9</f>
        <v>20</v>
      </c>
      <c r="N9" s="1">
        <f>Asian!L9</f>
        <v>40</v>
      </c>
      <c r="O9" s="1" t="e">
        <f>Hawaiian!L9</f>
        <v>#VALUE!</v>
      </c>
      <c r="P9" s="1" t="e">
        <f>'Am Indian'!L9</f>
        <v>#VALUE!</v>
      </c>
      <c r="Q9" s="1" t="e">
        <f>'Other - Mixed'!L9</f>
        <v>#VALUE!</v>
      </c>
      <c r="R9" s="1">
        <f>'All Minorities'!L9</f>
        <v>1</v>
      </c>
    </row>
    <row r="10" spans="2:18" ht="15" customHeight="1">
      <c r="B10" s="71" t="s">
        <v>11</v>
      </c>
      <c r="C10" s="72">
        <f>'Black or African-American'!$G10</f>
        <v>3.8365384615384612</v>
      </c>
      <c r="D10" s="72" t="str">
        <f>Hispanic!G10</f>
        <v>**</v>
      </c>
      <c r="E10" s="72" t="str">
        <f>Asian!G10</f>
        <v>**</v>
      </c>
      <c r="F10" s="72" t="str">
        <f>Hawaiian!G10</f>
        <v>*</v>
      </c>
      <c r="G10" s="72" t="str">
        <f>'Am Indian'!G10</f>
        <v>*</v>
      </c>
      <c r="H10" s="72" t="str">
        <f>'Other - Mixed'!G10</f>
        <v>*</v>
      </c>
      <c r="I10" s="73">
        <f>'All Minorities'!G10</f>
        <v>3.8550724637681162</v>
      </c>
      <c r="L10" s="1">
        <f>'Black or African-American'!L10</f>
        <v>1</v>
      </c>
      <c r="M10" s="1">
        <f>Hispanic!L10</f>
        <v>20</v>
      </c>
      <c r="N10" s="1">
        <f>Asian!L10</f>
        <v>20</v>
      </c>
      <c r="O10" s="1" t="e">
        <f>Hawaiian!L10</f>
        <v>#VALUE!</v>
      </c>
      <c r="P10" s="1" t="e">
        <f>'Am Indian'!L10</f>
        <v>#VALUE!</v>
      </c>
      <c r="Q10" s="1" t="e">
        <f>'Other - Mixed'!L10</f>
        <v>#VALUE!</v>
      </c>
      <c r="R10" s="1">
        <f>'All Minorities'!L10</f>
        <v>1</v>
      </c>
    </row>
    <row r="11" spans="2:18" ht="15" customHeight="1">
      <c r="B11" s="71" t="s">
        <v>95</v>
      </c>
      <c r="C11" s="72">
        <f>'Black or African-American'!$G11</f>
        <v>1.4729567307692306</v>
      </c>
      <c r="D11" s="72" t="str">
        <f>Hispanic!G11</f>
        <v>**</v>
      </c>
      <c r="E11" s="72" t="str">
        <f>Asian!G11</f>
        <v>**</v>
      </c>
      <c r="F11" s="72" t="str">
        <f>Hawaiian!G11</f>
        <v>*</v>
      </c>
      <c r="G11" s="72" t="str">
        <f>'Am Indian'!G11</f>
        <v>*</v>
      </c>
      <c r="H11" s="72" t="str">
        <f>'Other - Mixed'!G11</f>
        <v>*</v>
      </c>
      <c r="I11" s="73">
        <f>'All Minorities'!G11</f>
        <v>1.4869565217391303</v>
      </c>
      <c r="L11" s="1">
        <f>'Black or African-American'!L11</f>
        <v>1</v>
      </c>
      <c r="M11" s="1">
        <f>Hispanic!L11</f>
        <v>20</v>
      </c>
      <c r="N11" s="1">
        <f>Asian!L11</f>
        <v>40</v>
      </c>
      <c r="O11" s="1" t="e">
        <f>Hawaiian!L11</f>
        <v>#VALUE!</v>
      </c>
      <c r="P11" s="1" t="e">
        <f>'Am Indian'!L11</f>
        <v>#VALUE!</v>
      </c>
      <c r="Q11" s="1" t="e">
        <f>'Other - Mixed'!L11</f>
        <v>#VALUE!</v>
      </c>
      <c r="R11" s="1">
        <f>'All Minorities'!L11</f>
        <v>1</v>
      </c>
    </row>
    <row r="12" spans="2:18" ht="15" customHeight="1">
      <c r="B12" s="71" t="s">
        <v>13</v>
      </c>
      <c r="C12" s="72">
        <f>'Black or African-American'!$G12</f>
        <v>0.86168910648714803</v>
      </c>
      <c r="D12" s="72" t="str">
        <f>Hispanic!G12</f>
        <v>**</v>
      </c>
      <c r="E12" s="72" t="str">
        <f>Asian!G12</f>
        <v>**</v>
      </c>
      <c r="F12" s="72" t="str">
        <f>Hawaiian!G12</f>
        <v>*</v>
      </c>
      <c r="G12" s="72" t="str">
        <f>'Am Indian'!G12</f>
        <v>*</v>
      </c>
      <c r="H12" s="72" t="str">
        <f>'Other - Mixed'!G12</f>
        <v>*</v>
      </c>
      <c r="I12" s="73">
        <f>'All Minorities'!G12</f>
        <v>0.85964912280701766</v>
      </c>
      <c r="L12" s="1">
        <f>'Black or African-American'!L12</f>
        <v>1</v>
      </c>
      <c r="M12" s="1">
        <f>Hispanic!L12</f>
        <v>20</v>
      </c>
      <c r="N12" s="1">
        <f>Asian!L12</f>
        <v>40</v>
      </c>
      <c r="O12" s="1" t="e">
        <f>Hawaiian!L12</f>
        <v>#VALUE!</v>
      </c>
      <c r="P12" s="1" t="e">
        <f>'Am Indian'!L12</f>
        <v>#VALUE!</v>
      </c>
      <c r="Q12" s="1" t="e">
        <f>'Other - Mixed'!L12</f>
        <v>#VALUE!</v>
      </c>
      <c r="R12" s="1">
        <f>'All Minorities'!L12</f>
        <v>1</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f>Hispanic!L14</f>
        <v>40</v>
      </c>
      <c r="N14" s="1">
        <f>Asian!L14</f>
        <v>40</v>
      </c>
      <c r="O14" s="1" t="e">
        <f>Hawaiian!L14</f>
        <v>#VALUE!</v>
      </c>
      <c r="P14" s="1" t="e">
        <f>'Am Indian'!L14</f>
        <v>#VALUE!</v>
      </c>
      <c r="Q14" s="1" t="e">
        <f>'Other - Mixed'!L14</f>
        <v>#VALUE!</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f>'Black or African-American'!L15</f>
        <v>40</v>
      </c>
      <c r="M15" s="1" t="e">
        <f>Hispanic!L15</f>
        <v>#VALUE!</v>
      </c>
      <c r="N15" s="1" t="e">
        <f>Asian!L15</f>
        <v>#VALUE!</v>
      </c>
      <c r="O15" s="1" t="e">
        <f>Hawaiian!L15</f>
        <v>#VALUE!</v>
      </c>
      <c r="P15" s="1" t="e">
        <f>'Am Indian'!L15</f>
        <v>#VALUE!</v>
      </c>
      <c r="Q15" s="1" t="e">
        <f>'Other - Mixed'!L15</f>
        <v>#VALUE!</v>
      </c>
      <c r="R15" s="1">
        <f>'All Minorities'!L15</f>
        <v>40</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25079</v>
      </c>
      <c r="D3" s="57">
        <f>'Data Entry'!C6</f>
        <v>15055</v>
      </c>
      <c r="E3" s="57">
        <f>'Data Entry'!D6</f>
        <v>4903</v>
      </c>
      <c r="F3" s="57">
        <f>'Data Entry'!E6</f>
        <v>3320</v>
      </c>
      <c r="G3" s="57">
        <f>'Data Entry'!F6</f>
        <v>1654</v>
      </c>
      <c r="H3" s="57">
        <f>'Data Entry'!G6</f>
        <v>0</v>
      </c>
      <c r="I3" s="57">
        <f>'Data Entry'!H6</f>
        <v>147</v>
      </c>
      <c r="J3" s="57">
        <f>'Data Entry'!I6</f>
        <v>0</v>
      </c>
      <c r="K3" s="57">
        <f>'Data Entry'!J6</f>
        <v>10024</v>
      </c>
    </row>
    <row r="4" spans="2:11" ht="15" customHeight="1">
      <c r="B4" s="16" t="s">
        <v>8</v>
      </c>
      <c r="C4" s="1">
        <f>IF((C$3&gt;0),(1000*('Data Entry'!B7/'Data Entry'!B$6)), 0)</f>
        <v>5.223493759719287</v>
      </c>
      <c r="D4" s="1">
        <f>IF((D$3&gt;0),(1000*('Data Entry'!C7/'Data Entry'!C$6)), 0)</f>
        <v>1.5941547658585187</v>
      </c>
      <c r="E4" s="1">
        <f>IF((E$3&gt;0),(1000*('Data Entry'!D7/'Data Entry'!D$6)), 0)</f>
        <v>17.948194982663676</v>
      </c>
      <c r="F4" s="1">
        <f>IF((F$3&gt;0),(1000*('Data Entry'!E7/'Data Entry'!E$6)), 0)</f>
        <v>2.1084337349397591</v>
      </c>
      <c r="G4" s="1">
        <f>IF((G$3&gt;0),(1000*('Data Entry'!F7/'Data Entry'!F$6)), 0)</f>
        <v>0.60459492140266013</v>
      </c>
      <c r="H4" s="1">
        <f>IF((H$3&gt;0),(1000*('Data Entry'!G7/'Data Entry'!G$6)), 0)</f>
        <v>0</v>
      </c>
      <c r="I4" s="1">
        <f>IF((I$3&gt;0),(1000*('Data Entry'!H7/'Data Entry'!H$6)), 0)</f>
        <v>0</v>
      </c>
      <c r="J4" s="1">
        <f>IF((J$3&gt;0),(1000*('Data Entry'!I7/'Data Entry'!I$6)), 0)</f>
        <v>0</v>
      </c>
      <c r="K4" s="1">
        <f>IF((K$3&gt;0),(1000*('Data Entry'!J7/'Data Entry'!J$6)), 0)</f>
        <v>9.5770151636073422</v>
      </c>
    </row>
    <row r="5" spans="2:11" ht="15" customHeight="1">
      <c r="B5" s="16" t="s">
        <v>9</v>
      </c>
      <c r="C5" s="1">
        <f>IF((C$3&gt;0),(1000*('Data Entry'!B8/'Data Entry'!B$6)), 0)</f>
        <v>10.845727501096535</v>
      </c>
      <c r="D5" s="1">
        <f>IF((D$3&gt;0),(1000*('Data Entry'!C8/'Data Entry'!C$6)), 0)</f>
        <v>3.7861175689139821</v>
      </c>
      <c r="E5" s="1">
        <f>IF((E$3&gt;0),(1000*('Data Entry'!D8/'Data Entry'!D$6)), 0)</f>
        <v>21.211503161329798</v>
      </c>
      <c r="F5" s="1">
        <f>IF((F$3&gt;0),(1000*('Data Entry'!E8/'Data Entry'!E$6)), 0)</f>
        <v>3.0120481927710845</v>
      </c>
      <c r="G5" s="1">
        <f>IF((G$3&gt;0),(1000*('Data Entry'!F8/'Data Entry'!F$6)), 0)</f>
        <v>0.60459492140266013</v>
      </c>
      <c r="H5" s="1">
        <f>IF((H$3&gt;0),(1000*('Data Entry'!G8/'Data Entry'!G$6)), 0)</f>
        <v>0</v>
      </c>
      <c r="I5" s="1">
        <f>IF((I$3&gt;0),(1000*('Data Entry'!H8/'Data Entry'!H$6)), 0)</f>
        <v>0</v>
      </c>
      <c r="J5" s="1">
        <f>IF((J$3&gt;0),(1000*('Data Entry'!I8/'Data Entry'!I$6)), 0)</f>
        <v>0</v>
      </c>
      <c r="K5" s="1">
        <f>IF((K$3&gt;0),(1000*('Data Entry'!J8/'Data Entry'!J$6)), 0)</f>
        <v>11.472466081404628</v>
      </c>
    </row>
    <row r="6" spans="2:11" ht="15" customHeight="1">
      <c r="B6" s="16" t="s">
        <v>10</v>
      </c>
      <c r="C6" s="1">
        <f>IF((C$3&gt;0),(1000*('Data Entry'!B9/'Data Entry'!B$6)), 0)</f>
        <v>9.1311455799673027</v>
      </c>
      <c r="D6" s="1">
        <f>IF((D$3&gt;0),(1000*('Data Entry'!C9/'Data Entry'!C$6)), 0)</f>
        <v>5.9116572567253405</v>
      </c>
      <c r="E6" s="1">
        <f>IF((E$3&gt;0),(1000*('Data Entry'!D9/'Data Entry'!D$6)), 0)</f>
        <v>17.744238221497042</v>
      </c>
      <c r="F6" s="1">
        <f>IF((F$3&gt;0),(1000*('Data Entry'!E9/'Data Entry'!E$6)), 0)</f>
        <v>1.8072289156626506</v>
      </c>
      <c r="G6" s="1">
        <f>IF((G$3&gt;0),(1000*('Data Entry'!F9/'Data Entry'!F$6)), 0)</f>
        <v>0</v>
      </c>
      <c r="H6" s="1">
        <f>IF((H$3&gt;0),(1000*('Data Entry'!G9/'Data Entry'!G$6)), 0)</f>
        <v>0</v>
      </c>
      <c r="I6" s="1">
        <f>IF((I$3&gt;0),(1000*('Data Entry'!H9/'Data Entry'!H$6)), 0)</f>
        <v>0</v>
      </c>
      <c r="J6" s="1">
        <f>IF((J$3&gt;0),(1000*('Data Entry'!I9/'Data Entry'!I$6)), 0)</f>
        <v>0</v>
      </c>
      <c r="K6" s="1">
        <f>IF((K$3&gt;0),(1000*('Data Entry'!J9/'Data Entry'!J$6)), 0)</f>
        <v>9.2777334397446118</v>
      </c>
    </row>
    <row r="7" spans="2:11" ht="15" customHeight="1">
      <c r="B7" s="16" t="s">
        <v>11</v>
      </c>
      <c r="C7" s="1">
        <f>IF((C$3&gt;0),(1000*('Data Entry'!B10/'Data Entry'!B$6)), 0)</f>
        <v>5.5026117468798592</v>
      </c>
      <c r="D7" s="1">
        <f>IF((D$3&gt;0),(1000*('Data Entry'!C10/'Data Entry'!C$6)), 0)</f>
        <v>0.59780803719694453</v>
      </c>
      <c r="E7" s="1">
        <f>IF((E$3&gt;0),(1000*('Data Entry'!D10/'Data Entry'!D$6)), 0)</f>
        <v>12.849275953497859</v>
      </c>
      <c r="F7" s="1">
        <f>IF((F$3&gt;0),(1000*('Data Entry'!E10/'Data Entry'!E$6)), 0)</f>
        <v>1.8072289156626506</v>
      </c>
      <c r="G7" s="1">
        <f>IF((G$3&gt;0),(1000*('Data Entry'!F10/'Data Entry'!F$6)), 0)</f>
        <v>0.60459492140266013</v>
      </c>
      <c r="H7" s="1">
        <f>IF((H$3&gt;0),(1000*('Data Entry'!G10/'Data Entry'!G$6)), 0)</f>
        <v>0</v>
      </c>
      <c r="I7" s="1">
        <f>IF((I$3&gt;0),(1000*('Data Entry'!H10/'Data Entry'!H$6)), 0)</f>
        <v>0</v>
      </c>
      <c r="J7" s="1">
        <f>IF((J$3&gt;0),(1000*('Data Entry'!I10/'Data Entry'!I$6)), 0)</f>
        <v>0</v>
      </c>
      <c r="K7" s="1">
        <f>IF((K$3&gt;0),(1000*('Data Entry'!J10/'Data Entry'!J$6)), 0)</f>
        <v>6.983240223463687</v>
      </c>
    </row>
    <row r="8" spans="2:11" ht="15" customHeight="1">
      <c r="B8" s="16" t="s">
        <v>95</v>
      </c>
      <c r="C8" s="1">
        <f>IF((C$3&gt;0),(1000*('Data Entry'!B11/'Data Entry'!B$6)), 0)</f>
        <v>7.8153036404960323</v>
      </c>
      <c r="D8" s="1">
        <f>IF((D$3&gt;0),(1000*('Data Entry'!C11/'Data Entry'!C$6)), 0)</f>
        <v>2.1255396878113584</v>
      </c>
      <c r="E8" s="1">
        <f>IF((E$3&gt;0),(1000*('Data Entry'!D11/'Data Entry'!D$6)), 0)</f>
        <v>17.540281460330412</v>
      </c>
      <c r="F8" s="1">
        <f>IF((F$3&gt;0),(1000*('Data Entry'!E11/'Data Entry'!E$6)), 0)</f>
        <v>2.7108433734939759</v>
      </c>
      <c r="G8" s="1">
        <f>IF((G$3&gt;0),(1000*('Data Entry'!F11/'Data Entry'!F$6)), 0)</f>
        <v>0.60459492140266013</v>
      </c>
      <c r="H8" s="1">
        <f>IF((H$3&gt;0),(1000*('Data Entry'!G11/'Data Entry'!G$6)), 0)</f>
        <v>0</v>
      </c>
      <c r="I8" s="1">
        <f>IF((I$3&gt;0),(1000*('Data Entry'!H11/'Data Entry'!H$6)), 0)</f>
        <v>0</v>
      </c>
      <c r="J8" s="1">
        <f>IF((J$3&gt;0),(1000*('Data Entry'!I11/'Data Entry'!I$6)), 0)</f>
        <v>0</v>
      </c>
      <c r="K8" s="1">
        <f>IF((K$3&gt;0),(1000*('Data Entry'!J11/'Data Entry'!J$6)), 0)</f>
        <v>9.5770151636073422</v>
      </c>
    </row>
    <row r="9" spans="2:11" ht="15" customHeight="1">
      <c r="B9" s="16" t="s">
        <v>13</v>
      </c>
      <c r="C9" s="1">
        <f>IF((C$3&gt;0),(1000*('Data Entry'!B12/'Data Entry'!B$6)), 0)</f>
        <v>7.8153036404960323</v>
      </c>
      <c r="D9" s="1">
        <f>IF((D$3&gt;0),(1000*('Data Entry'!C12/'Data Entry'!C$6)), 0)</f>
        <v>2.5240783792759882</v>
      </c>
      <c r="E9" s="1">
        <f>IF((E$3&gt;0),(1000*('Data Entry'!D12/'Data Entry'!D$6)), 0)</f>
        <v>17.948194982663676</v>
      </c>
      <c r="F9" s="1">
        <f>IF((F$3&gt;0),(1000*('Data Entry'!E12/'Data Entry'!E$6)), 0)</f>
        <v>2.4096385542168677</v>
      </c>
      <c r="G9" s="1">
        <f>IF((G$3&gt;0),(1000*('Data Entry'!F12/'Data Entry'!F$6)), 0)</f>
        <v>1.2091898428053203</v>
      </c>
      <c r="H9" s="1">
        <f>IF((H$3&gt;0),(1000*('Data Entry'!G12/'Data Entry'!G$6)), 0)</f>
        <v>0</v>
      </c>
      <c r="I9" s="1">
        <f>IF((I$3&gt;0),(1000*('Data Entry'!H12/'Data Entry'!H$6)), 0)</f>
        <v>0</v>
      </c>
      <c r="J9" s="1">
        <f>IF((J$3&gt;0),(1000*('Data Entry'!I12/'Data Entry'!I$6)), 0)</f>
        <v>0</v>
      </c>
      <c r="K9" s="1">
        <f>IF((K$3&gt;0),(1000*('Data Entry'!J12/'Data Entry'!J$6)), 0)</f>
        <v>9.7765363128491618</v>
      </c>
    </row>
    <row r="10" spans="2:11" ht="15" customHeight="1">
      <c r="B10" s="16" t="s">
        <v>14</v>
      </c>
      <c r="C10" s="1">
        <f>IF((C$3&gt;0),(1000*('Data Entry'!B13/'Data Entry'!B$6)), 0)</f>
        <v>7.8153036404960323</v>
      </c>
      <c r="D10" s="1">
        <f>IF((D$3&gt;0),(1000*('Data Entry'!C13/'Data Entry'!C$6)), 0)</f>
        <v>2.5240783792759882</v>
      </c>
      <c r="E10" s="1">
        <f>IF((E$3&gt;0),(1000*('Data Entry'!D13/'Data Entry'!D$6)), 0)</f>
        <v>17.948194982663676</v>
      </c>
      <c r="F10" s="1">
        <f>IF((F$3&gt;0),(1000*('Data Entry'!E13/'Data Entry'!E$6)), 0)</f>
        <v>2.4096385542168677</v>
      </c>
      <c r="G10" s="1">
        <f>IF((G$3&gt;0),(1000*('Data Entry'!F13/'Data Entry'!F$6)), 0)</f>
        <v>1.2091898428053203</v>
      </c>
      <c r="H10" s="1">
        <f>IF((H$3&gt;0),(1000*('Data Entry'!G13/'Data Entry'!G$6)), 0)</f>
        <v>0</v>
      </c>
      <c r="I10" s="1">
        <f>IF((I$3&gt;0),(1000*('Data Entry'!H13/'Data Entry'!H$6)), 0)</f>
        <v>0</v>
      </c>
      <c r="J10" s="1">
        <f>IF((J$3&gt;0),(1000*('Data Entry'!I13/'Data Entry'!I$6)), 0)</f>
        <v>0</v>
      </c>
      <c r="K10" s="1">
        <f>IF((K$3&gt;0),(1000*('Data Entry'!J13/'Data Entry'!J$6)), 0)</f>
        <v>9.7765363128491618</v>
      </c>
    </row>
    <row r="11" spans="2:11" ht="25.5" customHeight="1">
      <c r="B11" s="16" t="s">
        <v>15</v>
      </c>
      <c r="C11" s="1">
        <f>IF((C$3&gt;0),(1000*('Data Entry'!B14/'Data Entry'!B$6)), 0)</f>
        <v>0.27911798716057257</v>
      </c>
      <c r="D11" s="1">
        <f>IF((D$3&gt;0),(1000*('Data Entry'!C14/'Data Entry'!C$6)), 0)</f>
        <v>6.6423115244104949E-2</v>
      </c>
      <c r="E11" s="1">
        <f>IF((E$3&gt;0),(1000*('Data Entry'!D14/'Data Entry'!D$6)), 0)</f>
        <v>1.0197838058331634</v>
      </c>
      <c r="F11" s="1">
        <f>IF((F$3&gt;0),(1000*('Data Entry'!E14/'Data Entry'!E$6)), 0)</f>
        <v>0.30120481927710846</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0.59856344772545889</v>
      </c>
    </row>
    <row r="12" spans="2:11" ht="15" customHeight="1">
      <c r="B12" s="16" t="s">
        <v>16</v>
      </c>
      <c r="C12" s="1">
        <f>IF((C$3&gt;0),(1000*('Data Entry'!B15/'Data Entry'!B$6)), 0)</f>
        <v>0.2392439889947765</v>
      </c>
      <c r="D12" s="1">
        <f>IF((D$3&gt;0),(1000*('Data Entry'!C15/'Data Entry'!C$6)), 0)</f>
        <v>0</v>
      </c>
      <c r="E12" s="1">
        <f>IF((E$3&gt;0),(1000*('Data Entry'!D15/'Data Entry'!D$6)), 0)</f>
        <v>0.20395676116663267</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9.9760574620909828E-2</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Ingham</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11.258753144333403</v>
      </c>
      <c r="E19" s="72">
        <f t="shared" si="1"/>
        <v>1.3226029116465865</v>
      </c>
      <c r="F19" s="72">
        <f t="shared" si="1"/>
        <v>0.37925735590487702</v>
      </c>
      <c r="G19" s="72" t="str">
        <f t="shared" si="1"/>
        <v>--</v>
      </c>
      <c r="H19" s="72" t="str">
        <f t="shared" si="1"/>
        <v>--</v>
      </c>
      <c r="I19" s="72" t="str">
        <f t="shared" si="1"/>
        <v>--</v>
      </c>
      <c r="J19" s="73">
        <f t="shared" si="1"/>
        <v>6.0075818036711892</v>
      </c>
    </row>
    <row r="20" spans="2:10" ht="15" customHeight="1">
      <c r="B20" s="71" t="s">
        <v>9</v>
      </c>
      <c r="C20" s="72">
        <f t="shared" ref="C20:J27" si="2">IF(AND(($D5&gt;0),(D5&gt;0)), (D5/$D5),"--")</f>
        <v>1</v>
      </c>
      <c r="D20" s="72">
        <f t="shared" si="2"/>
        <v>5.602441756031932</v>
      </c>
      <c r="E20" s="72">
        <f t="shared" si="2"/>
        <v>0.79555062354681894</v>
      </c>
      <c r="F20" s="72">
        <f t="shared" si="2"/>
        <v>0.15968730774942189</v>
      </c>
      <c r="G20" s="72" t="str">
        <f t="shared" si="2"/>
        <v>--</v>
      </c>
      <c r="H20" s="72" t="str">
        <f t="shared" si="2"/>
        <v>--</v>
      </c>
      <c r="I20" s="72" t="str">
        <f t="shared" si="2"/>
        <v>--</v>
      </c>
      <c r="J20" s="73">
        <f t="shared" si="2"/>
        <v>3.0301399448341519</v>
      </c>
    </row>
    <row r="21" spans="2:10" ht="15" customHeight="1">
      <c r="B21" s="71" t="s">
        <v>10</v>
      </c>
      <c r="C21" s="72">
        <f t="shared" si="2"/>
        <v>1</v>
      </c>
      <c r="D21" s="72">
        <f t="shared" si="2"/>
        <v>3.0015674879172805</v>
      </c>
      <c r="E21" s="72">
        <f t="shared" si="2"/>
        <v>0.30570596994720456</v>
      </c>
      <c r="F21" s="72" t="str">
        <f t="shared" si="2"/>
        <v>--</v>
      </c>
      <c r="G21" s="72" t="str">
        <f t="shared" si="2"/>
        <v>--</v>
      </c>
      <c r="H21" s="72" t="str">
        <f t="shared" si="2"/>
        <v>--</v>
      </c>
      <c r="I21" s="72" t="str">
        <f t="shared" si="2"/>
        <v>--</v>
      </c>
      <c r="J21" s="73">
        <f t="shared" si="2"/>
        <v>1.5693963700601701</v>
      </c>
    </row>
    <row r="22" spans="2:10" ht="15" customHeight="1">
      <c r="B22" s="71" t="s">
        <v>11</v>
      </c>
      <c r="C22" s="72">
        <f t="shared" si="2"/>
        <v>1</v>
      </c>
      <c r="D22" s="72">
        <f t="shared" si="2"/>
        <v>21.493983275545585</v>
      </c>
      <c r="E22" s="72">
        <f t="shared" si="2"/>
        <v>3.0230923694779119</v>
      </c>
      <c r="F22" s="72">
        <f t="shared" si="2"/>
        <v>1.011352949079672</v>
      </c>
      <c r="G22" s="72" t="str">
        <f t="shared" si="2"/>
        <v>--</v>
      </c>
      <c r="H22" s="72" t="str">
        <f t="shared" si="2"/>
        <v>--</v>
      </c>
      <c r="I22" s="72" t="str">
        <f t="shared" si="2"/>
        <v>--</v>
      </c>
      <c r="J22" s="73">
        <f t="shared" si="2"/>
        <v>11.681409062693978</v>
      </c>
    </row>
    <row r="23" spans="2:10" ht="15" customHeight="1">
      <c r="B23" s="71" t="s">
        <v>95</v>
      </c>
      <c r="C23" s="72">
        <f t="shared" si="2"/>
        <v>1</v>
      </c>
      <c r="D23" s="72">
        <f t="shared" si="2"/>
        <v>8.2521542932898235</v>
      </c>
      <c r="E23" s="72">
        <f t="shared" si="2"/>
        <v>1.275367093373494</v>
      </c>
      <c r="F23" s="72">
        <f t="shared" si="2"/>
        <v>0.28444301692865775</v>
      </c>
      <c r="G23" s="72" t="str">
        <f t="shared" si="2"/>
        <v>--</v>
      </c>
      <c r="H23" s="72" t="str">
        <f t="shared" si="2"/>
        <v>--</v>
      </c>
      <c r="I23" s="72" t="str">
        <f t="shared" si="2"/>
        <v>--</v>
      </c>
      <c r="J23" s="73">
        <f t="shared" si="2"/>
        <v>4.5056863527533917</v>
      </c>
    </row>
    <row r="24" spans="2:10" ht="15" customHeight="1">
      <c r="B24" s="71" t="s">
        <v>13</v>
      </c>
      <c r="C24" s="72">
        <f t="shared" si="2"/>
        <v>1</v>
      </c>
      <c r="D24" s="72">
        <f t="shared" si="2"/>
        <v>7.1107914595789898</v>
      </c>
      <c r="E24" s="72">
        <f t="shared" si="2"/>
        <v>0.95466074825618263</v>
      </c>
      <c r="F24" s="72">
        <f t="shared" si="2"/>
        <v>0.47906192324826569</v>
      </c>
      <c r="G24" s="72" t="str">
        <f t="shared" si="2"/>
        <v>--</v>
      </c>
      <c r="H24" s="72" t="str">
        <f t="shared" si="2"/>
        <v>--</v>
      </c>
      <c r="I24" s="72" t="str">
        <f t="shared" si="2"/>
        <v>--</v>
      </c>
      <c r="J24" s="73">
        <f t="shared" si="2"/>
        <v>3.8733093207880032</v>
      </c>
    </row>
    <row r="25" spans="2:10" ht="15" customHeight="1">
      <c r="B25" s="71" t="s">
        <v>14</v>
      </c>
      <c r="C25" s="72">
        <f t="shared" si="2"/>
        <v>1</v>
      </c>
      <c r="D25" s="72">
        <f t="shared" si="2"/>
        <v>7.1107914595789898</v>
      </c>
      <c r="E25" s="72">
        <f t="shared" si="2"/>
        <v>0.95466074825618263</v>
      </c>
      <c r="F25" s="72">
        <f t="shared" si="2"/>
        <v>0.47906192324826569</v>
      </c>
      <c r="G25" s="72" t="str">
        <f t="shared" si="2"/>
        <v>--</v>
      </c>
      <c r="H25" s="72" t="str">
        <f t="shared" si="2"/>
        <v>--</v>
      </c>
      <c r="I25" s="72" t="str">
        <f t="shared" si="2"/>
        <v>--</v>
      </c>
      <c r="J25" s="73">
        <f t="shared" si="2"/>
        <v>3.8733093207880032</v>
      </c>
    </row>
    <row r="26" spans="2:10" ht="25.5" customHeight="1">
      <c r="B26" s="71" t="s">
        <v>15</v>
      </c>
      <c r="C26" s="72">
        <f t="shared" si="2"/>
        <v>1</v>
      </c>
      <c r="D26" s="72">
        <f t="shared" si="2"/>
        <v>15.352845196818276</v>
      </c>
      <c r="E26" s="72">
        <f t="shared" si="2"/>
        <v>4.5346385542168681</v>
      </c>
      <c r="F26" s="72" t="str">
        <f t="shared" si="2"/>
        <v>--</v>
      </c>
      <c r="G26" s="72" t="str">
        <f t="shared" si="2"/>
        <v>--</v>
      </c>
      <c r="H26" s="72" t="str">
        <f t="shared" si="2"/>
        <v>--</v>
      </c>
      <c r="I26" s="72" t="str">
        <f t="shared" si="2"/>
        <v>--</v>
      </c>
      <c r="J26" s="73">
        <f t="shared" si="2"/>
        <v>9.0113727055067834</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opLeftCell="A8"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113</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Ingham</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111</v>
      </c>
      <c r="C6" s="146" t="s">
        <v>109</v>
      </c>
      <c r="D6" s="147" t="s">
        <v>109</v>
      </c>
      <c r="E6" s="148" t="s">
        <v>110</v>
      </c>
      <c r="F6" s="147" t="s">
        <v>109</v>
      </c>
      <c r="G6" s="148" t="s">
        <v>110</v>
      </c>
      <c r="H6" s="147" t="s">
        <v>109</v>
      </c>
      <c r="I6" s="148" t="s">
        <v>110</v>
      </c>
      <c r="J6" s="147" t="s">
        <v>109</v>
      </c>
      <c r="K6" s="148" t="s">
        <v>110</v>
      </c>
      <c r="L6" s="147" t="s">
        <v>109</v>
      </c>
      <c r="M6" s="148" t="s">
        <v>110</v>
      </c>
      <c r="N6" s="147" t="s">
        <v>109</v>
      </c>
      <c r="O6" s="148" t="s">
        <v>110</v>
      </c>
      <c r="P6" s="147" t="s">
        <v>109</v>
      </c>
      <c r="Q6" s="149" t="s">
        <v>110</v>
      </c>
    </row>
    <row r="7" spans="2:26" s="8" customFormat="1" ht="18" customHeight="1">
      <c r="B7" s="143" t="str">
        <f>'Data Entry'!A6</f>
        <v>1. Population at Risk (age 10 through 17)</v>
      </c>
      <c r="C7" s="103">
        <f>'Data Entry'!C6</f>
        <v>15055</v>
      </c>
      <c r="D7" s="104">
        <f>'Data Entry'!D6</f>
        <v>4903</v>
      </c>
      <c r="E7" s="105"/>
      <c r="F7" s="106">
        <f>'Data Entry'!E6</f>
        <v>3320</v>
      </c>
      <c r="G7" s="105"/>
      <c r="H7" s="106">
        <f>'Data Entry'!F6</f>
        <v>1654</v>
      </c>
      <c r="I7" s="105"/>
      <c r="J7" s="106">
        <f>'Data Entry'!G6</f>
        <v>0</v>
      </c>
      <c r="K7" s="105"/>
      <c r="L7" s="106">
        <f>'Data Entry'!H6</f>
        <v>147</v>
      </c>
      <c r="M7" s="105"/>
      <c r="N7" s="106">
        <f>'Data Entry'!I6</f>
        <v>0</v>
      </c>
      <c r="O7" s="105"/>
      <c r="P7" s="106">
        <f>'Data Entry'!J6</f>
        <v>10024</v>
      </c>
      <c r="Q7" s="107"/>
    </row>
    <row r="8" spans="2:26" s="1" customFormat="1" ht="15" customHeight="1">
      <c r="B8" s="142" t="s">
        <v>8</v>
      </c>
      <c r="C8" s="103">
        <f>'Data Entry'!C7</f>
        <v>24</v>
      </c>
      <c r="D8" s="104">
        <f>'Data Entry'!D7</f>
        <v>88</v>
      </c>
      <c r="E8" s="105">
        <f>'Black or African-American'!$G7</f>
        <v>11.258753144333401</v>
      </c>
      <c r="F8" s="106">
        <f>'Data Entry'!E7</f>
        <v>7</v>
      </c>
      <c r="G8" s="105">
        <f>Hispanic!G7</f>
        <v>1.3226029116465863</v>
      </c>
      <c r="H8" s="106">
        <f>'Data Entry'!F7</f>
        <v>1</v>
      </c>
      <c r="I8" s="105" t="str">
        <f>Asian!G7</f>
        <v>**</v>
      </c>
      <c r="J8" s="106">
        <f>'Data Entry'!G7</f>
        <v>0</v>
      </c>
      <c r="K8" s="105" t="str">
        <f>Hawaiian!G7</f>
        <v>*</v>
      </c>
      <c r="L8" s="106">
        <f>'Data Entry'!H7</f>
        <v>0</v>
      </c>
      <c r="M8" s="105" t="str">
        <f>'Am Indian'!G7</f>
        <v>*</v>
      </c>
      <c r="N8" s="106">
        <f>'Data Entry'!I7</f>
        <v>0</v>
      </c>
      <c r="O8" s="105" t="str">
        <f>'Other - Mixed'!G7</f>
        <v>*</v>
      </c>
      <c r="P8" s="106">
        <f>'Data Entry'!J7</f>
        <v>96</v>
      </c>
      <c r="Q8" s="107">
        <f>'All Minorities'!G7</f>
        <v>6.0075818036711892</v>
      </c>
      <c r="R8"/>
      <c r="T8" s="1">
        <f>'Black or African-American'!L7</f>
        <v>1</v>
      </c>
      <c r="U8" s="1">
        <f>Hispanic!L7</f>
        <v>2</v>
      </c>
      <c r="V8" s="1">
        <f>Asian!L7</f>
        <v>40</v>
      </c>
      <c r="W8" s="1" t="e">
        <f>Hawaiian!L7</f>
        <v>#VALUE!</v>
      </c>
      <c r="X8" s="1">
        <f>'Am Indian'!L7</f>
        <v>139</v>
      </c>
      <c r="Y8" s="1" t="e">
        <f>'Other - Mixed'!L7</f>
        <v>#VALUE!</v>
      </c>
      <c r="Z8" s="1">
        <f>'All Minorities'!L7</f>
        <v>1</v>
      </c>
    </row>
    <row r="9" spans="2:26" s="1" customFormat="1" ht="15" customHeight="1">
      <c r="B9" s="142" t="s">
        <v>126</v>
      </c>
      <c r="C9" s="103">
        <f>'Data Entry'!C8</f>
        <v>57</v>
      </c>
      <c r="D9" s="108">
        <f>'Data Entry'!D8</f>
        <v>104</v>
      </c>
      <c r="E9" s="109" t="str">
        <f>'Black or African-American'!$G8</f>
        <v>**</v>
      </c>
      <c r="F9" s="110">
        <f>'Data Entry'!E8</f>
        <v>10</v>
      </c>
      <c r="G9" s="109" t="str">
        <f>Hispanic!G8</f>
        <v>**</v>
      </c>
      <c r="H9" s="110">
        <f>'Data Entry'!F8</f>
        <v>1</v>
      </c>
      <c r="I9" s="109" t="str">
        <f>Asian!G8</f>
        <v>**</v>
      </c>
      <c r="J9" s="110">
        <f>'Data Entry'!G8</f>
        <v>0</v>
      </c>
      <c r="K9" s="109" t="str">
        <f>Hawaiian!G8</f>
        <v>*</v>
      </c>
      <c r="L9" s="110">
        <f>'Data Entry'!H8</f>
        <v>0</v>
      </c>
      <c r="M9" s="109" t="str">
        <f>'Am Indian'!G8</f>
        <v>*</v>
      </c>
      <c r="N9" s="110">
        <f>'Data Entry'!I8</f>
        <v>0</v>
      </c>
      <c r="O9" s="109" t="str">
        <f>'Other - Mixed'!G8</f>
        <v>*</v>
      </c>
      <c r="P9" s="110">
        <f>'Data Entry'!J8</f>
        <v>115</v>
      </c>
      <c r="Q9" s="111" t="str">
        <f>'All Minorities'!G8</f>
        <v>**</v>
      </c>
      <c r="R9"/>
      <c r="T9" s="1">
        <f>'Black or African-American'!L8</f>
        <v>20</v>
      </c>
      <c r="U9" s="1">
        <f>Hispanic!L8</f>
        <v>40</v>
      </c>
      <c r="V9" s="1">
        <f>Asian!L8</f>
        <v>40</v>
      </c>
      <c r="W9" s="1">
        <f>Hawaiian!L8</f>
        <v>139</v>
      </c>
      <c r="X9" s="1">
        <f>'Am Indian'!L8</f>
        <v>139</v>
      </c>
      <c r="Y9" s="1">
        <f>'Other - Mixed'!L8</f>
        <v>139</v>
      </c>
      <c r="Z9" s="1">
        <f>'All Minorities'!L8</f>
        <v>20</v>
      </c>
    </row>
    <row r="10" spans="2:26" s="1" customFormat="1" ht="15" customHeight="1">
      <c r="B10" s="142" t="s">
        <v>10</v>
      </c>
      <c r="C10" s="103">
        <f>'Data Entry'!C9</f>
        <v>89</v>
      </c>
      <c r="D10" s="112">
        <f>'Data Entry'!D9</f>
        <v>87</v>
      </c>
      <c r="E10" s="113">
        <f>'Black or African-American'!$G9</f>
        <v>0.53576058772687984</v>
      </c>
      <c r="F10" s="114">
        <f>'Data Entry'!E9</f>
        <v>6</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93</v>
      </c>
      <c r="Q10" s="115">
        <f>'All Minorities'!G9</f>
        <v>0.51792867611138249</v>
      </c>
      <c r="R10"/>
      <c r="T10" s="1">
        <f>'Black or African-American'!L9</f>
        <v>1</v>
      </c>
      <c r="U10" s="1">
        <f>Hispanic!L9</f>
        <v>20</v>
      </c>
      <c r="V10" s="1">
        <f>Asian!L9</f>
        <v>40</v>
      </c>
      <c r="W10" s="1" t="e">
        <f>Hawaiian!L9</f>
        <v>#VALUE!</v>
      </c>
      <c r="X10" s="1" t="e">
        <f>'Am Indian'!L9</f>
        <v>#VALUE!</v>
      </c>
      <c r="Y10" s="1" t="e">
        <f>'Other - Mixed'!L9</f>
        <v>#VALUE!</v>
      </c>
      <c r="Z10" s="1">
        <f>'All Minorities'!L9</f>
        <v>1</v>
      </c>
    </row>
    <row r="11" spans="2:26" s="1" customFormat="1" ht="15" customHeight="1">
      <c r="B11" s="142" t="s">
        <v>11</v>
      </c>
      <c r="C11" s="103">
        <f>'Data Entry'!C10</f>
        <v>9</v>
      </c>
      <c r="D11" s="108">
        <f>'Data Entry'!D10</f>
        <v>63</v>
      </c>
      <c r="E11" s="109">
        <f>'Black or African-American'!$G10</f>
        <v>3.8365384615384612</v>
      </c>
      <c r="F11" s="110">
        <f>'Data Entry'!E10</f>
        <v>6</v>
      </c>
      <c r="G11" s="109" t="str">
        <f>Hispanic!G10</f>
        <v>**</v>
      </c>
      <c r="H11" s="110">
        <f>'Data Entry'!F10</f>
        <v>1</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70</v>
      </c>
      <c r="Q11" s="111">
        <f>'All Minorities'!G10</f>
        <v>3.8550724637681162</v>
      </c>
      <c r="R11"/>
      <c r="T11" s="1">
        <f>'Black or African-American'!L10</f>
        <v>1</v>
      </c>
      <c r="U11" s="1">
        <f>Hispanic!L10</f>
        <v>20</v>
      </c>
      <c r="V11" s="1">
        <f>Asian!L10</f>
        <v>20</v>
      </c>
      <c r="W11" s="1" t="e">
        <f>Hawaiian!L10</f>
        <v>#VALUE!</v>
      </c>
      <c r="X11" s="1" t="e">
        <f>'Am Indian'!L10</f>
        <v>#VALUE!</v>
      </c>
      <c r="Y11" s="1" t="e">
        <f>'Other - Mixed'!L10</f>
        <v>#VALUE!</v>
      </c>
      <c r="Z11" s="1">
        <f>'All Minorities'!L10</f>
        <v>1</v>
      </c>
    </row>
    <row r="12" spans="2:26" s="1" customFormat="1" ht="15" customHeight="1">
      <c r="B12" s="142" t="s">
        <v>95</v>
      </c>
      <c r="C12" s="103">
        <f>'Data Entry'!C11</f>
        <v>32</v>
      </c>
      <c r="D12" s="112">
        <f>'Data Entry'!D11</f>
        <v>86</v>
      </c>
      <c r="E12" s="113">
        <f>'Black or African-American'!$G11</f>
        <v>1.4729567307692306</v>
      </c>
      <c r="F12" s="114">
        <f>'Data Entry'!E11</f>
        <v>9</v>
      </c>
      <c r="G12" s="113" t="str">
        <f>Hispanic!G11</f>
        <v>**</v>
      </c>
      <c r="H12" s="114">
        <f>'Data Entry'!F11</f>
        <v>1</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96</v>
      </c>
      <c r="Q12" s="115">
        <f>'All Minorities'!G11</f>
        <v>1.4869565217391303</v>
      </c>
      <c r="R12"/>
      <c r="T12" s="1">
        <f>'Black or African-American'!L11</f>
        <v>1</v>
      </c>
      <c r="U12" s="1">
        <f>Hispanic!L11</f>
        <v>20</v>
      </c>
      <c r="V12" s="1">
        <f>Asian!L11</f>
        <v>40</v>
      </c>
      <c r="W12" s="1" t="e">
        <f>Hawaiian!L11</f>
        <v>#VALUE!</v>
      </c>
      <c r="X12" s="1" t="e">
        <f>'Am Indian'!L11</f>
        <v>#VALUE!</v>
      </c>
      <c r="Y12" s="1" t="e">
        <f>'Other - Mixed'!L11</f>
        <v>#VALUE!</v>
      </c>
      <c r="Z12" s="1">
        <f>'All Minorities'!L11</f>
        <v>1</v>
      </c>
    </row>
    <row r="13" spans="2:26" s="1" customFormat="1" ht="15" customHeight="1">
      <c r="B13" s="142" t="s">
        <v>13</v>
      </c>
      <c r="C13" s="103">
        <f>'Data Entry'!C12</f>
        <v>38</v>
      </c>
      <c r="D13" s="108">
        <f>'Data Entry'!D12</f>
        <v>88</v>
      </c>
      <c r="E13" s="109">
        <f>'Black or African-American'!$G12</f>
        <v>0.86168910648714803</v>
      </c>
      <c r="F13" s="110">
        <f>'Data Entry'!E12</f>
        <v>8</v>
      </c>
      <c r="G13" s="109" t="str">
        <f>Hispanic!G12</f>
        <v>**</v>
      </c>
      <c r="H13" s="110">
        <f>'Data Entry'!F12</f>
        <v>2</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98</v>
      </c>
      <c r="Q13" s="111">
        <f>'All Minorities'!G12</f>
        <v>0.85964912280701766</v>
      </c>
      <c r="R13"/>
      <c r="T13" s="1">
        <f>'Black or African-American'!L12</f>
        <v>1</v>
      </c>
      <c r="U13" s="1">
        <f>Hispanic!L12</f>
        <v>20</v>
      </c>
      <c r="V13" s="1">
        <f>Asian!L12</f>
        <v>40</v>
      </c>
      <c r="W13" s="1" t="e">
        <f>Hawaiian!L12</f>
        <v>#VALUE!</v>
      </c>
      <c r="X13" s="1" t="e">
        <f>'Am Indian'!L12</f>
        <v>#VALUE!</v>
      </c>
      <c r="Y13" s="1" t="e">
        <f>'Other - Mixed'!L12</f>
        <v>#VALUE!</v>
      </c>
      <c r="Z13" s="1">
        <f>'All Minorities'!L12</f>
        <v>1</v>
      </c>
    </row>
    <row r="14" spans="2:26" s="1" customFormat="1" ht="15" customHeight="1">
      <c r="B14" s="142" t="s">
        <v>125</v>
      </c>
      <c r="C14" s="103">
        <f>'Data Entry'!C13</f>
        <v>38</v>
      </c>
      <c r="D14" s="112">
        <f>'Data Entry'!D13</f>
        <v>88</v>
      </c>
      <c r="E14" s="113" t="str">
        <f>'Black or African-American'!$G13</f>
        <v>--</v>
      </c>
      <c r="F14" s="114">
        <f>'Data Entry'!E13</f>
        <v>8</v>
      </c>
      <c r="G14" s="113" t="str">
        <f>Hispanic!G13</f>
        <v>--</v>
      </c>
      <c r="H14" s="114">
        <f>'Data Entry'!F13</f>
        <v>2</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98</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115</v>
      </c>
      <c r="C15" s="103">
        <f>'Data Entry'!C14</f>
        <v>1</v>
      </c>
      <c r="D15" s="108">
        <f>'Data Entry'!D14</f>
        <v>5</v>
      </c>
      <c r="E15" s="109" t="str">
        <f>'Black or African-American'!$G14</f>
        <v>**</v>
      </c>
      <c r="F15" s="110">
        <f>'Data Entry'!E14</f>
        <v>1</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6</v>
      </c>
      <c r="Q15" s="111" t="str">
        <f>'All Minorities'!G14</f>
        <v>**</v>
      </c>
      <c r="R15"/>
      <c r="T15" s="1">
        <f>'Black or African-American'!L14</f>
        <v>40</v>
      </c>
      <c r="U15" s="1">
        <f>Hispanic!L14</f>
        <v>40</v>
      </c>
      <c r="V15" s="1">
        <f>Asian!L14</f>
        <v>40</v>
      </c>
      <c r="W15" s="1" t="e">
        <f>Hawaiian!L14</f>
        <v>#VALUE!</v>
      </c>
      <c r="X15" s="1" t="e">
        <f>'Am Indian'!L14</f>
        <v>#VALUE!</v>
      </c>
      <c r="Y15" s="1" t="e">
        <f>'Other - Mixed'!L14</f>
        <v>#VALUE!</v>
      </c>
      <c r="Z15" s="1">
        <f>'All Minorities'!L14</f>
        <v>40</v>
      </c>
    </row>
    <row r="16" spans="2:26" s="1" customFormat="1" ht="15" customHeight="1">
      <c r="B16" s="142" t="s">
        <v>16</v>
      </c>
      <c r="C16" s="103">
        <f>'Data Entry'!C15</f>
        <v>0</v>
      </c>
      <c r="D16" s="116">
        <f>'Data Entry'!D15</f>
        <v>1</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1</v>
      </c>
      <c r="Q16" s="119" t="str">
        <f>'All Minorities'!G15</f>
        <v>**</v>
      </c>
      <c r="R16"/>
      <c r="T16" s="1">
        <f>'Black or African-American'!L15</f>
        <v>40</v>
      </c>
      <c r="U16" s="1" t="e">
        <f>Hispanic!L15</f>
        <v>#VALUE!</v>
      </c>
      <c r="V16" s="1" t="e">
        <f>Asian!L15</f>
        <v>#VALUE!</v>
      </c>
      <c r="W16" s="1" t="e">
        <f>Hawaiian!L15</f>
        <v>#VALUE!</v>
      </c>
      <c r="X16" s="1" t="e">
        <f>'Am Indian'!L15</f>
        <v>#VALUE!</v>
      </c>
      <c r="Y16" s="1" t="e">
        <f>'Other - Mixed'!L15</f>
        <v>#VALUE!</v>
      </c>
      <c r="Z16" s="1">
        <f>'All Minorities'!L15</f>
        <v>40</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120</v>
      </c>
      <c r="I19" s="134" t="s">
        <v>51</v>
      </c>
      <c r="J19" s="131"/>
      <c r="K19" s="131"/>
      <c r="L19" s="131"/>
      <c r="M19" s="131"/>
      <c r="N19" s="131"/>
      <c r="O19" s="132"/>
      <c r="P19" s="93"/>
      <c r="Q19" s="93"/>
    </row>
    <row r="20" spans="2:18" ht="16.5">
      <c r="B20" s="93"/>
      <c r="C20" s="153" t="s">
        <v>117</v>
      </c>
      <c r="D20" s="159"/>
      <c r="E20" s="160"/>
      <c r="F20" s="161"/>
      <c r="G20" s="162" t="s">
        <v>53</v>
      </c>
      <c r="H20" s="159"/>
      <c r="I20" s="153" t="s">
        <v>56</v>
      </c>
      <c r="J20" s="159"/>
      <c r="K20" s="159"/>
      <c r="L20" s="159"/>
      <c r="M20" s="159"/>
      <c r="N20" s="159"/>
      <c r="O20" s="154" t="s">
        <v>57</v>
      </c>
      <c r="Q20" s="93"/>
    </row>
    <row r="21" spans="2:18" ht="15" customHeight="1">
      <c r="B21" s="93"/>
      <c r="C21" s="155" t="s">
        <v>119</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Ingham County Juvenile Court</v>
      </c>
      <c r="E27" s="1" t="str">
        <f>'Data Entry'!D20</f>
        <v>Item 4.Diversion: Ingham County Juvenile Court</v>
      </c>
      <c r="I27" s="96"/>
      <c r="J27" s="96"/>
    </row>
    <row r="28" spans="2:18" ht="12.75" customHeight="1">
      <c r="B28" s="1" t="str">
        <f>'Data Entry'!A21</f>
        <v>Item 5.Detention: Ingham County Juvenile Court</v>
      </c>
      <c r="E28" s="1" t="str">
        <f>'Data Entry'!D21</f>
        <v>Item 6.Petitioned: Ingham County Juvenile Court</v>
      </c>
      <c r="I28" s="96"/>
      <c r="J28" s="96"/>
    </row>
    <row r="29" spans="2:18" ht="12.75" customHeight="1">
      <c r="B29" s="1" t="str">
        <f>'Data Entry'!A22</f>
        <v>Item 7.Delinquent: Ingham County Juvenile Court</v>
      </c>
      <c r="E29" s="1" t="str">
        <f>'Data Entry'!D22</f>
        <v>Item 8.Probation: Ingham County Juvenile Court</v>
      </c>
      <c r="I29" s="96"/>
      <c r="J29" s="96"/>
    </row>
    <row r="30" spans="2:18" ht="12.75" customHeight="1">
      <c r="B30" s="1" t="str">
        <f>'Data Entry'!A23</f>
        <v>Item 9.Confinement: Ingham County Juvenile Court</v>
      </c>
      <c r="E30" s="1" t="str">
        <f>'Data Entry'!D23</f>
        <v>Item 10.Transferred: Ingham County Juvenile Court</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tabSelected="1"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Ingham</v>
      </c>
    </row>
    <row r="6" spans="1:12">
      <c r="A6" s="135" t="str">
        <f>CONCATENATE("Percentage of Minorities at Stages of the Juvenile Justice System, ", A5, " 2022")</f>
        <v>Percentage of Minorities at Stages of the Juvenile Justice System, County: Ingham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122</v>
      </c>
      <c r="I6" s="96" t="str">
        <f>'Data Entry'!C5</f>
        <v>White</v>
      </c>
      <c r="K6" s="135" t="s">
        <v>123</v>
      </c>
      <c r="L6" s="135" t="s">
        <v>121</v>
      </c>
    </row>
    <row r="7" spans="1:12">
      <c r="A7" s="128" t="str">
        <f>CONCATENATE("Waivers, total N=", 'Data Entry'!B15)</f>
        <v>Waivers, total N=6</v>
      </c>
      <c r="B7" s="150">
        <f>'Data Entry'!D15/'Data Entry'!B15</f>
        <v>0.16666666666666666</v>
      </c>
      <c r="C7" s="150">
        <f>'Data Entry'!E15/'Data Entry'!B15</f>
        <v>0</v>
      </c>
      <c r="D7" s="150">
        <f>'Data Entry'!F15/'Data Entry'!B15</f>
        <v>0</v>
      </c>
      <c r="E7" s="150">
        <f>'Data Entry'!G15/'Data Entry'!B15</f>
        <v>0</v>
      </c>
      <c r="F7" s="150">
        <f>'Data Entry'!H15/'Data Entry'!B15</f>
        <v>0</v>
      </c>
      <c r="G7" s="150">
        <f>'Data Entry'!I15/'Data Entry'!B15</f>
        <v>0</v>
      </c>
      <c r="H7" s="150">
        <f>SUM(D7:G7)/'Data Entry'!B15</f>
        <v>0</v>
      </c>
      <c r="I7" s="150">
        <f>'Data Entry'!C15/'Data Entry'!B15</f>
        <v>0</v>
      </c>
      <c r="K7" s="96" t="str">
        <f t="shared" ref="K7:K14" si="0">A7</f>
        <v>Waivers, total N=6</v>
      </c>
      <c r="L7">
        <f>I14/(SUM(B14:G14))</f>
        <v>1.5018954509177971</v>
      </c>
    </row>
    <row r="8" spans="1:12" ht="25.5" customHeight="1">
      <c r="A8" s="151" t="str">
        <f>CONCATENATE("Confinement, total N=", 'Data Entry'!B14)</f>
        <v>Confinement, total N=7</v>
      </c>
      <c r="B8" s="150">
        <f>'Data Entry'!D14/'Data Entry'!B14</f>
        <v>0.7142857142857143</v>
      </c>
      <c r="C8" s="150">
        <f>'Data Entry'!E14/'Data Entry'!B14</f>
        <v>0.14285714285714285</v>
      </c>
      <c r="D8" s="150">
        <f>'Data Entry'!F14/'Data Entry'!B14</f>
        <v>0</v>
      </c>
      <c r="E8" s="150">
        <f>'Data Entry'!G14/'Data Entry'!B14</f>
        <v>0</v>
      </c>
      <c r="F8" s="150">
        <f>'Data Entry'!H14/'Data Entry'!B14</f>
        <v>0</v>
      </c>
      <c r="G8" s="150">
        <f>'Data Entry'!I14/'Data Entry'!B14</f>
        <v>0</v>
      </c>
      <c r="H8" s="150">
        <f>SUM(D8:G8)/'Data Entry'!B14</f>
        <v>0</v>
      </c>
      <c r="I8" s="150">
        <f>'Data Entry'!C14/'Data Entry'!B14</f>
        <v>0.14285714285714285</v>
      </c>
      <c r="K8" s="96" t="str">
        <f>A8</f>
        <v>Confinement, total N=7</v>
      </c>
      <c r="L8">
        <f>I14/(SUM(B14:G14))</f>
        <v>1.5018954509177971</v>
      </c>
    </row>
    <row r="9" spans="1:12">
      <c r="A9" s="128" t="str">
        <f>CONCATENATE("Delinquent Findings, total N=", 'Data Entry'!B12)</f>
        <v>Delinquent Findings, total N=196</v>
      </c>
      <c r="B9" s="150">
        <f>'Data Entry'!D12/'Data Entry'!B12</f>
        <v>0.44897959183673469</v>
      </c>
      <c r="C9" s="150">
        <f>'Data Entry'!E12/'Data Entry'!B12</f>
        <v>4.0816326530612242E-2</v>
      </c>
      <c r="D9" s="150">
        <f>'Data Entry'!F12/'Data Entry'!B12</f>
        <v>1.020408163265306E-2</v>
      </c>
      <c r="E9" s="150">
        <f>'Data Entry'!G12/'Data Entry'!B12</f>
        <v>0</v>
      </c>
      <c r="F9" s="150">
        <f>'Data Entry'!H12/'Data Entry'!B12</f>
        <v>0</v>
      </c>
      <c r="G9" s="150">
        <f>'Data Entry'!I12/'Data Entry'!B12</f>
        <v>0</v>
      </c>
      <c r="H9" s="150">
        <f>SUM(D9:G9)/'Data Entry'!B12</f>
        <v>5.2061640982923777E-5</v>
      </c>
      <c r="I9" s="150">
        <f>'Data Entry'!C12/'Data Entry'!B12</f>
        <v>0.19387755102040816</v>
      </c>
      <c r="K9" s="96" t="str">
        <f t="shared" si="0"/>
        <v>Delinquent Findings, total N=196</v>
      </c>
      <c r="L9">
        <f>I14/(SUM(B14:G14))</f>
        <v>1.5018954509177971</v>
      </c>
    </row>
    <row r="10" spans="1:12">
      <c r="A10" s="128" t="str">
        <f>CONCATENATE("Petitions, total N=", 'Data Entry'!B11)</f>
        <v>Petitions, total N=196</v>
      </c>
      <c r="B10" s="150">
        <f>'Data Entry'!D11/'Data Entry'!B11</f>
        <v>0.43877551020408162</v>
      </c>
      <c r="C10" s="150">
        <f>'Data Entry'!E11/'Data Entry'!B11</f>
        <v>4.5918367346938778E-2</v>
      </c>
      <c r="D10" s="150">
        <f>'Data Entry'!F11/'Data Entry'!B11</f>
        <v>5.1020408163265302E-3</v>
      </c>
      <c r="E10" s="150">
        <f>'Data Entry'!G11/'Data Entry'!B11</f>
        <v>0</v>
      </c>
      <c r="F10" s="150">
        <f>'Data Entry'!H11/'Data Entry'!B11</f>
        <v>0</v>
      </c>
      <c r="G10" s="150">
        <f>'Data Entry'!I11/'Data Entry'!B11</f>
        <v>0</v>
      </c>
      <c r="H10" s="150">
        <f>SUM(D10:G10)/'Data Entry'!B11</f>
        <v>2.6030820491461889E-5</v>
      </c>
      <c r="I10" s="150">
        <f>'Data Entry'!C11/'Data Entry'!B11</f>
        <v>0.16326530612244897</v>
      </c>
      <c r="K10" s="96" t="str">
        <f t="shared" si="0"/>
        <v>Petitions, total N=196</v>
      </c>
      <c r="L10">
        <f>I14/(SUM(B14:G14))</f>
        <v>1.5018954509177971</v>
      </c>
    </row>
    <row r="11" spans="1:12">
      <c r="A11" s="128" t="str">
        <f>CONCATENATE("Detentions, total N=", 'Data Entry'!B10)</f>
        <v>Detentions, total N=138</v>
      </c>
      <c r="B11" s="150">
        <f>'Data Entry'!D10/'Data Entry'!B10</f>
        <v>0.45652173913043476</v>
      </c>
      <c r="C11" s="150">
        <f>'Data Entry'!E10/'Data Entry'!B10</f>
        <v>4.3478260869565216E-2</v>
      </c>
      <c r="D11" s="150">
        <f>'Data Entry'!F10/'Data Entry'!B10</f>
        <v>7.246376811594203E-3</v>
      </c>
      <c r="E11" s="150">
        <f>'Data Entry'!G10/'Data Entry'!B10</f>
        <v>0</v>
      </c>
      <c r="F11" s="150">
        <f>'Data Entry'!H10/'Data Entry'!B10</f>
        <v>0</v>
      </c>
      <c r="G11" s="150">
        <f>'Data Entry'!I10/'Data Entry'!B10</f>
        <v>0</v>
      </c>
      <c r="H11" s="150">
        <f>SUM(D11:G11)/'Data Entry'!B10</f>
        <v>5.250997689561017E-5</v>
      </c>
      <c r="I11" s="150">
        <f>'Data Entry'!C10/'Data Entry'!B10</f>
        <v>6.5217391304347824E-2</v>
      </c>
      <c r="K11" s="96" t="str">
        <f t="shared" si="0"/>
        <v>Detentions, total N=138</v>
      </c>
      <c r="L11">
        <f>I14/(SUM(B14:G14))</f>
        <v>1.5018954509177971</v>
      </c>
    </row>
    <row r="12" spans="1:12">
      <c r="A12" s="128" t="str">
        <f>CONCATENATE("Referrals, total N=", 'Data Entry'!B8)</f>
        <v>Referrals, total N=272</v>
      </c>
      <c r="B12" s="150">
        <f>'Data Entry'!D8/'Data Entry'!B8</f>
        <v>0.38235294117647056</v>
      </c>
      <c r="C12" s="150">
        <f>'Data Entry'!E8/'Data Entry'!B8</f>
        <v>3.6764705882352942E-2</v>
      </c>
      <c r="D12" s="150">
        <f>'Data Entry'!F8/'Data Entry'!B8</f>
        <v>3.6764705882352941E-3</v>
      </c>
      <c r="E12" s="150">
        <f>'Data Entry'!G8/'Data Entry'!B8</f>
        <v>0</v>
      </c>
      <c r="F12" s="150">
        <f>'Data Entry'!H8/'Data Entry'!B8</f>
        <v>0</v>
      </c>
      <c r="G12" s="150">
        <f>'Data Entry'!I8/'Data Entry'!B8</f>
        <v>0</v>
      </c>
      <c r="H12" s="150">
        <f>SUM(D12:G12)/'Data Entry'!B8</f>
        <v>1.351643598615917E-5</v>
      </c>
      <c r="I12" s="150">
        <f>'Data Entry'!C8/'Data Entry'!B8</f>
        <v>0.20955882352941177</v>
      </c>
      <c r="K12" s="96" t="str">
        <f t="shared" si="0"/>
        <v>Referrals, total N=272</v>
      </c>
      <c r="L12">
        <f>I14/(SUM(B14:G14))</f>
        <v>1.5018954509177971</v>
      </c>
    </row>
    <row r="13" spans="1:12">
      <c r="A13" s="128" t="str">
        <f>CONCATENATE("Arrests, total N=", 'Data Entry'!B7)</f>
        <v>Arrests, total N=131</v>
      </c>
      <c r="B13" s="150">
        <f>'Data Entry'!D7/'Data Entry'!B7</f>
        <v>0.6717557251908397</v>
      </c>
      <c r="C13" s="150">
        <f>'Data Entry'!E7/'Data Entry'!B7</f>
        <v>5.3435114503816793E-2</v>
      </c>
      <c r="D13" s="150">
        <f>'Data Entry'!F7/'Data Entry'!B7</f>
        <v>7.6335877862595417E-3</v>
      </c>
      <c r="E13" s="150">
        <f>'Data Entry'!G7/'Data Entry'!B7</f>
        <v>0</v>
      </c>
      <c r="F13" s="150">
        <f>'Data Entry'!H7/'Data Entry'!B7</f>
        <v>0</v>
      </c>
      <c r="G13" s="150">
        <f>'Data Entry'!I7/'Data Entry'!B7</f>
        <v>0</v>
      </c>
      <c r="H13" s="150">
        <f>SUM(D13:G13)/'Data Entry'!B7</f>
        <v>5.827166249053085E-5</v>
      </c>
      <c r="I13" s="150">
        <f>'Data Entry'!C7/'Data Entry'!B7</f>
        <v>0.18320610687022901</v>
      </c>
      <c r="K13" s="96" t="str">
        <f t="shared" si="0"/>
        <v>Arrests, total N=131</v>
      </c>
      <c r="L13">
        <f>I14/(SUM(B14:G14))</f>
        <v>1.5018954509177971</v>
      </c>
    </row>
    <row r="14" spans="1:12">
      <c r="A14" s="128" t="str">
        <f>CONCATENATE("Population, total N=", 'Data Entry'!B6)</f>
        <v>Population, total N=25079</v>
      </c>
      <c r="B14" s="150">
        <f>'Data Entry'!D6/'Data Entry'!B6</f>
        <v>0.19550221300689821</v>
      </c>
      <c r="C14" s="150">
        <f>'Data Entry'!E6/'Data Entry'!B6</f>
        <v>0.132381673910443</v>
      </c>
      <c r="D14" s="150">
        <f>'Data Entry'!F6/'Data Entry'!B6</f>
        <v>6.5951592966226727E-2</v>
      </c>
      <c r="E14" s="150">
        <f>'Data Entry'!G6/'Data Entry'!B6</f>
        <v>0</v>
      </c>
      <c r="F14" s="150">
        <f>'Data Entry'!H6/'Data Entry'!B6</f>
        <v>5.8614777303720245E-3</v>
      </c>
      <c r="G14" s="150">
        <f>'Data Entry'!I6/'Data Entry'!B6</f>
        <v>0</v>
      </c>
      <c r="H14" s="150">
        <f>SUM(D14:G14)/'Data Entry'!B6</f>
        <v>2.8634742492363636E-6</v>
      </c>
      <c r="I14" s="150">
        <f>'Data Entry'!C6/'Data Entry'!B6</f>
        <v>0.60030304238606003</v>
      </c>
      <c r="K14" s="96" t="str">
        <f t="shared" si="0"/>
        <v>Population, total N=25079</v>
      </c>
      <c r="L14">
        <f>I14/(SUM(B14:G14))</f>
        <v>1.5018954509177971</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113</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Ingham</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111</v>
      </c>
      <c r="C6" s="122" t="s">
        <v>109</v>
      </c>
      <c r="D6" s="123" t="s">
        <v>109</v>
      </c>
      <c r="E6" s="124" t="s">
        <v>110</v>
      </c>
      <c r="F6" s="123" t="s">
        <v>109</v>
      </c>
      <c r="G6" s="124" t="s">
        <v>110</v>
      </c>
      <c r="H6" s="123" t="s">
        <v>109</v>
      </c>
      <c r="I6" s="124" t="s">
        <v>110</v>
      </c>
      <c r="J6" s="123" t="s">
        <v>109</v>
      </c>
      <c r="K6" s="125" t="s">
        <v>110</v>
      </c>
    </row>
    <row r="7" spans="2:30" s="8" customFormat="1" ht="18" customHeight="1">
      <c r="B7" s="141" t="str">
        <f>'Data Entry'!A6</f>
        <v>1. Population at Risk (age 10 through 17)</v>
      </c>
      <c r="C7" s="103">
        <f>'Data Entry'!C6</f>
        <v>15055</v>
      </c>
      <c r="D7" s="104">
        <f>'Data Entry'!D6</f>
        <v>4903</v>
      </c>
      <c r="E7" s="105"/>
      <c r="F7" s="106">
        <f>'Data Entry'!E6</f>
        <v>3320</v>
      </c>
      <c r="G7" s="105"/>
      <c r="H7" s="106">
        <f>'Data Entry'!F6</f>
        <v>1654</v>
      </c>
      <c r="I7" s="105"/>
      <c r="J7" s="106">
        <f>'Data Entry'!J6</f>
        <v>10024</v>
      </c>
      <c r="K7" s="107"/>
    </row>
    <row r="8" spans="2:30" s="1" customFormat="1" ht="15" customHeight="1">
      <c r="B8" s="121" t="s">
        <v>8</v>
      </c>
      <c r="C8" s="103">
        <f>'Data Entry'!C7</f>
        <v>24</v>
      </c>
      <c r="D8" s="104">
        <f>'Data Entry'!D7</f>
        <v>88</v>
      </c>
      <c r="E8" s="105">
        <f>'Black or African-American'!$G7</f>
        <v>11.258753144333401</v>
      </c>
      <c r="F8" s="106">
        <f>'Data Entry'!E7</f>
        <v>7</v>
      </c>
      <c r="G8" s="105">
        <f>Hispanic!G7</f>
        <v>1.3226029116465863</v>
      </c>
      <c r="H8" s="106">
        <f>'Data Entry'!F7</f>
        <v>1</v>
      </c>
      <c r="I8" s="105" t="str">
        <f>Asian!G7</f>
        <v>**</v>
      </c>
      <c r="J8" s="106">
        <f>'Data Entry'!J7</f>
        <v>96</v>
      </c>
      <c r="K8" s="107">
        <f>'All Minorities'!G7</f>
        <v>6.0075818036711892</v>
      </c>
      <c r="L8"/>
      <c r="N8" s="1">
        <f>'Black or African-American'!L7</f>
        <v>1</v>
      </c>
      <c r="O8" s="1">
        <f>Hispanic!L7</f>
        <v>2</v>
      </c>
      <c r="P8" s="1">
        <f>Asian!L7</f>
        <v>40</v>
      </c>
      <c r="Q8" s="1" t="e">
        <f>Hawaiian!L7</f>
        <v>#VALUE!</v>
      </c>
      <c r="R8" s="1">
        <f>'Am Indian'!L7</f>
        <v>139</v>
      </c>
      <c r="S8" s="1" t="e">
        <f>'Other - Mixed'!L7</f>
        <v>#VALUE!</v>
      </c>
      <c r="T8" s="1">
        <f>'All Minorities'!L7</f>
        <v>1</v>
      </c>
    </row>
    <row r="9" spans="2:30" s="1" customFormat="1" ht="15" customHeight="1">
      <c r="B9" s="121" t="s">
        <v>126</v>
      </c>
      <c r="C9" s="103">
        <f>'Data Entry'!C8</f>
        <v>57</v>
      </c>
      <c r="D9" s="108">
        <f>'Data Entry'!D8</f>
        <v>104</v>
      </c>
      <c r="E9" s="109" t="str">
        <f>'Black or African-American'!$G8</f>
        <v>**</v>
      </c>
      <c r="F9" s="110">
        <f>'Data Entry'!E8</f>
        <v>10</v>
      </c>
      <c r="G9" s="109" t="str">
        <f>Hispanic!G8</f>
        <v>**</v>
      </c>
      <c r="H9" s="110">
        <f>'Data Entry'!F8</f>
        <v>1</v>
      </c>
      <c r="I9" s="109" t="str">
        <f>Asian!G8</f>
        <v>**</v>
      </c>
      <c r="J9" s="110">
        <f>'Data Entry'!J8</f>
        <v>115</v>
      </c>
      <c r="K9" s="111" t="str">
        <f>'All Minorities'!G8</f>
        <v>**</v>
      </c>
      <c r="L9"/>
      <c r="N9" s="1">
        <f>'Black or African-American'!L8</f>
        <v>20</v>
      </c>
      <c r="O9" s="1">
        <f>Hispanic!L8</f>
        <v>40</v>
      </c>
      <c r="P9" s="1">
        <f>Asian!L8</f>
        <v>40</v>
      </c>
      <c r="Q9" s="1">
        <f>Hawaiian!L8</f>
        <v>139</v>
      </c>
      <c r="R9" s="1">
        <f>'Am Indian'!L8</f>
        <v>139</v>
      </c>
      <c r="S9" s="1">
        <f>'Other - Mixed'!L8</f>
        <v>139</v>
      </c>
      <c r="T9" s="1">
        <f>'All Minorities'!L8</f>
        <v>20</v>
      </c>
    </row>
    <row r="10" spans="2:30" s="1" customFormat="1" ht="15" customHeight="1">
      <c r="B10" s="121" t="s">
        <v>10</v>
      </c>
      <c r="C10" s="103">
        <f>'Data Entry'!C9</f>
        <v>89</v>
      </c>
      <c r="D10" s="112">
        <f>'Data Entry'!D9</f>
        <v>87</v>
      </c>
      <c r="E10" s="113">
        <f>'Black or African-American'!$G9</f>
        <v>0.53576058772687984</v>
      </c>
      <c r="F10" s="114">
        <f>'Data Entry'!E9</f>
        <v>6</v>
      </c>
      <c r="G10" s="113" t="str">
        <f>Hispanic!G9</f>
        <v>**</v>
      </c>
      <c r="H10" s="114">
        <f>'Data Entry'!F9</f>
        <v>0</v>
      </c>
      <c r="I10" s="113" t="str">
        <f>Asian!G9</f>
        <v>**</v>
      </c>
      <c r="J10" s="114">
        <f>'Data Entry'!J9</f>
        <v>93</v>
      </c>
      <c r="K10" s="115">
        <f>'All Minorities'!G9</f>
        <v>0.51792867611138249</v>
      </c>
      <c r="L10"/>
      <c r="N10" s="1">
        <f>'Black or African-American'!L9</f>
        <v>1</v>
      </c>
      <c r="O10" s="1">
        <f>Hispanic!L9</f>
        <v>20</v>
      </c>
      <c r="P10" s="1">
        <f>Asian!L9</f>
        <v>40</v>
      </c>
      <c r="Q10" s="1" t="e">
        <f>Hawaiian!L9</f>
        <v>#VALUE!</v>
      </c>
      <c r="R10" s="1" t="e">
        <f>'Am Indian'!L9</f>
        <v>#VALUE!</v>
      </c>
      <c r="S10" s="1" t="e">
        <f>'Other - Mixed'!L9</f>
        <v>#VALUE!</v>
      </c>
      <c r="T10" s="1">
        <f>'All Minorities'!L9</f>
        <v>1</v>
      </c>
    </row>
    <row r="11" spans="2:30" s="1" customFormat="1" ht="15" customHeight="1">
      <c r="B11" s="121" t="s">
        <v>11</v>
      </c>
      <c r="C11" s="103">
        <f>'Data Entry'!C10</f>
        <v>9</v>
      </c>
      <c r="D11" s="108">
        <f>'Data Entry'!D10</f>
        <v>63</v>
      </c>
      <c r="E11" s="109">
        <f>'Black or African-American'!$G10</f>
        <v>3.8365384615384612</v>
      </c>
      <c r="F11" s="110">
        <f>'Data Entry'!E10</f>
        <v>6</v>
      </c>
      <c r="G11" s="109" t="str">
        <f>Hispanic!G10</f>
        <v>**</v>
      </c>
      <c r="H11" s="110">
        <f>'Data Entry'!F10</f>
        <v>1</v>
      </c>
      <c r="I11" s="109" t="str">
        <f>Asian!G10</f>
        <v>**</v>
      </c>
      <c r="J11" s="110">
        <f>'Data Entry'!J10</f>
        <v>70</v>
      </c>
      <c r="K11" s="111">
        <f>'All Minorities'!G10</f>
        <v>3.8550724637681162</v>
      </c>
      <c r="L11"/>
      <c r="N11" s="1">
        <f>'Black or African-American'!L10</f>
        <v>1</v>
      </c>
      <c r="O11" s="1">
        <f>Hispanic!L10</f>
        <v>20</v>
      </c>
      <c r="P11" s="1">
        <f>Asian!L10</f>
        <v>20</v>
      </c>
      <c r="Q11" s="1" t="e">
        <f>Hawaiian!L10</f>
        <v>#VALUE!</v>
      </c>
      <c r="R11" s="1" t="e">
        <f>'Am Indian'!L10</f>
        <v>#VALUE!</v>
      </c>
      <c r="S11" s="1" t="e">
        <f>'Other - Mixed'!L10</f>
        <v>#VALUE!</v>
      </c>
      <c r="T11" s="1">
        <f>'All Minorities'!L10</f>
        <v>1</v>
      </c>
    </row>
    <row r="12" spans="2:30" s="1" customFormat="1" ht="15" customHeight="1">
      <c r="B12" s="121" t="s">
        <v>95</v>
      </c>
      <c r="C12" s="103">
        <f>'Data Entry'!C11</f>
        <v>32</v>
      </c>
      <c r="D12" s="112">
        <f>'Data Entry'!D11</f>
        <v>86</v>
      </c>
      <c r="E12" s="113">
        <f>'Black or African-American'!$G11</f>
        <v>1.4729567307692306</v>
      </c>
      <c r="F12" s="114">
        <f>'Data Entry'!E11</f>
        <v>9</v>
      </c>
      <c r="G12" s="113" t="str">
        <f>Hispanic!G11</f>
        <v>**</v>
      </c>
      <c r="H12" s="114">
        <f>'Data Entry'!F11</f>
        <v>1</v>
      </c>
      <c r="I12" s="113" t="str">
        <f>Asian!G11</f>
        <v>**</v>
      </c>
      <c r="J12" s="114">
        <f>'Data Entry'!J11</f>
        <v>96</v>
      </c>
      <c r="K12" s="115">
        <f>'All Minorities'!G11</f>
        <v>1.4869565217391303</v>
      </c>
      <c r="L12"/>
      <c r="N12" s="1">
        <f>'Black or African-American'!L11</f>
        <v>1</v>
      </c>
      <c r="O12" s="1">
        <f>Hispanic!L11</f>
        <v>20</v>
      </c>
      <c r="P12" s="1">
        <f>Asian!L11</f>
        <v>40</v>
      </c>
      <c r="Q12" s="1" t="e">
        <f>Hawaiian!L11</f>
        <v>#VALUE!</v>
      </c>
      <c r="R12" s="1" t="e">
        <f>'Am Indian'!L11</f>
        <v>#VALUE!</v>
      </c>
      <c r="S12" s="1" t="e">
        <f>'Other - Mixed'!L11</f>
        <v>#VALUE!</v>
      </c>
      <c r="T12" s="1">
        <f>'All Minorities'!L11</f>
        <v>1</v>
      </c>
    </row>
    <row r="13" spans="2:30" s="1" customFormat="1" ht="15" customHeight="1">
      <c r="B13" s="121" t="s">
        <v>13</v>
      </c>
      <c r="C13" s="103">
        <f>'Data Entry'!C12</f>
        <v>38</v>
      </c>
      <c r="D13" s="108">
        <f>'Data Entry'!D12</f>
        <v>88</v>
      </c>
      <c r="E13" s="109">
        <f>'Black or African-American'!$G12</f>
        <v>0.86168910648714803</v>
      </c>
      <c r="F13" s="110">
        <f>'Data Entry'!E12</f>
        <v>8</v>
      </c>
      <c r="G13" s="109" t="str">
        <f>Hispanic!G12</f>
        <v>**</v>
      </c>
      <c r="H13" s="110">
        <f>'Data Entry'!F12</f>
        <v>2</v>
      </c>
      <c r="I13" s="109" t="str">
        <f>Asian!G12</f>
        <v>**</v>
      </c>
      <c r="J13" s="110">
        <f>'Data Entry'!J12</f>
        <v>98</v>
      </c>
      <c r="K13" s="111">
        <f>'All Minorities'!G12</f>
        <v>0.85964912280701766</v>
      </c>
      <c r="L13"/>
      <c r="N13" s="1">
        <f>'Black or African-American'!L12</f>
        <v>1</v>
      </c>
      <c r="O13" s="1">
        <f>Hispanic!L12</f>
        <v>20</v>
      </c>
      <c r="P13" s="1">
        <f>Asian!L12</f>
        <v>40</v>
      </c>
      <c r="Q13" s="1" t="e">
        <f>Hawaiian!L12</f>
        <v>#VALUE!</v>
      </c>
      <c r="R13" s="1" t="e">
        <f>'Am Indian'!L12</f>
        <v>#VALUE!</v>
      </c>
      <c r="S13" s="1" t="e">
        <f>'Other - Mixed'!L12</f>
        <v>#VALUE!</v>
      </c>
      <c r="T13" s="1">
        <f>'All Minorities'!L12</f>
        <v>1</v>
      </c>
      <c r="W13" s="8"/>
      <c r="X13" s="8"/>
      <c r="Y13" s="8"/>
      <c r="Z13" s="8"/>
      <c r="AA13" s="8"/>
      <c r="AB13" s="8"/>
      <c r="AC13" s="8"/>
      <c r="AD13" s="8"/>
    </row>
    <row r="14" spans="2:30" s="1" customFormat="1" ht="15" customHeight="1">
      <c r="B14" s="121" t="s">
        <v>14</v>
      </c>
      <c r="C14" s="103">
        <f>'Data Entry'!C13</f>
        <v>38</v>
      </c>
      <c r="D14" s="112">
        <f>'Data Entry'!D13</f>
        <v>88</v>
      </c>
      <c r="E14" s="113" t="str">
        <f>'Black or African-American'!$G13</f>
        <v>--</v>
      </c>
      <c r="F14" s="114">
        <f>'Data Entry'!E13</f>
        <v>8</v>
      </c>
      <c r="G14" s="113" t="str">
        <f>Hispanic!G13</f>
        <v>--</v>
      </c>
      <c r="H14" s="114">
        <f>'Data Entry'!F13</f>
        <v>2</v>
      </c>
      <c r="I14" s="113" t="str">
        <f>Asian!G13</f>
        <v>--</v>
      </c>
      <c r="J14" s="114">
        <f>'Data Entry'!J13</f>
        <v>98</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115</v>
      </c>
      <c r="C15" s="103">
        <f>'Data Entry'!C14</f>
        <v>1</v>
      </c>
      <c r="D15" s="108">
        <f>'Data Entry'!D14</f>
        <v>5</v>
      </c>
      <c r="E15" s="109" t="str">
        <f>'Black or African-American'!$G14</f>
        <v>**</v>
      </c>
      <c r="F15" s="110">
        <f>'Data Entry'!E14</f>
        <v>1</v>
      </c>
      <c r="G15" s="109" t="str">
        <f>Hispanic!G14</f>
        <v>**</v>
      </c>
      <c r="H15" s="110">
        <f>'Data Entry'!F14</f>
        <v>0</v>
      </c>
      <c r="I15" s="109" t="str">
        <f>Asian!G14</f>
        <v>**</v>
      </c>
      <c r="J15" s="110">
        <f>'Data Entry'!J14</f>
        <v>6</v>
      </c>
      <c r="K15" s="111" t="str">
        <f>'All Minorities'!G14</f>
        <v>**</v>
      </c>
      <c r="L15"/>
      <c r="N15" s="1">
        <f>'Black or African-American'!L14</f>
        <v>40</v>
      </c>
      <c r="O15" s="1">
        <f>Hispanic!L14</f>
        <v>40</v>
      </c>
      <c r="P15" s="1">
        <f>Asian!L14</f>
        <v>40</v>
      </c>
      <c r="Q15" s="1" t="e">
        <f>Hawaiian!L14</f>
        <v>#VALUE!</v>
      </c>
      <c r="R15" s="1" t="e">
        <f>'Am Indian'!L14</f>
        <v>#VALUE!</v>
      </c>
      <c r="S15" s="1" t="e">
        <f>'Other - Mixed'!L14</f>
        <v>#VALUE!</v>
      </c>
      <c r="T15" s="1">
        <f>'All Minorities'!L14</f>
        <v>40</v>
      </c>
      <c r="W15" s="8"/>
      <c r="X15" s="8"/>
      <c r="Y15" s="8"/>
      <c r="Z15" s="8"/>
      <c r="AA15" s="8"/>
      <c r="AB15" s="8"/>
      <c r="AC15" s="8"/>
      <c r="AD15" s="8"/>
    </row>
    <row r="16" spans="2:30" s="1" customFormat="1" ht="15" customHeight="1">
      <c r="B16" s="121" t="s">
        <v>16</v>
      </c>
      <c r="C16" s="103">
        <f>'Data Entry'!C15</f>
        <v>0</v>
      </c>
      <c r="D16" s="116">
        <f>'Data Entry'!D15</f>
        <v>1</v>
      </c>
      <c r="E16" s="117" t="str">
        <f>'Black or African-American'!$G15</f>
        <v>**</v>
      </c>
      <c r="F16" s="118">
        <f>'Data Entry'!E15</f>
        <v>0</v>
      </c>
      <c r="G16" s="117" t="str">
        <f>Hispanic!G15</f>
        <v>--</v>
      </c>
      <c r="H16" s="118">
        <f>'Data Entry'!F15</f>
        <v>0</v>
      </c>
      <c r="I16" s="117" t="str">
        <f>Asian!G15</f>
        <v>--</v>
      </c>
      <c r="J16" s="118">
        <f>'Data Entry'!J15</f>
        <v>1</v>
      </c>
      <c r="K16" s="119" t="str">
        <f>'All Minorities'!G15</f>
        <v>**</v>
      </c>
      <c r="L16"/>
      <c r="N16" s="1">
        <f>'Black or African-American'!L15</f>
        <v>40</v>
      </c>
      <c r="O16" s="1" t="e">
        <f>Hispanic!L15</f>
        <v>#VALUE!</v>
      </c>
      <c r="P16" s="1" t="e">
        <f>Asian!L15</f>
        <v>#VALUE!</v>
      </c>
      <c r="Q16" s="1" t="e">
        <f>Hawaiian!L15</f>
        <v>#VALUE!</v>
      </c>
      <c r="R16" s="1" t="e">
        <f>'Am Indian'!L15</f>
        <v>#VALUE!</v>
      </c>
      <c r="S16" s="1" t="e">
        <f>'Other - Mixed'!L15</f>
        <v>#VALUE!</v>
      </c>
      <c r="T16" s="1">
        <f>'All Minorities'!L15</f>
        <v>40</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112</v>
      </c>
      <c r="C19" s="201"/>
      <c r="D19" s="201"/>
      <c r="E19" s="201"/>
      <c r="F19" s="201"/>
      <c r="G19" s="201"/>
      <c r="H19" s="201"/>
      <c r="I19" s="202"/>
      <c r="J19" s="203"/>
      <c r="K19" s="204"/>
    </row>
    <row r="20" spans="2:30" ht="15.75">
      <c r="B20" s="153" t="s">
        <v>117</v>
      </c>
      <c r="C20" s="208" t="s">
        <v>53</v>
      </c>
      <c r="D20" s="209"/>
      <c r="E20" s="192" t="s">
        <v>56</v>
      </c>
      <c r="F20" s="193"/>
      <c r="G20" s="193"/>
      <c r="H20" s="193"/>
      <c r="I20" s="193"/>
      <c r="J20" s="193"/>
      <c r="K20" s="154" t="s">
        <v>57</v>
      </c>
    </row>
    <row r="21" spans="2:30" ht="15" customHeight="1">
      <c r="B21" s="155" t="s">
        <v>118</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Ingham County Juvenile Court</v>
      </c>
      <c r="E27" s="1" t="str">
        <f>'Data Entry'!D20</f>
        <v>Item 4.Diversion: Ingham County Juvenile Court</v>
      </c>
      <c r="I27" s="96"/>
    </row>
    <row r="28" spans="2:30" ht="12.75" customHeight="1">
      <c r="B28" s="1" t="str">
        <f>'Data Entry'!A21</f>
        <v>Item 5.Detention: Ingham County Juvenile Court</v>
      </c>
      <c r="E28" s="1" t="str">
        <f>'Data Entry'!D21</f>
        <v>Item 6.Petitioned: Ingham County Juvenile Court</v>
      </c>
      <c r="I28" s="96"/>
    </row>
    <row r="29" spans="2:30" ht="12.75" customHeight="1">
      <c r="B29" s="1" t="str">
        <f>'Data Entry'!A22</f>
        <v>Item 7.Delinquent: Ingham County Juvenile Court</v>
      </c>
      <c r="E29" s="1" t="str">
        <f>'Data Entry'!D22</f>
        <v>Item 8.Probation: Ingham County Juvenile Court</v>
      </c>
      <c r="I29" s="96"/>
    </row>
    <row r="30" spans="2:30" ht="12.75" customHeight="1">
      <c r="B30" s="1" t="str">
        <f>'Data Entry'!A23</f>
        <v>Item 9.Confinement: Ingham County Juvenile Court</v>
      </c>
      <c r="E30" s="1" t="str">
        <f>'Data Entry'!D23</f>
        <v>Item 10.Transferred: Ingham County Juvenile Court</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topLeftCell="A5"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Ingham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15055</v>
      </c>
      <c r="D6" s="34"/>
      <c r="E6" s="33">
        <f>'Data Entry'!D6</f>
        <v>4903</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24</v>
      </c>
      <c r="D7" s="34">
        <f>IF((AND(C66&gt;0,C7&gt;0)),(C7/C66),0)</f>
        <v>1.5941547658585189</v>
      </c>
      <c r="E7" s="33">
        <f>'Data Entry'!D7</f>
        <v>88</v>
      </c>
      <c r="F7" s="34">
        <f>IF((AND($E$7&gt;0,$D$66&gt;0)),($E$7/$D$66),0)</f>
        <v>17.948194982663676</v>
      </c>
      <c r="G7" s="39">
        <f>IF(L$6=100,"*",IF(M7=FALSE,"--",IF(K7=20,"**",($F7/$D7))))</f>
        <v>11.258753144333401</v>
      </c>
      <c r="H7" s="40"/>
      <c r="I7" s="41"/>
      <c r="J7" s="40">
        <f>IF((ABS($U7)&gt;Defaults!D$7),1,2)</f>
        <v>1</v>
      </c>
      <c r="K7" s="39">
        <f>IF((AND(N7&gt;Defaults!B$12,(N7+O7)&gt;Defaults!B$13, P7 &gt; Defaults!B$12, (P7+Q7) &gt; Defaults!B$13)),1,20)</f>
        <v>1</v>
      </c>
      <c r="L7" s="1">
        <f>(J7*K7+L$6)-1</f>
        <v>1</v>
      </c>
      <c r="M7" s="1" t="b">
        <f t="shared" ref="M7:M15" si="0">(ISNUMBER(J7))</f>
        <v>1</v>
      </c>
      <c r="N7" s="42">
        <f t="shared" ref="N7:N15" si="1">E7</f>
        <v>88</v>
      </c>
      <c r="O7" s="42">
        <f>E6-E7</f>
        <v>4815</v>
      </c>
      <c r="P7" s="42">
        <f t="shared" ref="P7:P15" si="2">C7</f>
        <v>24</v>
      </c>
      <c r="Q7" s="42">
        <f>C6-C7</f>
        <v>15031</v>
      </c>
      <c r="R7" s="42">
        <f t="shared" ref="R7:R15" si="3">SUM(N7:Q7)</f>
        <v>19958</v>
      </c>
      <c r="S7" s="30">
        <f t="shared" ref="S7:S15" si="4">R7*((((N7*Q7)-(O7*P7))^2))</f>
        <v>2.9083886912110592E+16</v>
      </c>
      <c r="T7" s="30">
        <f t="shared" ref="T7:T15" si="5">(N7+O7)*(P7+Q7)*(N7+P7)*(O7+Q7)</f>
        <v>164071694258080</v>
      </c>
      <c r="U7" s="31">
        <f t="shared" ref="U7:U15" si="6">IF((S7&gt;0),S7/T7,"- -")</f>
        <v>177.26328141868569</v>
      </c>
    </row>
    <row r="8" spans="2:21" ht="18" customHeight="1">
      <c r="B8" s="32" t="str">
        <f>'Data Entry'!A8</f>
        <v>3. Refer to Juvenile Court</v>
      </c>
      <c r="C8" s="33">
        <f>'Data Entry'!C8</f>
        <v>57</v>
      </c>
      <c r="D8" s="34">
        <f>IF((AND(C67&gt;0,C8&gt;0)),(C8/C67),0)</f>
        <v>237.5</v>
      </c>
      <c r="E8" s="33">
        <f>'Data Entry'!D8</f>
        <v>104</v>
      </c>
      <c r="F8" s="34">
        <f>IF((AND($E$8&gt;0,$D$67&gt;0)),($E8/$D67),0)</f>
        <v>118.18181818181819</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104</v>
      </c>
      <c r="O8" s="42">
        <f>((D67*L67)-E8)+0.05</f>
        <v>-15.95</v>
      </c>
      <c r="P8" s="42">
        <f t="shared" si="2"/>
        <v>57</v>
      </c>
      <c r="Q8" s="42">
        <f>(C$67*L67)-C8</f>
        <v>-33</v>
      </c>
      <c r="R8" s="42">
        <f t="shared" si="3"/>
        <v>112.05000000000001</v>
      </c>
      <c r="S8" s="30">
        <f t="shared" si="4"/>
        <v>713172716.32612503</v>
      </c>
      <c r="T8" s="30">
        <f t="shared" si="5"/>
        <v>-16654023.539999999</v>
      </c>
      <c r="U8" s="31">
        <f t="shared" si="6"/>
        <v>-42.822847860951505</v>
      </c>
    </row>
    <row r="9" spans="2:21" ht="18" customHeight="1">
      <c r="B9" s="32" t="str">
        <f>'Data Entry'!A9</f>
        <v xml:space="preserve">4. Cases Diverted </v>
      </c>
      <c r="C9" s="33">
        <f>'Data Entry'!C9</f>
        <v>89</v>
      </c>
      <c r="D9" s="34">
        <f>IF((AND(C68&gt;0,C9&gt;0)),((C9/C68)),0)</f>
        <v>156.14035087719299</v>
      </c>
      <c r="E9" s="33">
        <f>'Data Entry'!D9</f>
        <v>87</v>
      </c>
      <c r="F9" s="34">
        <f>IF((AND($E$9&gt;0,$D$68&gt;0)),(($E$9/$D$68)),0)</f>
        <v>83.653846153846146</v>
      </c>
      <c r="G9" s="39">
        <f t="shared" si="7"/>
        <v>0.53576058772687984</v>
      </c>
      <c r="H9" s="40"/>
      <c r="I9" s="41"/>
      <c r="J9" s="40">
        <f>IF((ABS($U9)&gt;Defaults!D$7),1,2)</f>
        <v>1</v>
      </c>
      <c r="K9" s="39">
        <f>IF((AND(N9&gt;Defaults!B$12,(N9+O9)&gt;Defaults!B$13, P9 &gt; Defaults!B$12, (P9+Q9) &gt; Defaults!B$13)),1,20)</f>
        <v>1</v>
      </c>
      <c r="L9" s="1">
        <f t="shared" si="8"/>
        <v>1</v>
      </c>
      <c r="M9" s="1" t="b">
        <f t="shared" si="0"/>
        <v>1</v>
      </c>
      <c r="N9" s="42">
        <f t="shared" si="1"/>
        <v>87</v>
      </c>
      <c r="O9" s="42">
        <f>(D$68*L68)-E9</f>
        <v>17</v>
      </c>
      <c r="P9" s="42">
        <f t="shared" si="2"/>
        <v>89</v>
      </c>
      <c r="Q9" s="42">
        <f>(C$68*L68)-C9</f>
        <v>-32.000000000000007</v>
      </c>
      <c r="R9" s="42">
        <f t="shared" si="3"/>
        <v>161</v>
      </c>
      <c r="S9" s="30">
        <f t="shared" si="4"/>
        <v>2972737649</v>
      </c>
      <c r="T9" s="30">
        <f t="shared" si="5"/>
        <v>-15649920.000000006</v>
      </c>
      <c r="U9" s="31">
        <f t="shared" si="6"/>
        <v>-189.95225847799856</v>
      </c>
    </row>
    <row r="10" spans="2:21" ht="18" customHeight="1">
      <c r="B10" s="32" t="str">
        <f>'Data Entry'!A10</f>
        <v>5. Cases Involving Secure Detention</v>
      </c>
      <c r="C10" s="33">
        <f>'Data Entry'!C10</f>
        <v>9</v>
      </c>
      <c r="D10" s="34">
        <f>IF(((AND(C68&gt;0,C10&gt;0))),(C10/(C68)),0)</f>
        <v>15.789473684210527</v>
      </c>
      <c r="E10" s="33">
        <f>'Data Entry'!D10</f>
        <v>63</v>
      </c>
      <c r="F10" s="34">
        <f>IF(((AND($E$10&gt;0,$D$68&gt;0))),($E$10/($D$68)),0)</f>
        <v>60.576923076923073</v>
      </c>
      <c r="G10" s="39">
        <f t="shared" si="7"/>
        <v>3.8365384615384612</v>
      </c>
      <c r="H10" s="40"/>
      <c r="I10" s="41"/>
      <c r="J10" s="40">
        <f>IF((ABS($U10)&gt;Defaults!D$7),1,2)</f>
        <v>1</v>
      </c>
      <c r="K10" s="39">
        <f>IF((AND(N10&gt;Defaults!B$12,(N10+O10)&gt;Defaults!B$13, P10 &gt; Defaults!B$12, (P10+Q10) &gt; Defaults!B$13)),1,20)</f>
        <v>1</v>
      </c>
      <c r="L10" s="1">
        <f t="shared" si="8"/>
        <v>1</v>
      </c>
      <c r="M10" s="1" t="b">
        <f t="shared" si="0"/>
        <v>1</v>
      </c>
      <c r="N10" s="42">
        <f t="shared" si="1"/>
        <v>63</v>
      </c>
      <c r="O10" s="42">
        <f>(D$68*L68)-E10</f>
        <v>41</v>
      </c>
      <c r="P10" s="42">
        <f t="shared" si="2"/>
        <v>9</v>
      </c>
      <c r="Q10" s="42">
        <f>(C$68*L68)-C10</f>
        <v>47.999999999999993</v>
      </c>
      <c r="R10" s="42">
        <f t="shared" si="3"/>
        <v>161</v>
      </c>
      <c r="S10" s="30">
        <f t="shared" si="4"/>
        <v>1134893024.9999995</v>
      </c>
      <c r="T10" s="30">
        <f t="shared" si="5"/>
        <v>37986623.999999993</v>
      </c>
      <c r="U10" s="31">
        <f t="shared" si="6"/>
        <v>29.876122316107896</v>
      </c>
    </row>
    <row r="11" spans="2:21" ht="18" customHeight="1">
      <c r="B11" s="32" t="str">
        <f>'Data Entry'!A11</f>
        <v>6. Cases Petitioned (Charge Filed)</v>
      </c>
      <c r="C11" s="33">
        <f>'Data Entry'!C11</f>
        <v>32</v>
      </c>
      <c r="D11" s="34">
        <f>IF(((AND(C68&gt;0,C11&gt;0))),(C11/(C68)),0)</f>
        <v>56.140350877192986</v>
      </c>
      <c r="E11" s="33">
        <f>'Data Entry'!D11</f>
        <v>86</v>
      </c>
      <c r="F11" s="34">
        <f>IF(((AND($E$11&gt;0,$D$68&gt;0))),($E$11/($D$68)),0)</f>
        <v>82.692307692307693</v>
      </c>
      <c r="G11" s="39">
        <f t="shared" si="7"/>
        <v>1.4729567307692306</v>
      </c>
      <c r="H11" s="40"/>
      <c r="I11" s="41"/>
      <c r="J11" s="40">
        <f>IF((ABS($U11)&gt;Defaults!D$7),1,2)</f>
        <v>1</v>
      </c>
      <c r="K11" s="39">
        <f>IF((AND(N11&gt;Defaults!B$12,(N11+O11)&gt;Defaults!B$13, P11 &gt; Defaults!B$12, (P11+Q11) &gt; Defaults!B$13)),1,20)</f>
        <v>1</v>
      </c>
      <c r="L11" s="1">
        <f t="shared" si="8"/>
        <v>1</v>
      </c>
      <c r="M11" s="1" t="b">
        <f t="shared" si="0"/>
        <v>1</v>
      </c>
      <c r="N11" s="42">
        <f t="shared" si="1"/>
        <v>86</v>
      </c>
      <c r="O11" s="42">
        <f>(D$68*L68)-E11</f>
        <v>18</v>
      </c>
      <c r="P11" s="42">
        <f t="shared" si="2"/>
        <v>32</v>
      </c>
      <c r="Q11" s="42">
        <f>(C$68*L68)-C11</f>
        <v>24.999999999999993</v>
      </c>
      <c r="R11" s="42">
        <f t="shared" si="3"/>
        <v>161</v>
      </c>
      <c r="S11" s="30">
        <f t="shared" si="4"/>
        <v>398873635.99999976</v>
      </c>
      <c r="T11" s="30">
        <f t="shared" si="5"/>
        <v>30078671.999999989</v>
      </c>
      <c r="U11" s="31">
        <f t="shared" si="6"/>
        <v>13.261012188304056</v>
      </c>
    </row>
    <row r="12" spans="2:21" ht="18" customHeight="1">
      <c r="B12" s="32" t="str">
        <f>'Data Entry'!A12</f>
        <v>7. Cases Resulting in Delinquent Findings</v>
      </c>
      <c r="C12" s="33">
        <f>'Data Entry'!C12</f>
        <v>38</v>
      </c>
      <c r="D12" s="34">
        <f>IF(((AND(C69&gt;0,C12&gt;0))),(C12/(C69)),0)</f>
        <v>118.75</v>
      </c>
      <c r="E12" s="33">
        <f>'Data Entry'!D12</f>
        <v>88</v>
      </c>
      <c r="F12" s="34">
        <f>IF(((AND($D$69&gt;0,$E$12&gt;0))),(E12/(D69)),0)</f>
        <v>102.32558139534883</v>
      </c>
      <c r="G12" s="39">
        <f t="shared" si="7"/>
        <v>0.86168910648714803</v>
      </c>
      <c r="H12" s="40"/>
      <c r="I12" s="41"/>
      <c r="J12" s="40">
        <f>IF((ABS($U12)&gt;Defaults!D$7),1,2)</f>
        <v>1</v>
      </c>
      <c r="K12" s="39">
        <f>IF((AND(N12&gt;Defaults!B$12,(N12+O12)&gt;Defaults!B$13, P12 &gt; Defaults!B$12, (P12+Q12) &gt; Defaults!B$13)),1,20)</f>
        <v>1</v>
      </c>
      <c r="L12" s="1">
        <f t="shared" si="8"/>
        <v>1</v>
      </c>
      <c r="M12" s="1" t="b">
        <f t="shared" si="0"/>
        <v>1</v>
      </c>
      <c r="N12" s="42">
        <f t="shared" si="1"/>
        <v>88</v>
      </c>
      <c r="O12" s="42">
        <f>(D69*L69)-E12</f>
        <v>-2</v>
      </c>
      <c r="P12" s="42">
        <f t="shared" si="2"/>
        <v>38</v>
      </c>
      <c r="Q12" s="42">
        <f>(C69*L69)-C12</f>
        <v>-6</v>
      </c>
      <c r="R12" s="42">
        <f t="shared" si="3"/>
        <v>118</v>
      </c>
      <c r="S12" s="30">
        <f t="shared" si="4"/>
        <v>24107872</v>
      </c>
      <c r="T12" s="30">
        <f t="shared" si="5"/>
        <v>-2774016</v>
      </c>
      <c r="U12" s="31">
        <f t="shared" si="6"/>
        <v>-8.6906030823181979</v>
      </c>
    </row>
    <row r="13" spans="2:21" ht="18" customHeight="1">
      <c r="B13" s="32" t="str">
        <f>'Data Entry'!A13</f>
        <v>8. Cases Resulting in Probation Placement</v>
      </c>
      <c r="C13" s="33">
        <f>'Data Entry'!C13</f>
        <v>38</v>
      </c>
      <c r="D13" s="34">
        <f>IF(((AND(C70&gt;0,C13&gt;0))),(C13/(C70)),0)</f>
        <v>100</v>
      </c>
      <c r="E13" s="33">
        <f>'Data Entry'!D13</f>
        <v>88</v>
      </c>
      <c r="F13" s="34">
        <f>IF(((AND($D$70&gt;0,$E$13&gt;0))),($E$13/($D$70)),0)</f>
        <v>100</v>
      </c>
      <c r="G13" s="39" t="str">
        <f t="shared" si="7"/>
        <v>--</v>
      </c>
      <c r="H13" s="40"/>
      <c r="I13" s="41"/>
      <c r="J13" s="40" t="e">
        <f>IF((ABS($U13)&gt;Defaults!D$7),1,2)</f>
        <v>#VALUE!</v>
      </c>
      <c r="K13" s="39">
        <f>IF((AND(N13&gt;Defaults!B$12,(N13+O13)&gt;Defaults!B$13, P13 &gt; Defaults!B$12, (P13+Q13) &gt; Defaults!B$13)),1,20)</f>
        <v>1</v>
      </c>
      <c r="L13" s="1" t="e">
        <f t="shared" si="8"/>
        <v>#VALUE!</v>
      </c>
      <c r="M13" s="1" t="b">
        <f t="shared" si="0"/>
        <v>0</v>
      </c>
      <c r="N13" s="42">
        <f t="shared" si="1"/>
        <v>88</v>
      </c>
      <c r="O13" s="42">
        <f>(D70*L70)-E13</f>
        <v>0</v>
      </c>
      <c r="P13" s="42">
        <f t="shared" si="2"/>
        <v>38</v>
      </c>
      <c r="Q13" s="42">
        <f>(C70*L70)-C13</f>
        <v>0</v>
      </c>
      <c r="R13" s="42">
        <f t="shared" si="3"/>
        <v>126</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1</v>
      </c>
      <c r="D14" s="34">
        <f>IF(((AND(C70&gt;0,C14&gt;0))), ((C14/(C70))),0)</f>
        <v>2.6315789473684212</v>
      </c>
      <c r="E14" s="33">
        <f>'Data Entry'!D14</f>
        <v>5</v>
      </c>
      <c r="F14" s="34">
        <f>IF(((AND($D$70&gt;0,$E$14&gt;0))), (($E$14/($D$70))),0)</f>
        <v>5.6818181818181817</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5</v>
      </c>
      <c r="O14" s="42">
        <f>(D70*L70)-E14</f>
        <v>83</v>
      </c>
      <c r="P14" s="42">
        <f t="shared" si="2"/>
        <v>1</v>
      </c>
      <c r="Q14" s="42">
        <f>(C70*L70)-C14</f>
        <v>37</v>
      </c>
      <c r="R14" s="42">
        <f t="shared" si="3"/>
        <v>126</v>
      </c>
      <c r="S14" s="30">
        <f t="shared" si="4"/>
        <v>1310904</v>
      </c>
      <c r="T14" s="30">
        <f t="shared" si="5"/>
        <v>2407680</v>
      </c>
      <c r="U14" s="31">
        <f t="shared" si="6"/>
        <v>0.54446770334928229</v>
      </c>
    </row>
    <row r="15" spans="2:21" ht="15.75" customHeight="1">
      <c r="B15" s="32" t="str">
        <f>'Data Entry'!A15</f>
        <v xml:space="preserve">10. Cases Transferred to Adult Court </v>
      </c>
      <c r="C15" s="33">
        <f>'Data Entry'!C15</f>
        <v>0</v>
      </c>
      <c r="D15" s="34">
        <f>IF(((AND(C69&gt;0,C15&gt;0))),((C15/(C69))),0)</f>
        <v>0</v>
      </c>
      <c r="E15" s="33">
        <f>'Data Entry'!D15</f>
        <v>1</v>
      </c>
      <c r="F15" s="34">
        <f>IF(((AND($D$69&gt;0,$E$15&gt;0))),(($E$15/($D$69))),0)</f>
        <v>1.1627906976744187</v>
      </c>
      <c r="G15" s="39" t="str">
        <f t="shared" si="7"/>
        <v>**</v>
      </c>
      <c r="H15" s="40"/>
      <c r="I15" s="41"/>
      <c r="J15" s="40">
        <f>IF((ABS($U15)&gt;Defaults!D$7),1,2)</f>
        <v>2</v>
      </c>
      <c r="K15" s="39">
        <f>IF((AND(N15&gt;Defaults!B$12,(N15+O15)&gt;Defaults!B$13, P15 &gt; Defaults!B$12, (P15+Q15) &gt; Defaults!B$13)),1,20)</f>
        <v>20</v>
      </c>
      <c r="L15" s="1">
        <f t="shared" si="8"/>
        <v>40</v>
      </c>
      <c r="M15" s="1" t="b">
        <f t="shared" si="0"/>
        <v>1</v>
      </c>
      <c r="N15" s="42">
        <f t="shared" si="1"/>
        <v>1</v>
      </c>
      <c r="O15" s="42">
        <f>(D69*L69)-E15</f>
        <v>85</v>
      </c>
      <c r="P15" s="42">
        <f t="shared" si="2"/>
        <v>0</v>
      </c>
      <c r="Q15" s="42">
        <f>(C69*L69)-C15</f>
        <v>32</v>
      </c>
      <c r="R15" s="42">
        <f t="shared" si="3"/>
        <v>118</v>
      </c>
      <c r="S15" s="30">
        <f t="shared" si="4"/>
        <v>120832</v>
      </c>
      <c r="T15" s="30">
        <f t="shared" si="5"/>
        <v>321984</v>
      </c>
      <c r="U15" s="31">
        <f t="shared" si="6"/>
        <v>0.37527330550586363</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15.055</v>
      </c>
      <c r="D42" s="56">
        <f>E6/1000</f>
        <v>4.9029999999999996</v>
      </c>
      <c r="E42" s="56">
        <f>MAX(C42:D42)</f>
        <v>15.055</v>
      </c>
      <c r="G42" s="1" t="str">
        <f>B42</f>
        <v>per 1000 youth</v>
      </c>
      <c r="L42" s="57">
        <v>1000</v>
      </c>
      <c r="M42" s="57"/>
      <c r="R42" s="49"/>
    </row>
    <row r="43" spans="2:18" ht="15" hidden="1" customHeight="1">
      <c r="B43" s="49" t="s">
        <v>87</v>
      </c>
      <c r="C43" s="56">
        <f>C7/100</f>
        <v>0.24</v>
      </c>
      <c r="D43" s="56">
        <f>E7/100</f>
        <v>0.88</v>
      </c>
      <c r="E43" s="56">
        <f>MAX(C43:D43,0)</f>
        <v>0.88</v>
      </c>
      <c r="G43" s="1" t="str">
        <f>B43</f>
        <v>per 100 arrests</v>
      </c>
      <c r="L43" s="57">
        <v>100</v>
      </c>
      <c r="M43" s="57"/>
      <c r="R43" s="49"/>
    </row>
    <row r="44" spans="2:18" ht="15" hidden="1" customHeight="1">
      <c r="B44" s="49" t="s">
        <v>88</v>
      </c>
      <c r="C44" s="56">
        <f>C8/100</f>
        <v>0.56999999999999995</v>
      </c>
      <c r="D44" s="56">
        <f>E8/100</f>
        <v>1.04</v>
      </c>
      <c r="E44" s="56">
        <f>MAX(C44:D44,0)</f>
        <v>1.04</v>
      </c>
      <c r="G44" s="1" t="str">
        <f>B44</f>
        <v>per 100 referrals</v>
      </c>
      <c r="L44" s="57">
        <v>100</v>
      </c>
      <c r="M44" s="57"/>
      <c r="R44" s="49"/>
    </row>
    <row r="45" spans="2:18" ht="15" hidden="1" customHeight="1">
      <c r="B45" s="49" t="s">
        <v>89</v>
      </c>
      <c r="C45" s="49">
        <f>C11/100</f>
        <v>0.32</v>
      </c>
      <c r="D45" s="49">
        <f>E11/100</f>
        <v>0.86</v>
      </c>
      <c r="E45" s="56">
        <f>MAX(C45:D45,0)</f>
        <v>0.86</v>
      </c>
      <c r="G45" s="1" t="str">
        <f>B45</f>
        <v>per 100 youth petitioned</v>
      </c>
      <c r="L45" s="57">
        <v>100</v>
      </c>
      <c r="M45" s="57"/>
      <c r="R45" s="49"/>
    </row>
    <row r="46" spans="2:18" ht="15" hidden="1" customHeight="1">
      <c r="B46" s="49" t="s">
        <v>90</v>
      </c>
      <c r="C46" s="49">
        <f>C12/100</f>
        <v>0.38</v>
      </c>
      <c r="D46" s="49">
        <f>E12/100</f>
        <v>0.88</v>
      </c>
      <c r="E46" s="56">
        <f>MAX(C46:D46)</f>
        <v>0.88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15.055</v>
      </c>
      <c r="D48" s="56">
        <f>D42</f>
        <v>4.9029999999999996</v>
      </c>
      <c r="E48" s="56">
        <f>MAX(C48:D48)</f>
        <v>15.055</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0.24</v>
      </c>
      <c r="D49" s="49">
        <f t="shared" si="9"/>
        <v>0.88</v>
      </c>
      <c r="E49" s="49">
        <f>MAX(C49:D49)</f>
        <v>0.88</v>
      </c>
      <c r="G49" s="1" t="str">
        <f>G43</f>
        <v>per 100 arrests</v>
      </c>
      <c r="L49" s="58">
        <f>IF(($E43&gt;0),L43,L42)</f>
        <v>100</v>
      </c>
      <c r="M49" s="58"/>
      <c r="N49" s="21"/>
      <c r="O49" s="21"/>
      <c r="P49" s="21"/>
      <c r="Q49" s="21"/>
      <c r="R49" s="21"/>
    </row>
    <row r="50" spans="2:18" ht="15" hidden="1" customHeight="1">
      <c r="B50" s="49" t="str">
        <f t="shared" si="9"/>
        <v>per 100 referrals</v>
      </c>
      <c r="C50" s="49">
        <f t="shared" si="9"/>
        <v>0.56999999999999995</v>
      </c>
      <c r="D50" s="49">
        <f t="shared" si="9"/>
        <v>1.04</v>
      </c>
      <c r="E50" s="49">
        <f>MAX(C50:D50)</f>
        <v>1.04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0.32</v>
      </c>
      <c r="D51" s="49">
        <f>IF(($E45&gt;0),D45,D44)</f>
        <v>0.86</v>
      </c>
      <c r="E51" s="49">
        <f>MAX(C51:D51)</f>
        <v>0.86</v>
      </c>
      <c r="G51" s="1" t="str">
        <f>G45</f>
        <v>per 100 youth petitioned</v>
      </c>
      <c r="L51" s="58">
        <f>IF(($E45&gt;0),L45,L44)</f>
        <v>100</v>
      </c>
      <c r="M51" s="58"/>
    </row>
    <row r="52" spans="2:18" ht="15" hidden="1" customHeight="1">
      <c r="B52" s="49" t="str">
        <f>IF(($E46&gt;0),B46,B45)</f>
        <v>per 100 youth found delinquent</v>
      </c>
      <c r="C52" s="49">
        <f>IF(($E46&gt;0),C46,C45)</f>
        <v>0.38</v>
      </c>
      <c r="D52" s="49">
        <f>IF(($E46&gt;0),D46,D45)</f>
        <v>0.88</v>
      </c>
      <c r="E52" s="56">
        <f>MAX(C52:D52)</f>
        <v>0.88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15.055</v>
      </c>
      <c r="D54" s="56">
        <f>D48</f>
        <v>4.9029999999999996</v>
      </c>
      <c r="E54" s="56">
        <f>MAX(C54:D54)</f>
        <v>15.055</v>
      </c>
      <c r="G54" s="1" t="str">
        <f>G48</f>
        <v>per 1000 youth</v>
      </c>
      <c r="L54" s="58">
        <f>L48</f>
        <v>1000</v>
      </c>
      <c r="M54" s="58"/>
    </row>
    <row r="55" spans="2:18" ht="15" hidden="1" customHeight="1">
      <c r="B55" s="49" t="str">
        <f t="shared" ref="B55:D56" si="10">IF(($E49&gt;0),B49,B48)</f>
        <v>per 100 arrests</v>
      </c>
      <c r="C55" s="49">
        <f t="shared" si="10"/>
        <v>0.24</v>
      </c>
      <c r="D55" s="49">
        <f t="shared" si="10"/>
        <v>0.88</v>
      </c>
      <c r="E55" s="49">
        <f>MAX(C55:D55)</f>
        <v>0.88</v>
      </c>
      <c r="G55" s="1" t="str">
        <f>G49</f>
        <v>per 100 arrests</v>
      </c>
      <c r="L55" s="58">
        <f>IF(($E49&gt;0),L49,L48)</f>
        <v>100</v>
      </c>
      <c r="M55" s="58"/>
    </row>
    <row r="56" spans="2:18" ht="15" hidden="1" customHeight="1">
      <c r="B56" s="49" t="str">
        <f t="shared" si="10"/>
        <v>per 100 referrals</v>
      </c>
      <c r="C56" s="49">
        <f t="shared" si="10"/>
        <v>0.56999999999999995</v>
      </c>
      <c r="D56" s="49">
        <f t="shared" si="10"/>
        <v>1.04</v>
      </c>
      <c r="E56" s="49">
        <f>MAX(C56:D56)</f>
        <v>1.04</v>
      </c>
      <c r="G56" s="1" t="str">
        <f>G50</f>
        <v>per 100 referrals</v>
      </c>
      <c r="L56" s="58">
        <f>IF(($E50&gt;0),L50,L49)</f>
        <v>100</v>
      </c>
      <c r="M56" s="58"/>
    </row>
    <row r="57" spans="2:18" ht="15" hidden="1" customHeight="1">
      <c r="B57" s="49" t="str">
        <f>IF(($E51&gt;0),B51,B49)</f>
        <v>per 100 youth petitioned</v>
      </c>
      <c r="C57" s="49">
        <f>IF(($E51&gt;0),C51,C50)</f>
        <v>0.32</v>
      </c>
      <c r="D57" s="49">
        <f>IF(($E51&gt;0),D51,D50)</f>
        <v>0.86</v>
      </c>
      <c r="E57" s="49">
        <f>MAX(C57:D57)</f>
        <v>0.86</v>
      </c>
      <c r="G57" s="1" t="str">
        <f>G51</f>
        <v>per 100 youth petitioned</v>
      </c>
      <c r="L57" s="58">
        <f>IF(($E51&gt;0),L51,L50)</f>
        <v>100</v>
      </c>
      <c r="M57" s="58"/>
    </row>
    <row r="58" spans="2:18" ht="15" hidden="1" customHeight="1">
      <c r="B58" s="49" t="str">
        <f>IF(($E52&gt;0),B52,B51)</f>
        <v>per 100 youth found delinquent</v>
      </c>
      <c r="C58" s="49">
        <f>IF(($E52&gt;0),C52,C51)</f>
        <v>0.38</v>
      </c>
      <c r="D58" s="49">
        <f>IF(($E52&gt;0),D52,D51)</f>
        <v>0.88</v>
      </c>
      <c r="E58" s="56">
        <f>MAX(C58:D58)</f>
        <v>0.88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15.055</v>
      </c>
      <c r="D60" s="56">
        <f>D54</f>
        <v>4.9029999999999996</v>
      </c>
      <c r="E60" s="56">
        <f>MAX(C60:D60)</f>
        <v>15.055</v>
      </c>
      <c r="G60" s="1" t="str">
        <f>G54</f>
        <v>per 1000 youth</v>
      </c>
      <c r="L60" s="58">
        <f>L54</f>
        <v>1000</v>
      </c>
      <c r="M60" s="58"/>
    </row>
    <row r="61" spans="2:18" ht="15" hidden="1" customHeight="1">
      <c r="B61" s="49" t="str">
        <f t="shared" ref="B61:D62" si="11">IF(($E55&gt;0),B55,B54)</f>
        <v>per 100 arrests</v>
      </c>
      <c r="C61" s="49">
        <f t="shared" si="11"/>
        <v>0.24</v>
      </c>
      <c r="D61" s="49">
        <f t="shared" si="11"/>
        <v>0.88</v>
      </c>
      <c r="E61" s="49">
        <f>MAX(C61:D61)</f>
        <v>0.88</v>
      </c>
      <c r="G61" s="1" t="str">
        <f>G55</f>
        <v>per 100 arrests</v>
      </c>
      <c r="L61" s="58">
        <f>IF(($E55&gt;0),L55,L54)</f>
        <v>100</v>
      </c>
      <c r="M61" s="58"/>
    </row>
    <row r="62" spans="2:18" ht="15" hidden="1" customHeight="1">
      <c r="B62" s="49" t="str">
        <f t="shared" si="11"/>
        <v>per 100 referrals</v>
      </c>
      <c r="C62" s="49">
        <f t="shared" si="11"/>
        <v>0.56999999999999995</v>
      </c>
      <c r="D62" s="49">
        <f t="shared" si="11"/>
        <v>1.04</v>
      </c>
      <c r="E62" s="49">
        <f>MAX(C62:D62)</f>
        <v>1.04</v>
      </c>
      <c r="G62" s="1" t="str">
        <f>G56</f>
        <v>per 100 referrals</v>
      </c>
      <c r="L62" s="58">
        <f>IF(($E56&gt;0),L56,L55)</f>
        <v>100</v>
      </c>
      <c r="M62" s="58"/>
    </row>
    <row r="63" spans="2:18" ht="15" hidden="1" customHeight="1">
      <c r="B63" s="49" t="str">
        <f>IF(($E57&gt;0),B57,B55)</f>
        <v>per 100 youth petitioned</v>
      </c>
      <c r="C63" s="49">
        <f>IF(($E57&gt;0),C57,C56)</f>
        <v>0.32</v>
      </c>
      <c r="D63" s="49">
        <f>IF(($E57&gt;0),D57,D56)</f>
        <v>0.86</v>
      </c>
      <c r="E63" s="49">
        <f>MAX(C63:D63)</f>
        <v>0.86</v>
      </c>
      <c r="G63" s="1" t="str">
        <f>G57</f>
        <v>per 100 youth petitioned</v>
      </c>
      <c r="L63" s="58">
        <f>IF(($E57&gt;0),L57,L56)</f>
        <v>100</v>
      </c>
      <c r="M63" s="58"/>
    </row>
    <row r="64" spans="2:18" ht="15" hidden="1" customHeight="1">
      <c r="B64" s="49" t="str">
        <f>IF(($E58&gt;0),B58,B57)</f>
        <v>per 100 youth found delinquent</v>
      </c>
      <c r="C64" s="49">
        <f>IF(($E58&gt;0),C58,C57)</f>
        <v>0.38</v>
      </c>
      <c r="D64" s="49">
        <f>IF(($E58&gt;0),D58,D57)</f>
        <v>0.88</v>
      </c>
      <c r="E64" s="56">
        <f>MAX(C64:D64)</f>
        <v>0.88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15.055</v>
      </c>
      <c r="D66" s="56">
        <f>D60</f>
        <v>4.9029999999999996</v>
      </c>
      <c r="E66" s="56">
        <f>MAX(C66:D66)</f>
        <v>15.055</v>
      </c>
      <c r="G66" s="1" t="str">
        <f>G60</f>
        <v>per 1000 youth</v>
      </c>
      <c r="L66" s="58">
        <f>L60</f>
        <v>1000</v>
      </c>
      <c r="M66" s="58">
        <f>IF((B66=G66),1,2)</f>
        <v>1</v>
      </c>
    </row>
    <row r="67" spans="2:13" ht="15" hidden="1" customHeight="1">
      <c r="B67" s="49" t="str">
        <f t="shared" ref="B67:D68" si="12">IF(($E61&gt;0),B61,B60)</f>
        <v>per 100 arrests</v>
      </c>
      <c r="C67" s="49">
        <f t="shared" si="12"/>
        <v>0.24</v>
      </c>
      <c r="D67" s="49">
        <f t="shared" si="12"/>
        <v>0.88</v>
      </c>
      <c r="E67" s="49">
        <f>MAX(C67:D67)</f>
        <v>0.88</v>
      </c>
      <c r="G67" s="1" t="str">
        <f>G61</f>
        <v>per 100 arrests</v>
      </c>
      <c r="L67" s="58">
        <f>IF(($E61&gt;0),L61,L60)</f>
        <v>100</v>
      </c>
      <c r="M67" s="58">
        <f>IF((B67=G67),1,2)</f>
        <v>1</v>
      </c>
    </row>
    <row r="68" spans="2:13" ht="15" hidden="1" customHeight="1">
      <c r="B68" s="49" t="str">
        <f t="shared" si="12"/>
        <v>per 100 referrals</v>
      </c>
      <c r="C68" s="49">
        <f t="shared" si="12"/>
        <v>0.56999999999999995</v>
      </c>
      <c r="D68" s="49">
        <f t="shared" si="12"/>
        <v>1.04</v>
      </c>
      <c r="E68" s="49">
        <f>MAX(C68:D68)</f>
        <v>1.04</v>
      </c>
      <c r="G68" s="1" t="str">
        <f>G62</f>
        <v>per 100 referrals</v>
      </c>
      <c r="L68" s="58">
        <f>IF(($E62&gt;0),L62,L61)</f>
        <v>100</v>
      </c>
      <c r="M68" s="58">
        <f>IF((B68=G68),1,2)</f>
        <v>1</v>
      </c>
    </row>
    <row r="69" spans="2:13" ht="15" hidden="1" customHeight="1">
      <c r="B69" s="49" t="str">
        <f>IF(($E63&gt;0),B63,B61)</f>
        <v>per 100 youth petitioned</v>
      </c>
      <c r="C69" s="49">
        <f>IF(($E63&gt;0),C63,C62)</f>
        <v>0.32</v>
      </c>
      <c r="D69" s="49">
        <f>IF(($E63&gt;0),D63,D62)</f>
        <v>0.86</v>
      </c>
      <c r="E69" s="49">
        <f>MAX(C69:D69)</f>
        <v>0.86</v>
      </c>
      <c r="G69" s="1" t="str">
        <f>G63</f>
        <v>per 100 youth petitioned</v>
      </c>
      <c r="L69" s="58">
        <f>IF(($E63&gt;0),L63,L62)</f>
        <v>100</v>
      </c>
      <c r="M69" s="58">
        <f>IF((B69=G69),1,2)</f>
        <v>1</v>
      </c>
    </row>
    <row r="70" spans="2:13" ht="15" hidden="1" customHeight="1">
      <c r="B70" s="49" t="str">
        <f>IF(($E64&gt;0),B64,B63)</f>
        <v>per 100 youth found delinquent</v>
      </c>
      <c r="C70" s="49">
        <f>IF(($E64&gt;0),C64,C63)</f>
        <v>0.38</v>
      </c>
      <c r="D70" s="49">
        <f>IF(($E64&gt;0),D64,D63)</f>
        <v>0.88</v>
      </c>
      <c r="E70" s="56">
        <f>MAX(C70:D70)</f>
        <v>0.88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Ingham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15055</v>
      </c>
      <c r="D6" s="34"/>
      <c r="E6" s="33">
        <f>'Data Entry'!F6</f>
        <v>1654</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24</v>
      </c>
      <c r="D7" s="34">
        <f>IF((AND(C66&gt;0,C7&gt;0)),(C7/C66),0)</f>
        <v>1.5941547658585189</v>
      </c>
      <c r="E7" s="33">
        <f>'Data Entry'!F7</f>
        <v>1</v>
      </c>
      <c r="F7" s="34">
        <f>IF((AND($E$7&gt;0,$D$66&gt;0)),($E$7/$D$66),0)</f>
        <v>0.60459492140266025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1653</v>
      </c>
      <c r="P7" s="42">
        <f t="shared" ref="P7:P15" si="4">C7</f>
        <v>24</v>
      </c>
      <c r="Q7" s="42">
        <f>C6-C7</f>
        <v>15031</v>
      </c>
      <c r="R7" s="42">
        <f t="shared" ref="R7:R15" si="5">SUM(N7:Q7)</f>
        <v>16709</v>
      </c>
      <c r="S7" s="30">
        <f t="shared" ref="S7:S15" si="6">R7*((((N7*Q7)-(O7*P7))^2))</f>
        <v>10145351922629</v>
      </c>
      <c r="T7" s="30">
        <f t="shared" ref="T7:T15" si="7">(N7+O7)*(P7+Q7)*(N7+P7)*(O7+Q7)</f>
        <v>10386194587000</v>
      </c>
      <c r="U7" s="31">
        <f t="shared" ref="U7:U15" si="8">IF((S7&gt;0),S7/T7,"- -")</f>
        <v>0.97681126977223653</v>
      </c>
    </row>
    <row r="8" spans="2:21" ht="18" customHeight="1">
      <c r="B8" s="32" t="str">
        <f>'Data Entry'!A8</f>
        <v>3. Refer to Juvenile Court</v>
      </c>
      <c r="C8" s="33">
        <f>'Data Entry'!C8</f>
        <v>57</v>
      </c>
      <c r="D8" s="34">
        <f>IF((AND(C67&gt;0,C8&gt;0)),(C8/C67),0)</f>
        <v>237.5</v>
      </c>
      <c r="E8" s="33">
        <f>'Data Entry'!F8</f>
        <v>1</v>
      </c>
      <c r="F8" s="34">
        <f>IF((AND($E$8&gt;0,$D$67&gt;0)),($E8/$D67),0)</f>
        <v>100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0.05</v>
      </c>
      <c r="P8" s="42">
        <f t="shared" si="4"/>
        <v>57</v>
      </c>
      <c r="Q8" s="42">
        <f>(C$67*L67)-C8</f>
        <v>-33</v>
      </c>
      <c r="R8" s="42">
        <f t="shared" si="5"/>
        <v>25.049999999999997</v>
      </c>
      <c r="S8" s="30">
        <f t="shared" si="6"/>
        <v>32194.823624999997</v>
      </c>
      <c r="T8" s="30">
        <f t="shared" si="7"/>
        <v>-48159.720000000008</v>
      </c>
      <c r="U8" s="31">
        <f t="shared" si="8"/>
        <v>-0.66850105492722944</v>
      </c>
    </row>
    <row r="9" spans="2:21" ht="18" customHeight="1">
      <c r="B9" s="32" t="str">
        <f>'Data Entry'!A9</f>
        <v xml:space="preserve">4. Cases Diverted </v>
      </c>
      <c r="C9" s="33">
        <f>'Data Entry'!C9</f>
        <v>89</v>
      </c>
      <c r="D9" s="34">
        <f>IF((AND(C68&gt;0,C9&gt;0)),((C9/C68)),0)</f>
        <v>156.14035087719299</v>
      </c>
      <c r="E9" s="33">
        <f>'Data Entry'!F9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1</v>
      </c>
      <c r="P9" s="42">
        <f t="shared" si="4"/>
        <v>89</v>
      </c>
      <c r="Q9" s="42">
        <f>(C$68*L68)-C9</f>
        <v>-32.000000000000007</v>
      </c>
      <c r="R9" s="42">
        <f t="shared" si="5"/>
        <v>57.999999999999993</v>
      </c>
      <c r="S9" s="30">
        <f t="shared" si="6"/>
        <v>459417.99999999994</v>
      </c>
      <c r="T9" s="30">
        <f t="shared" si="7"/>
        <v>-157263</v>
      </c>
      <c r="U9" s="31">
        <f t="shared" si="8"/>
        <v>-2.9213355970571588</v>
      </c>
    </row>
    <row r="10" spans="2:21" ht="18" customHeight="1">
      <c r="B10" s="32" t="str">
        <f>'Data Entry'!A10</f>
        <v>5. Cases Involving Secure Detention</v>
      </c>
      <c r="C10" s="33">
        <f>'Data Entry'!C10</f>
        <v>9</v>
      </c>
      <c r="D10" s="34">
        <f>IF(((AND(C68&gt;0,C10&gt;0))),(C10/(C68)),0)</f>
        <v>15.789473684210527</v>
      </c>
      <c r="E10" s="33">
        <f>'Data Entry'!F10</f>
        <v>1</v>
      </c>
      <c r="F10" s="34">
        <f>IF(((AND($E$10&gt;0,$D$68&gt;0))),($E$10/($D$68)),0)</f>
        <v>100</v>
      </c>
      <c r="G10" s="39" t="str">
        <f t="shared" si="0"/>
        <v>**</v>
      </c>
      <c r="H10" s="40"/>
      <c r="I10" s="41"/>
      <c r="J10" s="40">
        <f>IF((ABS($U10)&gt;Defaults!D$7),1,2)</f>
        <v>1</v>
      </c>
      <c r="K10" s="39">
        <f>IF((AND(N10&gt;Defaults!B$12,(N10+O10)&gt;Defaults!B$13, P10 &gt; Defaults!B$12, (P10+Q10) &gt; Defaults!B$13)),1,20)</f>
        <v>20</v>
      </c>
      <c r="L10" s="1">
        <f t="shared" si="1"/>
        <v>20</v>
      </c>
      <c r="M10" s="1" t="b">
        <f t="shared" si="2"/>
        <v>1</v>
      </c>
      <c r="N10" s="42">
        <f t="shared" si="3"/>
        <v>1</v>
      </c>
      <c r="O10" s="42">
        <f>(D$68*L68)-E10</f>
        <v>0</v>
      </c>
      <c r="P10" s="42">
        <f t="shared" si="4"/>
        <v>9</v>
      </c>
      <c r="Q10" s="42">
        <f>(C$68*L68)-C10</f>
        <v>47.999999999999993</v>
      </c>
      <c r="R10" s="42">
        <f t="shared" si="5"/>
        <v>57.999999999999993</v>
      </c>
      <c r="S10" s="30">
        <f t="shared" si="6"/>
        <v>133631.99999999994</v>
      </c>
      <c r="T10" s="30">
        <f t="shared" si="7"/>
        <v>27359.999999999989</v>
      </c>
      <c r="U10" s="31">
        <f t="shared" si="8"/>
        <v>4.8842105263157896</v>
      </c>
    </row>
    <row r="11" spans="2:21" ht="18" customHeight="1">
      <c r="B11" s="32" t="str">
        <f>'Data Entry'!A11</f>
        <v>6. Cases Petitioned (Charge Filed)</v>
      </c>
      <c r="C11" s="33">
        <f>'Data Entry'!C11</f>
        <v>32</v>
      </c>
      <c r="D11" s="34">
        <f>IF(((AND(C68&gt;0,C11&gt;0))),(C11/(C68)),0)</f>
        <v>56.140350877192986</v>
      </c>
      <c r="E11" s="33">
        <f>'Data Entry'!F11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0</v>
      </c>
      <c r="P11" s="42">
        <f t="shared" si="4"/>
        <v>32</v>
      </c>
      <c r="Q11" s="42">
        <f>(C$68*L68)-C11</f>
        <v>24.999999999999993</v>
      </c>
      <c r="R11" s="42">
        <f t="shared" si="5"/>
        <v>57.999999999999993</v>
      </c>
      <c r="S11" s="30">
        <f t="shared" si="6"/>
        <v>36249.999999999978</v>
      </c>
      <c r="T11" s="30">
        <f t="shared" si="7"/>
        <v>47024.999999999978</v>
      </c>
      <c r="U11" s="31">
        <f t="shared" si="8"/>
        <v>0.77086656034024448</v>
      </c>
    </row>
    <row r="12" spans="2:21" ht="18" customHeight="1">
      <c r="B12" s="32" t="str">
        <f>'Data Entry'!A12</f>
        <v>7. Cases Resulting in Delinquent Findings</v>
      </c>
      <c r="C12" s="33">
        <f>'Data Entry'!C12</f>
        <v>38</v>
      </c>
      <c r="D12" s="34">
        <f>IF(((AND(C69&gt;0,C12&gt;0))),(C12/(C69)),0)</f>
        <v>118.75</v>
      </c>
      <c r="E12" s="33">
        <f>'Data Entry'!F12</f>
        <v>2</v>
      </c>
      <c r="F12" s="34">
        <f>IF(((AND($D$69&gt;0,$E$12&gt;0))),(E12/(D69)),0)</f>
        <v>200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-1</v>
      </c>
      <c r="P12" s="42">
        <f t="shared" si="4"/>
        <v>38</v>
      </c>
      <c r="Q12" s="42">
        <f>(C69*L69)-C12</f>
        <v>-6</v>
      </c>
      <c r="R12" s="42">
        <f t="shared" si="5"/>
        <v>33</v>
      </c>
      <c r="S12" s="30">
        <f t="shared" si="6"/>
        <v>22308</v>
      </c>
      <c r="T12" s="30">
        <f t="shared" si="7"/>
        <v>-8960</v>
      </c>
      <c r="U12" s="31">
        <f t="shared" si="8"/>
        <v>-2.4897321428571431</v>
      </c>
    </row>
    <row r="13" spans="2:21" ht="18" customHeight="1">
      <c r="B13" s="32" t="str">
        <f>'Data Entry'!A13</f>
        <v>8. Cases Resulting in Probation Placement</v>
      </c>
      <c r="C13" s="33">
        <f>'Data Entry'!C13</f>
        <v>38</v>
      </c>
      <c r="D13" s="34">
        <f>IF(((AND(C70&gt;0,C13&gt;0))),(C13/(C70)),0)</f>
        <v>100</v>
      </c>
      <c r="E13" s="33">
        <f>'Data Entry'!F13</f>
        <v>2</v>
      </c>
      <c r="F13" s="34">
        <f>IF(((AND($D$70&gt;0,$E$13&gt;0))),($E$13/($D$70)),0)</f>
        <v>100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2</v>
      </c>
      <c r="O13" s="42">
        <f>(D70*L70)-E13</f>
        <v>0</v>
      </c>
      <c r="P13" s="42">
        <f t="shared" si="4"/>
        <v>38</v>
      </c>
      <c r="Q13" s="42">
        <f>(C70*L70)-C13</f>
        <v>0</v>
      </c>
      <c r="R13" s="42">
        <f t="shared" si="5"/>
        <v>40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2.6315789473684212</v>
      </c>
      <c r="E14" s="33">
        <f>'Data Entry'!F14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2</v>
      </c>
      <c r="P14" s="42">
        <f t="shared" si="4"/>
        <v>1</v>
      </c>
      <c r="Q14" s="42">
        <f>(C70*L70)-C14</f>
        <v>37</v>
      </c>
      <c r="R14" s="42">
        <f t="shared" si="5"/>
        <v>40</v>
      </c>
      <c r="S14" s="30">
        <f t="shared" si="6"/>
        <v>160</v>
      </c>
      <c r="T14" s="30">
        <f t="shared" si="7"/>
        <v>2964</v>
      </c>
      <c r="U14" s="31">
        <f t="shared" si="8"/>
        <v>5.3981106612685563E-2</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32</v>
      </c>
      <c r="R15" s="42">
        <f t="shared" si="5"/>
        <v>33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15.055</v>
      </c>
      <c r="D42" s="56">
        <f>E6/1000</f>
        <v>1.6539999999999999</v>
      </c>
      <c r="E42" s="56">
        <f>MAX(C42:D42)</f>
        <v>15.055</v>
      </c>
      <c r="G42" s="1" t="str">
        <f>B42</f>
        <v>per 1000 youth</v>
      </c>
      <c r="L42" s="57">
        <v>1000</v>
      </c>
      <c r="M42" s="57"/>
      <c r="R42" s="49"/>
    </row>
    <row r="43" spans="2:18" ht="15" hidden="1" customHeight="1">
      <c r="B43" s="49" t="s">
        <v>87</v>
      </c>
      <c r="C43" s="56">
        <f>C7/100</f>
        <v>0.24</v>
      </c>
      <c r="D43" s="56">
        <f>E7/100</f>
        <v>0.01</v>
      </c>
      <c r="E43" s="56">
        <f>MAX(C43:D43,0)</f>
        <v>0.24</v>
      </c>
      <c r="G43" s="1" t="str">
        <f>B43</f>
        <v>per 100 arrests</v>
      </c>
      <c r="L43" s="57">
        <v>100</v>
      </c>
      <c r="M43" s="57"/>
      <c r="R43" s="49"/>
    </row>
    <row r="44" spans="2:18" ht="15" hidden="1" customHeight="1">
      <c r="B44" s="49" t="s">
        <v>88</v>
      </c>
      <c r="C44" s="56">
        <f>C8/100</f>
        <v>0.56999999999999995</v>
      </c>
      <c r="D44" s="56">
        <f>E8/100</f>
        <v>0.01</v>
      </c>
      <c r="E44" s="56">
        <f>MAX(C44:D44,0)</f>
        <v>0.56999999999999995</v>
      </c>
      <c r="G44" s="1" t="str">
        <f>B44</f>
        <v>per 100 referrals</v>
      </c>
      <c r="L44" s="57">
        <v>100</v>
      </c>
      <c r="M44" s="57"/>
      <c r="R44" s="49"/>
    </row>
    <row r="45" spans="2:18" ht="15" hidden="1" customHeight="1">
      <c r="B45" s="49" t="s">
        <v>89</v>
      </c>
      <c r="C45" s="49">
        <f>C11/100</f>
        <v>0.32</v>
      </c>
      <c r="D45" s="49">
        <f>E11/100</f>
        <v>0.01</v>
      </c>
      <c r="E45" s="56">
        <f>MAX(C45:D45,0)</f>
        <v>0.32</v>
      </c>
      <c r="G45" s="1" t="str">
        <f>B45</f>
        <v>per 100 youth petitioned</v>
      </c>
      <c r="L45" s="57">
        <v>100</v>
      </c>
      <c r="M45" s="57"/>
      <c r="R45" s="49"/>
    </row>
    <row r="46" spans="2:18" ht="15" hidden="1" customHeight="1">
      <c r="B46" s="49" t="s">
        <v>90</v>
      </c>
      <c r="C46" s="49">
        <f>C12/100</f>
        <v>0.38</v>
      </c>
      <c r="D46" s="49">
        <f>E12/100</f>
        <v>0.02</v>
      </c>
      <c r="E46" s="56">
        <f>MAX(C46:D46)</f>
        <v>0.38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15.055</v>
      </c>
      <c r="D48" s="56">
        <f>D42</f>
        <v>1.6539999999999999</v>
      </c>
      <c r="E48" s="56">
        <f>MAX(C48:D48)</f>
        <v>15.055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0.24</v>
      </c>
      <c r="D49" s="49">
        <f t="shared" si="9"/>
        <v>0.01</v>
      </c>
      <c r="E49" s="49">
        <f>MAX(C49:D49)</f>
        <v>0.24</v>
      </c>
      <c r="G49" s="1" t="str">
        <f>G43</f>
        <v>per 100 arrests</v>
      </c>
      <c r="L49" s="58">
        <f>IF(($E43&gt;0),L43,L42)</f>
        <v>100</v>
      </c>
      <c r="M49" s="58"/>
      <c r="N49" s="21"/>
      <c r="O49" s="21"/>
      <c r="P49" s="21"/>
      <c r="Q49" s="21"/>
      <c r="R49" s="21"/>
    </row>
    <row r="50" spans="2:18" ht="15" hidden="1" customHeight="1">
      <c r="B50" s="49" t="str">
        <f t="shared" si="9"/>
        <v>per 100 referrals</v>
      </c>
      <c r="C50" s="49">
        <f t="shared" si="9"/>
        <v>0.56999999999999995</v>
      </c>
      <c r="D50" s="49">
        <f t="shared" si="9"/>
        <v>0.01</v>
      </c>
      <c r="E50" s="49">
        <f>MAX(C50:D50)</f>
        <v>0.56999999999999995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0.32</v>
      </c>
      <c r="D51" s="49">
        <f>IF(($E45&gt;0),D45,D44)</f>
        <v>0.01</v>
      </c>
      <c r="E51" s="49">
        <f>MAX(C51:D51)</f>
        <v>0.32</v>
      </c>
      <c r="G51" s="1" t="str">
        <f>G45</f>
        <v>per 100 youth petitioned</v>
      </c>
      <c r="L51" s="58">
        <f>IF(($E45&gt;0),L45,L44)</f>
        <v>100</v>
      </c>
      <c r="M51" s="58"/>
    </row>
    <row r="52" spans="2:18" ht="15" hidden="1" customHeight="1">
      <c r="B52" s="49" t="str">
        <f>IF(($E46&gt;0),B46,B45)</f>
        <v>per 100 youth found delinquent</v>
      </c>
      <c r="C52" s="49">
        <f>IF(($E46&gt;0),C46,C45)</f>
        <v>0.38</v>
      </c>
      <c r="D52" s="49">
        <f>IF(($E46&gt;0),D46,D45)</f>
        <v>0.02</v>
      </c>
      <c r="E52" s="56">
        <f>MAX(C52:D52)</f>
        <v>0.38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15.055</v>
      </c>
      <c r="D54" s="56">
        <f>D48</f>
        <v>1.6539999999999999</v>
      </c>
      <c r="E54" s="56">
        <f>MAX(C54:D54)</f>
        <v>15.055</v>
      </c>
      <c r="G54" s="1" t="str">
        <f>G48</f>
        <v>per 1000 youth</v>
      </c>
      <c r="L54" s="58">
        <f>L48</f>
        <v>1000</v>
      </c>
      <c r="M54" s="58"/>
    </row>
    <row r="55" spans="2:18" ht="15" hidden="1" customHeight="1">
      <c r="B55" s="49" t="str">
        <f t="shared" ref="B55:D56" si="10">IF(($E49&gt;0),B49,B48)</f>
        <v>per 100 arrests</v>
      </c>
      <c r="C55" s="49">
        <f t="shared" si="10"/>
        <v>0.24</v>
      </c>
      <c r="D55" s="49">
        <f t="shared" si="10"/>
        <v>0.01</v>
      </c>
      <c r="E55" s="49">
        <f>MAX(C55:D55)</f>
        <v>0.24</v>
      </c>
      <c r="G55" s="1" t="str">
        <f>G49</f>
        <v>per 100 arrests</v>
      </c>
      <c r="L55" s="58">
        <f>IF(($E49&gt;0),L49,L48)</f>
        <v>100</v>
      </c>
      <c r="M55" s="58"/>
    </row>
    <row r="56" spans="2:18" ht="15" hidden="1" customHeight="1">
      <c r="B56" s="49" t="str">
        <f t="shared" si="10"/>
        <v>per 100 referrals</v>
      </c>
      <c r="C56" s="49">
        <f t="shared" si="10"/>
        <v>0.56999999999999995</v>
      </c>
      <c r="D56" s="49">
        <f t="shared" si="10"/>
        <v>0.01</v>
      </c>
      <c r="E56" s="49">
        <f>MAX(C56:D56)</f>
        <v>0.56999999999999995</v>
      </c>
      <c r="G56" s="1" t="str">
        <f>G50</f>
        <v>per 100 referrals</v>
      </c>
      <c r="L56" s="58">
        <f>IF(($E50&gt;0),L50,L49)</f>
        <v>100</v>
      </c>
      <c r="M56" s="58"/>
    </row>
    <row r="57" spans="2:18" ht="15" hidden="1" customHeight="1">
      <c r="B57" s="49" t="str">
        <f>IF(($E51&gt;0),B51,B49)</f>
        <v>per 100 youth petitioned</v>
      </c>
      <c r="C57" s="49">
        <f>IF(($E51&gt;0),C51,C50)</f>
        <v>0.32</v>
      </c>
      <c r="D57" s="49">
        <f>IF(($E51&gt;0),D51,D50)</f>
        <v>0.01</v>
      </c>
      <c r="E57" s="49">
        <f>MAX(C57:D57)</f>
        <v>0.32</v>
      </c>
      <c r="G57" s="1" t="str">
        <f>G51</f>
        <v>per 100 youth petitioned</v>
      </c>
      <c r="L57" s="58">
        <f>IF(($E51&gt;0),L51,L50)</f>
        <v>100</v>
      </c>
      <c r="M57" s="58"/>
    </row>
    <row r="58" spans="2:18" ht="15" hidden="1" customHeight="1">
      <c r="B58" s="49" t="str">
        <f>IF(($E52&gt;0),B52,B51)</f>
        <v>per 100 youth found delinquent</v>
      </c>
      <c r="C58" s="49">
        <f>IF(($E52&gt;0),C52,C51)</f>
        <v>0.38</v>
      </c>
      <c r="D58" s="49">
        <f>IF(($E52&gt;0),D52,D51)</f>
        <v>0.02</v>
      </c>
      <c r="E58" s="56">
        <f>MAX(C58:D58)</f>
        <v>0.38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15.055</v>
      </c>
      <c r="D60" s="56">
        <f>D54</f>
        <v>1.6539999999999999</v>
      </c>
      <c r="E60" s="56">
        <f>MAX(C60:D60)</f>
        <v>15.055</v>
      </c>
      <c r="G60" s="1" t="str">
        <f>G54</f>
        <v>per 1000 youth</v>
      </c>
      <c r="L60" s="58">
        <f>L54</f>
        <v>1000</v>
      </c>
      <c r="M60" s="58"/>
    </row>
    <row r="61" spans="2:18" ht="15" hidden="1" customHeight="1">
      <c r="B61" s="49" t="str">
        <f t="shared" ref="B61:D62" si="11">IF(($E55&gt;0),B55,B54)</f>
        <v>per 100 arrests</v>
      </c>
      <c r="C61" s="49">
        <f t="shared" si="11"/>
        <v>0.24</v>
      </c>
      <c r="D61" s="49">
        <f t="shared" si="11"/>
        <v>0.01</v>
      </c>
      <c r="E61" s="49">
        <f>MAX(C61:D61)</f>
        <v>0.24</v>
      </c>
      <c r="G61" s="1" t="str">
        <f>G55</f>
        <v>per 100 arrests</v>
      </c>
      <c r="L61" s="58">
        <f>IF(($E55&gt;0),L55,L54)</f>
        <v>100</v>
      </c>
      <c r="M61" s="58"/>
    </row>
    <row r="62" spans="2:18" ht="15" hidden="1" customHeight="1">
      <c r="B62" s="49" t="str">
        <f t="shared" si="11"/>
        <v>per 100 referrals</v>
      </c>
      <c r="C62" s="49">
        <f t="shared" si="11"/>
        <v>0.56999999999999995</v>
      </c>
      <c r="D62" s="49">
        <f t="shared" si="11"/>
        <v>0.01</v>
      </c>
      <c r="E62" s="49">
        <f>MAX(C62:D62)</f>
        <v>0.56999999999999995</v>
      </c>
      <c r="G62" s="1" t="str">
        <f>G56</f>
        <v>per 100 referrals</v>
      </c>
      <c r="L62" s="58">
        <f>IF(($E56&gt;0),L56,L55)</f>
        <v>100</v>
      </c>
      <c r="M62" s="58"/>
    </row>
    <row r="63" spans="2:18" ht="15" hidden="1" customHeight="1">
      <c r="B63" s="49" t="str">
        <f>IF(($E57&gt;0),B57,B55)</f>
        <v>per 100 youth petitioned</v>
      </c>
      <c r="C63" s="49">
        <f>IF(($E57&gt;0),C57,C56)</f>
        <v>0.32</v>
      </c>
      <c r="D63" s="49">
        <f>IF(($E57&gt;0),D57,D56)</f>
        <v>0.01</v>
      </c>
      <c r="E63" s="49">
        <f>MAX(C63:D63)</f>
        <v>0.32</v>
      </c>
      <c r="G63" s="1" t="str">
        <f>G57</f>
        <v>per 100 youth petitioned</v>
      </c>
      <c r="L63" s="58">
        <f>IF(($E57&gt;0),L57,L56)</f>
        <v>100</v>
      </c>
      <c r="M63" s="58"/>
    </row>
    <row r="64" spans="2:18" ht="15" hidden="1" customHeight="1">
      <c r="B64" s="49" t="str">
        <f>IF(($E58&gt;0),B58,B57)</f>
        <v>per 100 youth found delinquent</v>
      </c>
      <c r="C64" s="49">
        <f>IF(($E58&gt;0),C58,C57)</f>
        <v>0.38</v>
      </c>
      <c r="D64" s="49">
        <f>IF(($E58&gt;0),D58,D57)</f>
        <v>0.02</v>
      </c>
      <c r="E64" s="56">
        <f>MAX(C64:D64)</f>
        <v>0.38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15.055</v>
      </c>
      <c r="D66" s="56">
        <f>D60</f>
        <v>1.6539999999999999</v>
      </c>
      <c r="E66" s="56">
        <f>MAX(C66:D66)</f>
        <v>15.055</v>
      </c>
      <c r="G66" s="1" t="str">
        <f>G60</f>
        <v>per 1000 youth</v>
      </c>
      <c r="L66" s="58">
        <f>L60</f>
        <v>1000</v>
      </c>
      <c r="M66" s="58">
        <f>IF((B66=G66),1,2)</f>
        <v>1</v>
      </c>
    </row>
    <row r="67" spans="2:13" ht="15" hidden="1" customHeight="1">
      <c r="B67" s="49" t="str">
        <f t="shared" ref="B67:D68" si="12">IF(($E61&gt;0),B61,B60)</f>
        <v>per 100 arrests</v>
      </c>
      <c r="C67" s="49">
        <f t="shared" si="12"/>
        <v>0.24</v>
      </c>
      <c r="D67" s="49">
        <f t="shared" si="12"/>
        <v>0.01</v>
      </c>
      <c r="E67" s="49">
        <f>MAX(C67:D67)</f>
        <v>0.24</v>
      </c>
      <c r="G67" s="1" t="str">
        <f>G61</f>
        <v>per 100 arrests</v>
      </c>
      <c r="L67" s="58">
        <f>IF(($E61&gt;0),L61,L60)</f>
        <v>100</v>
      </c>
      <c r="M67" s="58">
        <f>IF((B67=G67),1,2)</f>
        <v>1</v>
      </c>
    </row>
    <row r="68" spans="2:13" ht="15" hidden="1" customHeight="1">
      <c r="B68" s="49" t="str">
        <f t="shared" si="12"/>
        <v>per 100 referrals</v>
      </c>
      <c r="C68" s="49">
        <f t="shared" si="12"/>
        <v>0.56999999999999995</v>
      </c>
      <c r="D68" s="49">
        <f t="shared" si="12"/>
        <v>0.01</v>
      </c>
      <c r="E68" s="49">
        <f>MAX(C68:D68)</f>
        <v>0.56999999999999995</v>
      </c>
      <c r="G68" s="1" t="str">
        <f>G62</f>
        <v>per 100 referrals</v>
      </c>
      <c r="L68" s="58">
        <f>IF(($E62&gt;0),L62,L61)</f>
        <v>100</v>
      </c>
      <c r="M68" s="58">
        <f>IF((B68=G68),1,2)</f>
        <v>1</v>
      </c>
    </row>
    <row r="69" spans="2:13" ht="15" hidden="1" customHeight="1">
      <c r="B69" s="49" t="str">
        <f>IF(($E63&gt;0),B63,B61)</f>
        <v>per 100 youth petitioned</v>
      </c>
      <c r="C69" s="49">
        <f>IF(($E63&gt;0),C63,C62)</f>
        <v>0.32</v>
      </c>
      <c r="D69" s="49">
        <f>IF(($E63&gt;0),D63,D62)</f>
        <v>0.01</v>
      </c>
      <c r="E69" s="49">
        <f>MAX(C69:D69)</f>
        <v>0.32</v>
      </c>
      <c r="G69" s="1" t="str">
        <f>G63</f>
        <v>per 100 youth petitioned</v>
      </c>
      <c r="L69" s="58">
        <f>IF(($E63&gt;0),L63,L62)</f>
        <v>100</v>
      </c>
      <c r="M69" s="58">
        <f>IF((B69=G69),1,2)</f>
        <v>1</v>
      </c>
    </row>
    <row r="70" spans="2:13" ht="15" hidden="1" customHeight="1">
      <c r="B70" s="49" t="str">
        <f>IF(($E64&gt;0),B64,B63)</f>
        <v>per 100 youth found delinquent</v>
      </c>
      <c r="C70" s="49">
        <f>IF(($E64&gt;0),C64,C63)</f>
        <v>0.38</v>
      </c>
      <c r="D70" s="49">
        <f>IF(($E64&gt;0),D64,D63)</f>
        <v>0.02</v>
      </c>
      <c r="E70" s="56">
        <f>MAX(C70:D70)</f>
        <v>0.38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Ingham</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15055</v>
      </c>
      <c r="D6" s="34"/>
      <c r="E6" s="33">
        <f>'Data Entry'!E6</f>
        <v>3320</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24</v>
      </c>
      <c r="D7" s="34">
        <f>IF((AND(C66&gt;0,C7&gt;0)),(C7/C66),0)</f>
        <v>1.5941547658585189</v>
      </c>
      <c r="E7" s="33">
        <f>'Data Entry'!E7</f>
        <v>7</v>
      </c>
      <c r="F7" s="34">
        <f>IF((AND($E$7&gt;0,$D$66&gt;0)),($E$7/$D$66),0)</f>
        <v>2.1084337349397591</v>
      </c>
      <c r="G7" s="39">
        <f t="shared" ref="G7:G15" si="0">IF(L$6=100,"*",IF(M7=FALSE,"--",IF(K7=20,"**",($F7/$D7))))</f>
        <v>1.3226029116465863</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7</v>
      </c>
      <c r="O7" s="42">
        <f>E6-E7</f>
        <v>3313</v>
      </c>
      <c r="P7" s="42">
        <f t="shared" ref="P7:P15" si="4">C7</f>
        <v>24</v>
      </c>
      <c r="Q7" s="42">
        <f>C6-C7</f>
        <v>15031</v>
      </c>
      <c r="R7" s="42">
        <f t="shared" ref="R7:R15" si="5">SUM(N7:Q7)</f>
        <v>18375</v>
      </c>
      <c r="S7" s="30">
        <f t="shared" ref="S7:S15" si="6">R7*((((N7*Q7)-(O7*P7))^2))</f>
        <v>12141226584375</v>
      </c>
      <c r="T7" s="30">
        <f t="shared" ref="T7:T15" si="7">(N7+O7)*(P7+Q7)*(N7+P7)*(O7+Q7)</f>
        <v>28423305246400</v>
      </c>
      <c r="U7" s="31">
        <f t="shared" ref="U7:U15" si="8">IF((S7&gt;0),S7/T7,"- -")</f>
        <v>0.42715744981533305</v>
      </c>
    </row>
    <row r="8" spans="2:21" ht="18" customHeight="1">
      <c r="B8" s="32" t="str">
        <f>'Data Entry'!A8</f>
        <v>3. Refer to Juvenile Court</v>
      </c>
      <c r="C8" s="33">
        <f>'Data Entry'!C8</f>
        <v>57</v>
      </c>
      <c r="D8" s="34">
        <f>IF((AND(C67&gt;0,C8&gt;0)),(C8/C67),0)</f>
        <v>237.5</v>
      </c>
      <c r="E8" s="33">
        <f>'Data Entry'!E8</f>
        <v>10</v>
      </c>
      <c r="F8" s="34">
        <f>IF((AND($E$8&gt;0,$D$67&gt;0)),($E8/$D67),0)</f>
        <v>142.85714285714283</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10</v>
      </c>
      <c r="O8" s="42">
        <f>((D67*L67)-E8)+0.05</f>
        <v>-2.9499999999999993</v>
      </c>
      <c r="P8" s="42">
        <f t="shared" si="4"/>
        <v>57</v>
      </c>
      <c r="Q8" s="42">
        <f>(C$67*L67)-C8</f>
        <v>-33</v>
      </c>
      <c r="R8" s="42">
        <f t="shared" si="5"/>
        <v>31.049999999999997</v>
      </c>
      <c r="S8" s="30">
        <f t="shared" si="6"/>
        <v>813367.86862500035</v>
      </c>
      <c r="T8" s="30">
        <f t="shared" si="7"/>
        <v>-407543.58000000007</v>
      </c>
      <c r="U8" s="31">
        <f t="shared" si="8"/>
        <v>-1.9957813312259765</v>
      </c>
    </row>
    <row r="9" spans="2:21" ht="18" customHeight="1">
      <c r="B9" s="32" t="str">
        <f>'Data Entry'!A9</f>
        <v xml:space="preserve">4. Cases Diverted </v>
      </c>
      <c r="C9" s="33">
        <f>'Data Entry'!C9</f>
        <v>89</v>
      </c>
      <c r="D9" s="34">
        <f>IF((AND(C68&gt;0,C9&gt;0)),((C9/C68)),0)</f>
        <v>156.14035087719299</v>
      </c>
      <c r="E9" s="33">
        <f>'Data Entry'!E9</f>
        <v>6</v>
      </c>
      <c r="F9" s="34">
        <f>IF((AND($E$9&gt;0,$D$68&gt;0)),(($E$9/$D$68)),0)</f>
        <v>60</v>
      </c>
      <c r="G9" s="39" t="str">
        <f t="shared" si="0"/>
        <v>**</v>
      </c>
      <c r="H9" s="40"/>
      <c r="I9" s="41"/>
      <c r="J9" s="40">
        <f>IF((ABS($U9)&gt;Defaults!D$7),1,2)</f>
        <v>1</v>
      </c>
      <c r="K9" s="39">
        <f>IF((AND(N9&gt;Defaults!B$12,(N9+O9)&gt;Defaults!B$13, P9 &gt; Defaults!B$12, (P9+Q9) &gt; Defaults!B$13)),1,20)</f>
        <v>20</v>
      </c>
      <c r="L9" s="1">
        <f t="shared" si="1"/>
        <v>20</v>
      </c>
      <c r="M9" s="1" t="b">
        <f t="shared" si="2"/>
        <v>1</v>
      </c>
      <c r="N9" s="42">
        <f t="shared" si="3"/>
        <v>6</v>
      </c>
      <c r="O9" s="42">
        <f>(D$68*L68)-E9</f>
        <v>4</v>
      </c>
      <c r="P9" s="42">
        <f t="shared" si="4"/>
        <v>89</v>
      </c>
      <c r="Q9" s="42">
        <f>(C$68*L68)-C9</f>
        <v>-32.000000000000007</v>
      </c>
      <c r="R9" s="42">
        <f t="shared" si="5"/>
        <v>67</v>
      </c>
      <c r="S9" s="30">
        <f t="shared" si="6"/>
        <v>20120368</v>
      </c>
      <c r="T9" s="30">
        <f t="shared" si="7"/>
        <v>-1516200.0000000002</v>
      </c>
      <c r="U9" s="31">
        <f t="shared" si="8"/>
        <v>-13.270259860176756</v>
      </c>
    </row>
    <row r="10" spans="2:21" ht="18" customHeight="1">
      <c r="B10" s="32" t="str">
        <f>'Data Entry'!A10</f>
        <v>5. Cases Involving Secure Detention</v>
      </c>
      <c r="C10" s="33">
        <f>'Data Entry'!C10</f>
        <v>9</v>
      </c>
      <c r="D10" s="34">
        <f>IF(((AND(C68&gt;0,C10&gt;0))),(C10/(C68)),0)</f>
        <v>15.789473684210527</v>
      </c>
      <c r="E10" s="33">
        <f>'Data Entry'!E10</f>
        <v>6</v>
      </c>
      <c r="F10" s="34">
        <f>IF(((AND($E$10&gt;0,$D$68&gt;0))),($E$10/($D$68)),0)</f>
        <v>60</v>
      </c>
      <c r="G10" s="39" t="str">
        <f t="shared" si="0"/>
        <v>**</v>
      </c>
      <c r="H10" s="40"/>
      <c r="I10" s="41"/>
      <c r="J10" s="40">
        <f>IF((ABS($U10)&gt;Defaults!D$7),1,2)</f>
        <v>1</v>
      </c>
      <c r="K10" s="39">
        <f>IF((AND(N10&gt;Defaults!B$12,(N10+O10)&gt;Defaults!B$13, P10 &gt; Defaults!B$12, (P10+Q10) &gt; Defaults!B$13)),1,20)</f>
        <v>20</v>
      </c>
      <c r="L10" s="1">
        <f t="shared" si="1"/>
        <v>20</v>
      </c>
      <c r="M10" s="1" t="b">
        <f t="shared" si="2"/>
        <v>1</v>
      </c>
      <c r="N10" s="42">
        <f t="shared" si="3"/>
        <v>6</v>
      </c>
      <c r="O10" s="42">
        <f>(D$68*L68)-E10</f>
        <v>4</v>
      </c>
      <c r="P10" s="42">
        <f t="shared" si="4"/>
        <v>9</v>
      </c>
      <c r="Q10" s="42">
        <f>(C$68*L68)-C10</f>
        <v>47.999999999999993</v>
      </c>
      <c r="R10" s="42">
        <f t="shared" si="5"/>
        <v>67</v>
      </c>
      <c r="S10" s="30">
        <f t="shared" si="6"/>
        <v>4254767.9999999981</v>
      </c>
      <c r="T10" s="30">
        <f t="shared" si="7"/>
        <v>444599.99999999983</v>
      </c>
      <c r="U10" s="31">
        <f t="shared" si="8"/>
        <v>9.5698785425101214</v>
      </c>
    </row>
    <row r="11" spans="2:21" ht="18" customHeight="1">
      <c r="B11" s="32" t="str">
        <f>'Data Entry'!A11</f>
        <v>6. Cases Petitioned (Charge Filed)</v>
      </c>
      <c r="C11" s="33">
        <f>'Data Entry'!C11</f>
        <v>32</v>
      </c>
      <c r="D11" s="34">
        <f>IF(((AND(C68&gt;0,C11&gt;0))),(C11/(C68)),0)</f>
        <v>56.140350877192986</v>
      </c>
      <c r="E11" s="33">
        <f>'Data Entry'!E11</f>
        <v>9</v>
      </c>
      <c r="F11" s="34">
        <f>IF(((AND($E$11&gt;0,$D$68&gt;0))),($E$11/($D$68)),0)</f>
        <v>90</v>
      </c>
      <c r="G11" s="39" t="str">
        <f t="shared" si="0"/>
        <v>**</v>
      </c>
      <c r="H11" s="40"/>
      <c r="I11" s="41"/>
      <c r="J11" s="40">
        <f>IF((ABS($U11)&gt;Defaults!D$7),1,2)</f>
        <v>1</v>
      </c>
      <c r="K11" s="39">
        <f>IF((AND(N11&gt;Defaults!B$12,(N11+O11)&gt;Defaults!B$13, P11 &gt; Defaults!B$12, (P11+Q11) &gt; Defaults!B$13)),1,20)</f>
        <v>20</v>
      </c>
      <c r="L11" s="1">
        <f t="shared" si="1"/>
        <v>20</v>
      </c>
      <c r="M11" s="1" t="b">
        <f t="shared" si="2"/>
        <v>1</v>
      </c>
      <c r="N11" s="42">
        <f t="shared" si="3"/>
        <v>9</v>
      </c>
      <c r="O11" s="42">
        <f>(D$68*L68)-E11</f>
        <v>1</v>
      </c>
      <c r="P11" s="42">
        <f t="shared" si="4"/>
        <v>32</v>
      </c>
      <c r="Q11" s="42">
        <f>(C$68*L68)-C11</f>
        <v>24.999999999999993</v>
      </c>
      <c r="R11" s="42">
        <f t="shared" si="5"/>
        <v>67</v>
      </c>
      <c r="S11" s="30">
        <f t="shared" si="6"/>
        <v>2495682.9999999986</v>
      </c>
      <c r="T11" s="30">
        <f t="shared" si="7"/>
        <v>607619.99999999977</v>
      </c>
      <c r="U11" s="31">
        <f t="shared" si="8"/>
        <v>4.1073088443435033</v>
      </c>
    </row>
    <row r="12" spans="2:21" ht="18" customHeight="1">
      <c r="B12" s="32" t="str">
        <f>'Data Entry'!A12</f>
        <v>7. Cases Resulting in Delinquent Findings</v>
      </c>
      <c r="C12" s="33">
        <f>'Data Entry'!C12</f>
        <v>38</v>
      </c>
      <c r="D12" s="34">
        <f>IF(((AND(C69&gt;0,C12&gt;0))),(C12/(C69)),0)</f>
        <v>118.75</v>
      </c>
      <c r="E12" s="33">
        <f>'Data Entry'!E12</f>
        <v>8</v>
      </c>
      <c r="F12" s="34">
        <f>IF(((AND($D$69&gt;0,$E$12&gt;0))),(E12/(D69)),0)</f>
        <v>88.888888888888886</v>
      </c>
      <c r="G12" s="39" t="str">
        <f t="shared" si="0"/>
        <v>**</v>
      </c>
      <c r="H12" s="40"/>
      <c r="I12" s="41"/>
      <c r="J12" s="40">
        <f>IF((ABS($U12)&gt;Defaults!D$7),1,2)</f>
        <v>1</v>
      </c>
      <c r="K12" s="39">
        <f>IF((AND(N12&gt;Defaults!B$12,(N12+O12)&gt;Defaults!B$13, P12 &gt; Defaults!B$12, (P12+Q12) &gt; Defaults!B$13)),1,20)</f>
        <v>20</v>
      </c>
      <c r="L12" s="1">
        <f t="shared" si="1"/>
        <v>20</v>
      </c>
      <c r="M12" s="1" t="b">
        <f t="shared" si="2"/>
        <v>1</v>
      </c>
      <c r="N12" s="42">
        <f t="shared" si="3"/>
        <v>8</v>
      </c>
      <c r="O12" s="42">
        <f>(D69*L69)-E12</f>
        <v>1</v>
      </c>
      <c r="P12" s="42">
        <f t="shared" si="4"/>
        <v>38</v>
      </c>
      <c r="Q12" s="42">
        <f>(C69*L69)-C12</f>
        <v>-6</v>
      </c>
      <c r="R12" s="42">
        <f t="shared" si="5"/>
        <v>41</v>
      </c>
      <c r="S12" s="30">
        <f t="shared" si="6"/>
        <v>303236</v>
      </c>
      <c r="T12" s="30">
        <f t="shared" si="7"/>
        <v>-66240</v>
      </c>
      <c r="U12" s="31">
        <f t="shared" si="8"/>
        <v>-4.577838164251208</v>
      </c>
    </row>
    <row r="13" spans="2:21" ht="18" customHeight="1">
      <c r="B13" s="32" t="str">
        <f>'Data Entry'!A13</f>
        <v>8. Cases Resulting in Probation Placement</v>
      </c>
      <c r="C13" s="33">
        <f>'Data Entry'!C13</f>
        <v>38</v>
      </c>
      <c r="D13" s="34">
        <f>IF(((AND(C70&gt;0,C13&gt;0))),(C13/(C70)),0)</f>
        <v>100</v>
      </c>
      <c r="E13" s="33">
        <f>'Data Entry'!E13</f>
        <v>8</v>
      </c>
      <c r="F13" s="34">
        <f>IF(((AND($D$70&gt;0,$E$13&gt;0))),($E$13/($D$70)),0)</f>
        <v>100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8</v>
      </c>
      <c r="O13" s="42">
        <f>(D70*L70)-E13</f>
        <v>0</v>
      </c>
      <c r="P13" s="42">
        <f t="shared" si="4"/>
        <v>38</v>
      </c>
      <c r="Q13" s="42">
        <f>(C70*L70)-C13</f>
        <v>0</v>
      </c>
      <c r="R13" s="42">
        <f t="shared" si="5"/>
        <v>46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2.6315789473684212</v>
      </c>
      <c r="E14" s="33">
        <f>'Data Entry'!E14</f>
        <v>1</v>
      </c>
      <c r="F14" s="34">
        <f>IF(((AND($D$70&gt;0,$E$14&gt;0))), (($E$14/($D$70))),0)</f>
        <v>12.5</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7</v>
      </c>
      <c r="P14" s="42">
        <f t="shared" si="4"/>
        <v>1</v>
      </c>
      <c r="Q14" s="42">
        <f>(C70*L70)-C14</f>
        <v>37</v>
      </c>
      <c r="R14" s="42">
        <f t="shared" si="5"/>
        <v>46</v>
      </c>
      <c r="S14" s="30">
        <f t="shared" si="6"/>
        <v>41400</v>
      </c>
      <c r="T14" s="30">
        <f t="shared" si="7"/>
        <v>26752</v>
      </c>
      <c r="U14" s="31">
        <f t="shared" si="8"/>
        <v>1.5475478468899522</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9</v>
      </c>
      <c r="P15" s="42">
        <f t="shared" si="4"/>
        <v>0</v>
      </c>
      <c r="Q15" s="42">
        <f>(C69*L69)-C15</f>
        <v>32</v>
      </c>
      <c r="R15" s="42">
        <f t="shared" si="5"/>
        <v>41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15.055</v>
      </c>
      <c r="D42" s="56">
        <f>E6/1000</f>
        <v>3.32</v>
      </c>
      <c r="E42" s="56">
        <f>MAX(C42:D42)</f>
        <v>15.055</v>
      </c>
      <c r="G42" s="1" t="str">
        <f>B42</f>
        <v>per 1000 youth</v>
      </c>
      <c r="L42" s="57">
        <v>1000</v>
      </c>
      <c r="M42" s="57"/>
      <c r="R42" s="49"/>
    </row>
    <row r="43" spans="2:18" ht="15" hidden="1" customHeight="1">
      <c r="B43" s="49" t="s">
        <v>87</v>
      </c>
      <c r="C43" s="56">
        <f>C7/100</f>
        <v>0.24</v>
      </c>
      <c r="D43" s="56">
        <f>E7/100</f>
        <v>7.0000000000000007E-2</v>
      </c>
      <c r="E43" s="56">
        <f>MAX(C43:D43,0)</f>
        <v>0.24</v>
      </c>
      <c r="G43" s="1" t="str">
        <f>B43</f>
        <v>per 100 arrests</v>
      </c>
      <c r="L43" s="57">
        <v>100</v>
      </c>
      <c r="M43" s="57"/>
      <c r="R43" s="49"/>
    </row>
    <row r="44" spans="2:18" ht="15" hidden="1" customHeight="1">
      <c r="B44" s="49" t="s">
        <v>88</v>
      </c>
      <c r="C44" s="56">
        <f>C8/100</f>
        <v>0.56999999999999995</v>
      </c>
      <c r="D44" s="56">
        <f>E8/100</f>
        <v>0.1</v>
      </c>
      <c r="E44" s="56">
        <f>MAX(C44:D44,0)</f>
        <v>0.56999999999999995</v>
      </c>
      <c r="G44" s="1" t="str">
        <f>B44</f>
        <v>per 100 referrals</v>
      </c>
      <c r="L44" s="57">
        <v>100</v>
      </c>
      <c r="M44" s="57"/>
      <c r="R44" s="49"/>
    </row>
    <row r="45" spans="2:18" ht="15" hidden="1" customHeight="1">
      <c r="B45" s="49" t="s">
        <v>89</v>
      </c>
      <c r="C45" s="49">
        <f>C11/100</f>
        <v>0.32</v>
      </c>
      <c r="D45" s="49">
        <f>E11/100</f>
        <v>0.09</v>
      </c>
      <c r="E45" s="56">
        <f>MAX(C45:D45,0)</f>
        <v>0.32</v>
      </c>
      <c r="G45" s="1" t="str">
        <f>B45</f>
        <v>per 100 youth petitioned</v>
      </c>
      <c r="L45" s="57">
        <v>100</v>
      </c>
      <c r="M45" s="57"/>
      <c r="R45" s="49"/>
    </row>
    <row r="46" spans="2:18" ht="15" hidden="1" customHeight="1">
      <c r="B46" s="49" t="s">
        <v>90</v>
      </c>
      <c r="C46" s="49">
        <f>C12/100</f>
        <v>0.38</v>
      </c>
      <c r="D46" s="49">
        <f>E12/100</f>
        <v>0.08</v>
      </c>
      <c r="E46" s="56">
        <f>MAX(C46:D46)</f>
        <v>0.38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15.055</v>
      </c>
      <c r="D48" s="56">
        <f>D42</f>
        <v>3.32</v>
      </c>
      <c r="E48" s="56">
        <f>MAX(C48:D48)</f>
        <v>15.055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0.24</v>
      </c>
      <c r="D49" s="49">
        <f t="shared" si="9"/>
        <v>7.0000000000000007E-2</v>
      </c>
      <c r="E49" s="49">
        <f>MAX(C49:D49)</f>
        <v>0.24</v>
      </c>
      <c r="G49" s="1" t="str">
        <f>G43</f>
        <v>per 100 arrests</v>
      </c>
      <c r="L49" s="58">
        <f>IF(($E43&gt;0),L43,L42)</f>
        <v>100</v>
      </c>
      <c r="M49" s="58"/>
      <c r="N49" s="21"/>
      <c r="O49" s="21"/>
      <c r="P49" s="21"/>
      <c r="Q49" s="21"/>
      <c r="R49" s="21"/>
    </row>
    <row r="50" spans="2:18" ht="15" hidden="1" customHeight="1">
      <c r="B50" s="49" t="str">
        <f t="shared" si="9"/>
        <v>per 100 referrals</v>
      </c>
      <c r="C50" s="49">
        <f t="shared" si="9"/>
        <v>0.56999999999999995</v>
      </c>
      <c r="D50" s="49">
        <f t="shared" si="9"/>
        <v>0.1</v>
      </c>
      <c r="E50" s="49">
        <f>MAX(C50:D50)</f>
        <v>0.56999999999999995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0.32</v>
      </c>
      <c r="D51" s="49">
        <f>IF(($E45&gt;0),D45,D44)</f>
        <v>0.09</v>
      </c>
      <c r="E51" s="49">
        <f>MAX(C51:D51)</f>
        <v>0.32</v>
      </c>
      <c r="G51" s="1" t="str">
        <f>G45</f>
        <v>per 100 youth petitioned</v>
      </c>
      <c r="L51" s="58">
        <f>IF(($E45&gt;0),L45,L44)</f>
        <v>100</v>
      </c>
      <c r="M51" s="58"/>
    </row>
    <row r="52" spans="2:18" ht="15" hidden="1" customHeight="1">
      <c r="B52" s="49" t="str">
        <f>IF(($E46&gt;0),B46,B45)</f>
        <v>per 100 youth found delinquent</v>
      </c>
      <c r="C52" s="49">
        <f>IF(($E46&gt;0),C46,C45)</f>
        <v>0.38</v>
      </c>
      <c r="D52" s="49">
        <f>IF(($E46&gt;0),D46,D45)</f>
        <v>0.08</v>
      </c>
      <c r="E52" s="56">
        <f>MAX(C52:D52)</f>
        <v>0.38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15.055</v>
      </c>
      <c r="D54" s="56">
        <f>D48</f>
        <v>3.32</v>
      </c>
      <c r="E54" s="56">
        <f>MAX(C54:D54)</f>
        <v>15.055</v>
      </c>
      <c r="G54" s="1" t="str">
        <f>G48</f>
        <v>per 1000 youth</v>
      </c>
      <c r="L54" s="58">
        <f>L48</f>
        <v>1000</v>
      </c>
      <c r="M54" s="58"/>
    </row>
    <row r="55" spans="2:18" ht="15" hidden="1" customHeight="1">
      <c r="B55" s="49" t="str">
        <f t="shared" ref="B55:D56" si="10">IF(($E49&gt;0),B49,B48)</f>
        <v>per 100 arrests</v>
      </c>
      <c r="C55" s="49">
        <f t="shared" si="10"/>
        <v>0.24</v>
      </c>
      <c r="D55" s="49">
        <f t="shared" si="10"/>
        <v>7.0000000000000007E-2</v>
      </c>
      <c r="E55" s="49">
        <f>MAX(C55:D55)</f>
        <v>0.24</v>
      </c>
      <c r="G55" s="1" t="str">
        <f>G49</f>
        <v>per 100 arrests</v>
      </c>
      <c r="L55" s="58">
        <f>IF(($E49&gt;0),L49,L48)</f>
        <v>100</v>
      </c>
      <c r="M55" s="58"/>
    </row>
    <row r="56" spans="2:18" ht="15" hidden="1" customHeight="1">
      <c r="B56" s="49" t="str">
        <f t="shared" si="10"/>
        <v>per 100 referrals</v>
      </c>
      <c r="C56" s="49">
        <f t="shared" si="10"/>
        <v>0.56999999999999995</v>
      </c>
      <c r="D56" s="49">
        <f t="shared" si="10"/>
        <v>0.1</v>
      </c>
      <c r="E56" s="49">
        <f>MAX(C56:D56)</f>
        <v>0.56999999999999995</v>
      </c>
      <c r="G56" s="1" t="str">
        <f>G50</f>
        <v>per 100 referrals</v>
      </c>
      <c r="L56" s="58">
        <f>IF(($E50&gt;0),L50,L49)</f>
        <v>100</v>
      </c>
      <c r="M56" s="58"/>
    </row>
    <row r="57" spans="2:18" ht="15" hidden="1" customHeight="1">
      <c r="B57" s="49" t="str">
        <f>IF(($E51&gt;0),B51,B49)</f>
        <v>per 100 youth petitioned</v>
      </c>
      <c r="C57" s="49">
        <f>IF(($E51&gt;0),C51,C50)</f>
        <v>0.32</v>
      </c>
      <c r="D57" s="49">
        <f>IF(($E51&gt;0),D51,D50)</f>
        <v>0.09</v>
      </c>
      <c r="E57" s="49">
        <f>MAX(C57:D57)</f>
        <v>0.32</v>
      </c>
      <c r="G57" s="1" t="str">
        <f>G51</f>
        <v>per 100 youth petitioned</v>
      </c>
      <c r="L57" s="58">
        <f>IF(($E51&gt;0),L51,L50)</f>
        <v>100</v>
      </c>
      <c r="M57" s="58"/>
    </row>
    <row r="58" spans="2:18" ht="15" hidden="1" customHeight="1">
      <c r="B58" s="49" t="str">
        <f>IF(($E52&gt;0),B52,B51)</f>
        <v>per 100 youth found delinquent</v>
      </c>
      <c r="C58" s="49">
        <f>IF(($E52&gt;0),C52,C51)</f>
        <v>0.38</v>
      </c>
      <c r="D58" s="49">
        <f>IF(($E52&gt;0),D52,D51)</f>
        <v>0.08</v>
      </c>
      <c r="E58" s="56">
        <f>MAX(C58:D58)</f>
        <v>0.38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15.055</v>
      </c>
      <c r="D60" s="56">
        <f>D54</f>
        <v>3.32</v>
      </c>
      <c r="E60" s="56">
        <f>MAX(C60:D60)</f>
        <v>15.055</v>
      </c>
      <c r="G60" s="1" t="str">
        <f>G54</f>
        <v>per 1000 youth</v>
      </c>
      <c r="L60" s="58">
        <f>L54</f>
        <v>1000</v>
      </c>
      <c r="M60" s="58"/>
    </row>
    <row r="61" spans="2:18" ht="15" hidden="1" customHeight="1">
      <c r="B61" s="49" t="str">
        <f t="shared" ref="B61:D62" si="11">IF(($E55&gt;0),B55,B54)</f>
        <v>per 100 arrests</v>
      </c>
      <c r="C61" s="49">
        <f t="shared" si="11"/>
        <v>0.24</v>
      </c>
      <c r="D61" s="49">
        <f t="shared" si="11"/>
        <v>7.0000000000000007E-2</v>
      </c>
      <c r="E61" s="49">
        <f>MAX(C61:D61)</f>
        <v>0.24</v>
      </c>
      <c r="G61" s="1" t="str">
        <f>G55</f>
        <v>per 100 arrests</v>
      </c>
      <c r="L61" s="58">
        <f>IF(($E55&gt;0),L55,L54)</f>
        <v>100</v>
      </c>
      <c r="M61" s="58"/>
    </row>
    <row r="62" spans="2:18" ht="15" hidden="1" customHeight="1">
      <c r="B62" s="49" t="str">
        <f t="shared" si="11"/>
        <v>per 100 referrals</v>
      </c>
      <c r="C62" s="49">
        <f t="shared" si="11"/>
        <v>0.56999999999999995</v>
      </c>
      <c r="D62" s="49">
        <f t="shared" si="11"/>
        <v>0.1</v>
      </c>
      <c r="E62" s="49">
        <f>MAX(C62:D62)</f>
        <v>0.56999999999999995</v>
      </c>
      <c r="G62" s="1" t="str">
        <f>G56</f>
        <v>per 100 referrals</v>
      </c>
      <c r="L62" s="58">
        <f>IF(($E56&gt;0),L56,L55)</f>
        <v>100</v>
      </c>
      <c r="M62" s="58"/>
    </row>
    <row r="63" spans="2:18" ht="15" hidden="1" customHeight="1">
      <c r="B63" s="49" t="str">
        <f>IF(($E57&gt;0),B57,B55)</f>
        <v>per 100 youth petitioned</v>
      </c>
      <c r="C63" s="49">
        <f>IF(($E57&gt;0),C57,C56)</f>
        <v>0.32</v>
      </c>
      <c r="D63" s="49">
        <f>IF(($E57&gt;0),D57,D56)</f>
        <v>0.09</v>
      </c>
      <c r="E63" s="49">
        <f>MAX(C63:D63)</f>
        <v>0.32</v>
      </c>
      <c r="G63" s="1" t="str">
        <f>G57</f>
        <v>per 100 youth petitioned</v>
      </c>
      <c r="L63" s="58">
        <f>IF(($E57&gt;0),L57,L56)</f>
        <v>100</v>
      </c>
      <c r="M63" s="58"/>
    </row>
    <row r="64" spans="2:18" ht="15" hidden="1" customHeight="1">
      <c r="B64" s="49" t="str">
        <f>IF(($E58&gt;0),B58,B57)</f>
        <v>per 100 youth found delinquent</v>
      </c>
      <c r="C64" s="49">
        <f>IF(($E58&gt;0),C58,C57)</f>
        <v>0.38</v>
      </c>
      <c r="D64" s="49">
        <f>IF(($E58&gt;0),D58,D57)</f>
        <v>0.08</v>
      </c>
      <c r="E64" s="56">
        <f>MAX(C64:D64)</f>
        <v>0.38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15.055</v>
      </c>
      <c r="D66" s="56">
        <f>D60</f>
        <v>3.32</v>
      </c>
      <c r="E66" s="56">
        <f>MAX(C66:D66)</f>
        <v>15.055</v>
      </c>
      <c r="G66" s="1" t="str">
        <f>G60</f>
        <v>per 1000 youth</v>
      </c>
      <c r="L66" s="58">
        <f>L60</f>
        <v>1000</v>
      </c>
      <c r="M66" s="58">
        <f>IF((B66=G66),1,2)</f>
        <v>1</v>
      </c>
    </row>
    <row r="67" spans="2:13" ht="15" hidden="1" customHeight="1">
      <c r="B67" s="49" t="str">
        <f t="shared" ref="B67:D68" si="12">IF(($E61&gt;0),B61,B60)</f>
        <v>per 100 arrests</v>
      </c>
      <c r="C67" s="49">
        <f t="shared" si="12"/>
        <v>0.24</v>
      </c>
      <c r="D67" s="49">
        <f t="shared" si="12"/>
        <v>7.0000000000000007E-2</v>
      </c>
      <c r="E67" s="49">
        <f>MAX(C67:D67)</f>
        <v>0.24</v>
      </c>
      <c r="G67" s="1" t="str">
        <f>G61</f>
        <v>per 100 arrests</v>
      </c>
      <c r="L67" s="58">
        <f>IF(($E61&gt;0),L61,L60)</f>
        <v>100</v>
      </c>
      <c r="M67" s="58">
        <f>IF((B67=G67),1,2)</f>
        <v>1</v>
      </c>
    </row>
    <row r="68" spans="2:13" ht="15" hidden="1" customHeight="1">
      <c r="B68" s="49" t="str">
        <f t="shared" si="12"/>
        <v>per 100 referrals</v>
      </c>
      <c r="C68" s="49">
        <f t="shared" si="12"/>
        <v>0.56999999999999995</v>
      </c>
      <c r="D68" s="49">
        <f t="shared" si="12"/>
        <v>0.1</v>
      </c>
      <c r="E68" s="49">
        <f>MAX(C68:D68)</f>
        <v>0.56999999999999995</v>
      </c>
      <c r="G68" s="1" t="str">
        <f>G62</f>
        <v>per 100 referrals</v>
      </c>
      <c r="L68" s="58">
        <f>IF(($E62&gt;0),L62,L61)</f>
        <v>100</v>
      </c>
      <c r="M68" s="58">
        <f>IF((B68=G68),1,2)</f>
        <v>1</v>
      </c>
    </row>
    <row r="69" spans="2:13" ht="15" hidden="1" customHeight="1">
      <c r="B69" s="49" t="str">
        <f>IF(($E63&gt;0),B63,B61)</f>
        <v>per 100 youth petitioned</v>
      </c>
      <c r="C69" s="49">
        <f>IF(($E63&gt;0),C63,C62)</f>
        <v>0.32</v>
      </c>
      <c r="D69" s="49">
        <f>IF(($E63&gt;0),D63,D62)</f>
        <v>0.09</v>
      </c>
      <c r="E69" s="49">
        <f>MAX(C69:D69)</f>
        <v>0.32</v>
      </c>
      <c r="G69" s="1" t="str">
        <f>G63</f>
        <v>per 100 youth petitioned</v>
      </c>
      <c r="L69" s="58">
        <f>IF(($E63&gt;0),L63,L62)</f>
        <v>100</v>
      </c>
      <c r="M69" s="58">
        <f>IF((B69=G69),1,2)</f>
        <v>1</v>
      </c>
    </row>
    <row r="70" spans="2:13" ht="15" hidden="1" customHeight="1">
      <c r="B70" s="49" t="str">
        <f>IF(($E64&gt;0),B64,B63)</f>
        <v>per 100 youth found delinquent</v>
      </c>
      <c r="C70" s="49">
        <f>IF(($E64&gt;0),C64,C63)</f>
        <v>0.38</v>
      </c>
      <c r="D70" s="49">
        <f>IF(($E64&gt;0),D64,D63)</f>
        <v>0.08</v>
      </c>
      <c r="E70" s="56">
        <f>MAX(C70:D70)</f>
        <v>0.38</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Ingham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15055</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24</v>
      </c>
      <c r="D7" s="34">
        <f>IF((AND(C66&gt;0,C7&gt;0)),(C7/C66),0)</f>
        <v>1.5941547658585189</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24</v>
      </c>
      <c r="Q7" s="42">
        <f>C6-C7</f>
        <v>15031</v>
      </c>
      <c r="R7" s="42">
        <f t="shared" ref="R7:R15" si="5">SUM(N7:Q7)</f>
        <v>15055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57</v>
      </c>
      <c r="D8" s="34">
        <f>IF((AND(C67&gt;0,C8&gt;0)),(C8/C67),0)</f>
        <v>237.5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57</v>
      </c>
      <c r="Q8" s="42">
        <f>(C$67*L67)-C8</f>
        <v>-33</v>
      </c>
      <c r="R8" s="42">
        <f t="shared" si="5"/>
        <v>24.049999999999997</v>
      </c>
      <c r="S8" s="30">
        <f t="shared" si="6"/>
        <v>195.346125</v>
      </c>
      <c r="T8" s="30">
        <f t="shared" si="7"/>
        <v>-2253.7800000000002</v>
      </c>
      <c r="U8" s="31">
        <f t="shared" si="8"/>
        <v>-8.6674886191198786E-2</v>
      </c>
    </row>
    <row r="9" spans="2:21" ht="18" customHeight="1">
      <c r="B9" s="32" t="str">
        <f>'Data Entry'!A9</f>
        <v xml:space="preserve">4. Cases Diverted </v>
      </c>
      <c r="C9" s="33">
        <f>'Data Entry'!C9</f>
        <v>89</v>
      </c>
      <c r="D9" s="34">
        <f>IF((AND(C68&gt;0,C9&gt;0)),((C9/C68)),0)</f>
        <v>156.14035087719299</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89</v>
      </c>
      <c r="Q9" s="42">
        <f>(C$68*L68)-C9</f>
        <v>-32.000000000000007</v>
      </c>
      <c r="R9" s="42">
        <f t="shared" si="5"/>
        <v>56.999999999999993</v>
      </c>
      <c r="S9" s="30">
        <f t="shared" si="6"/>
        <v>0</v>
      </c>
      <c r="T9" s="30">
        <f t="shared" si="7"/>
        <v>0</v>
      </c>
      <c r="U9" s="31" t="str">
        <f t="shared" si="8"/>
        <v>- -</v>
      </c>
    </row>
    <row r="10" spans="2:21" ht="18" customHeight="1">
      <c r="B10" s="32" t="str">
        <f>'Data Entry'!A10</f>
        <v>5. Cases Involving Secure Detention</v>
      </c>
      <c r="C10" s="33">
        <f>'Data Entry'!C10</f>
        <v>9</v>
      </c>
      <c r="D10" s="34">
        <f>IF(((AND(C68&gt;0,C10&gt;0))),(C10/(C68)),0)</f>
        <v>15.789473684210527</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9</v>
      </c>
      <c r="Q10" s="42">
        <f>(C$68*L68)-C10</f>
        <v>47.999999999999993</v>
      </c>
      <c r="R10" s="42">
        <f t="shared" si="5"/>
        <v>56.999999999999993</v>
      </c>
      <c r="S10" s="30">
        <f t="shared" si="6"/>
        <v>0</v>
      </c>
      <c r="T10" s="30">
        <f t="shared" si="7"/>
        <v>0</v>
      </c>
      <c r="U10" s="31" t="str">
        <f t="shared" si="8"/>
        <v>- -</v>
      </c>
    </row>
    <row r="11" spans="2:21" ht="18" customHeight="1">
      <c r="B11" s="32" t="str">
        <f>'Data Entry'!A11</f>
        <v>6. Cases Petitioned (Charge Filed)</v>
      </c>
      <c r="C11" s="33">
        <f>'Data Entry'!C11</f>
        <v>32</v>
      </c>
      <c r="D11" s="34">
        <f>IF(((AND(C68&gt;0,C11&gt;0))),(C11/(C68)),0)</f>
        <v>56.140350877192986</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32</v>
      </c>
      <c r="Q11" s="42">
        <f>(C$68*L68)-C11</f>
        <v>24.999999999999993</v>
      </c>
      <c r="R11" s="42">
        <f t="shared" si="5"/>
        <v>56.999999999999993</v>
      </c>
      <c r="S11" s="30">
        <f t="shared" si="6"/>
        <v>0</v>
      </c>
      <c r="T11" s="30">
        <f t="shared" si="7"/>
        <v>0</v>
      </c>
      <c r="U11" s="31" t="str">
        <f t="shared" si="8"/>
        <v>- -</v>
      </c>
    </row>
    <row r="12" spans="2:21" ht="18" customHeight="1">
      <c r="B12" s="32" t="str">
        <f>'Data Entry'!A12</f>
        <v>7. Cases Resulting in Delinquent Findings</v>
      </c>
      <c r="C12" s="33">
        <f>'Data Entry'!C12</f>
        <v>38</v>
      </c>
      <c r="D12" s="34">
        <f>IF(((AND(C69&gt;0,C12&gt;0))),(C12/(C69)),0)</f>
        <v>118.75</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38</v>
      </c>
      <c r="Q12" s="42">
        <f>(C69*L69)-C12</f>
        <v>-6</v>
      </c>
      <c r="R12" s="42">
        <f t="shared" si="5"/>
        <v>32</v>
      </c>
      <c r="S12" s="30">
        <f t="shared" si="6"/>
        <v>0</v>
      </c>
      <c r="T12" s="30">
        <f t="shared" si="7"/>
        <v>0</v>
      </c>
      <c r="U12" s="31" t="str">
        <f t="shared" si="8"/>
        <v>- -</v>
      </c>
    </row>
    <row r="13" spans="2:21" ht="18" customHeight="1">
      <c r="B13" s="32" t="str">
        <f>'Data Entry'!A13</f>
        <v>8. Cases Resulting in Probation Placement</v>
      </c>
      <c r="C13" s="33">
        <f>'Data Entry'!C13</f>
        <v>38</v>
      </c>
      <c r="D13" s="34">
        <f>IF(((AND(C70&gt;0,C13&gt;0))),(C13/(C70)),0)</f>
        <v>100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38</v>
      </c>
      <c r="Q13" s="42">
        <f>(C70*L70)-C13</f>
        <v>0</v>
      </c>
      <c r="R13" s="42">
        <f t="shared" si="5"/>
        <v>38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2.6315789473684212</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37</v>
      </c>
      <c r="R14" s="42">
        <f t="shared" si="5"/>
        <v>38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32</v>
      </c>
      <c r="R15" s="42">
        <f t="shared" si="5"/>
        <v>32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15.055</v>
      </c>
      <c r="D42" s="56">
        <f>E6/1000</f>
        <v>0</v>
      </c>
      <c r="E42" s="56">
        <f>MAX(C42:D42)</f>
        <v>15.055</v>
      </c>
      <c r="G42" s="1" t="str">
        <f>B42</f>
        <v>per 1000 youth</v>
      </c>
      <c r="L42" s="57">
        <v>1000</v>
      </c>
      <c r="M42" s="57"/>
      <c r="R42" s="49"/>
    </row>
    <row r="43" spans="2:18" ht="15" hidden="1" customHeight="1">
      <c r="B43" s="49" t="s">
        <v>87</v>
      </c>
      <c r="C43" s="56">
        <f>C7/100</f>
        <v>0.24</v>
      </c>
      <c r="D43" s="56">
        <f>E7/100</f>
        <v>0</v>
      </c>
      <c r="E43" s="56">
        <f>MAX(C43:D43,0)</f>
        <v>0.24</v>
      </c>
      <c r="G43" s="1" t="str">
        <f>B43</f>
        <v>per 100 arrests</v>
      </c>
      <c r="L43" s="57">
        <v>100</v>
      </c>
      <c r="M43" s="57"/>
      <c r="R43" s="49"/>
    </row>
    <row r="44" spans="2:18" ht="15" hidden="1" customHeight="1">
      <c r="B44" s="49" t="s">
        <v>88</v>
      </c>
      <c r="C44" s="56">
        <f>C8/100</f>
        <v>0.56999999999999995</v>
      </c>
      <c r="D44" s="56">
        <f>E8/100</f>
        <v>0</v>
      </c>
      <c r="E44" s="56">
        <f>MAX(C44:D44,0)</f>
        <v>0.56999999999999995</v>
      </c>
      <c r="G44" s="1" t="str">
        <f>B44</f>
        <v>per 100 referrals</v>
      </c>
      <c r="L44" s="57">
        <v>100</v>
      </c>
      <c r="M44" s="57"/>
      <c r="R44" s="49"/>
    </row>
    <row r="45" spans="2:18" ht="15" hidden="1" customHeight="1">
      <c r="B45" s="49" t="s">
        <v>89</v>
      </c>
      <c r="C45" s="49">
        <f>C11/100</f>
        <v>0.32</v>
      </c>
      <c r="D45" s="49">
        <f>E11/100</f>
        <v>0</v>
      </c>
      <c r="E45" s="56">
        <f>MAX(C45:D45,0)</f>
        <v>0.32</v>
      </c>
      <c r="G45" s="1" t="str">
        <f>B45</f>
        <v>per 100 youth petitioned</v>
      </c>
      <c r="L45" s="57">
        <v>100</v>
      </c>
      <c r="M45" s="57"/>
      <c r="R45" s="49"/>
    </row>
    <row r="46" spans="2:18" ht="15" hidden="1" customHeight="1">
      <c r="B46" s="49" t="s">
        <v>90</v>
      </c>
      <c r="C46" s="49">
        <f>C12/100</f>
        <v>0.38</v>
      </c>
      <c r="D46" s="49">
        <f>E12/100</f>
        <v>0</v>
      </c>
      <c r="E46" s="56">
        <f>MAX(C46:D46)</f>
        <v>0.38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15.055</v>
      </c>
      <c r="D48" s="56">
        <f>D42</f>
        <v>0</v>
      </c>
      <c r="E48" s="56">
        <f>MAX(C48:D48)</f>
        <v>15.055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0.24</v>
      </c>
      <c r="D49" s="49">
        <f t="shared" si="9"/>
        <v>0</v>
      </c>
      <c r="E49" s="49">
        <f>MAX(C49:D49)</f>
        <v>0.24</v>
      </c>
      <c r="G49" s="1" t="str">
        <f>G43</f>
        <v>per 100 arrests</v>
      </c>
      <c r="L49" s="58">
        <f>IF(($E43&gt;0),L43,L42)</f>
        <v>100</v>
      </c>
      <c r="M49" s="58"/>
      <c r="N49" s="21"/>
      <c r="O49" s="21"/>
      <c r="P49" s="21"/>
      <c r="Q49" s="21"/>
      <c r="R49" s="21"/>
    </row>
    <row r="50" spans="2:18" ht="15" hidden="1" customHeight="1">
      <c r="B50" s="49" t="str">
        <f t="shared" si="9"/>
        <v>per 100 referrals</v>
      </c>
      <c r="C50" s="49">
        <f t="shared" si="9"/>
        <v>0.56999999999999995</v>
      </c>
      <c r="D50" s="49">
        <f t="shared" si="9"/>
        <v>0</v>
      </c>
      <c r="E50" s="49">
        <f>MAX(C50:D50)</f>
        <v>0.56999999999999995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0.32</v>
      </c>
      <c r="D51" s="49">
        <f>IF(($E45&gt;0),D45,D44)</f>
        <v>0</v>
      </c>
      <c r="E51" s="49">
        <f>MAX(C51:D51)</f>
        <v>0.32</v>
      </c>
      <c r="G51" s="1" t="str">
        <f>G45</f>
        <v>per 100 youth petitioned</v>
      </c>
      <c r="L51" s="58">
        <f>IF(($E45&gt;0),L45,L44)</f>
        <v>100</v>
      </c>
      <c r="M51" s="58"/>
    </row>
    <row r="52" spans="2:18" ht="15" hidden="1" customHeight="1">
      <c r="B52" s="49" t="str">
        <f>IF(($E46&gt;0),B46,B45)</f>
        <v>per 100 youth found delinquent</v>
      </c>
      <c r="C52" s="49">
        <f>IF(($E46&gt;0),C46,C45)</f>
        <v>0.38</v>
      </c>
      <c r="D52" s="49">
        <f>IF(($E46&gt;0),D46,D45)</f>
        <v>0</v>
      </c>
      <c r="E52" s="56">
        <f>MAX(C52:D52)</f>
        <v>0.38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15.055</v>
      </c>
      <c r="D54" s="56">
        <f>D48</f>
        <v>0</v>
      </c>
      <c r="E54" s="56">
        <f>MAX(C54:D54)</f>
        <v>15.055</v>
      </c>
      <c r="G54" s="1" t="str">
        <f>G48</f>
        <v>per 1000 youth</v>
      </c>
      <c r="L54" s="58">
        <f>L48</f>
        <v>1000</v>
      </c>
      <c r="M54" s="58"/>
    </row>
    <row r="55" spans="2:18" ht="15" hidden="1" customHeight="1">
      <c r="B55" s="49" t="str">
        <f t="shared" ref="B55:D56" si="10">IF(($E49&gt;0),B49,B48)</f>
        <v>per 100 arrests</v>
      </c>
      <c r="C55" s="49">
        <f t="shared" si="10"/>
        <v>0.24</v>
      </c>
      <c r="D55" s="49">
        <f t="shared" si="10"/>
        <v>0</v>
      </c>
      <c r="E55" s="49">
        <f>MAX(C55:D55)</f>
        <v>0.24</v>
      </c>
      <c r="G55" s="1" t="str">
        <f>G49</f>
        <v>per 100 arrests</v>
      </c>
      <c r="L55" s="58">
        <f>IF(($E49&gt;0),L49,L48)</f>
        <v>100</v>
      </c>
      <c r="M55" s="58"/>
    </row>
    <row r="56" spans="2:18" ht="15" hidden="1" customHeight="1">
      <c r="B56" s="49" t="str">
        <f t="shared" si="10"/>
        <v>per 100 referrals</v>
      </c>
      <c r="C56" s="49">
        <f t="shared" si="10"/>
        <v>0.56999999999999995</v>
      </c>
      <c r="D56" s="49">
        <f t="shared" si="10"/>
        <v>0</v>
      </c>
      <c r="E56" s="49">
        <f>MAX(C56:D56)</f>
        <v>0.56999999999999995</v>
      </c>
      <c r="G56" s="1" t="str">
        <f>G50</f>
        <v>per 100 referrals</v>
      </c>
      <c r="L56" s="58">
        <f>IF(($E50&gt;0),L50,L49)</f>
        <v>100</v>
      </c>
      <c r="M56" s="58"/>
    </row>
    <row r="57" spans="2:18" ht="15" hidden="1" customHeight="1">
      <c r="B57" s="49" t="str">
        <f>IF(($E51&gt;0),B51,B49)</f>
        <v>per 100 youth petitioned</v>
      </c>
      <c r="C57" s="49">
        <f>IF(($E51&gt;0),C51,C50)</f>
        <v>0.32</v>
      </c>
      <c r="D57" s="49">
        <f>IF(($E51&gt;0),D51,D50)</f>
        <v>0</v>
      </c>
      <c r="E57" s="49">
        <f>MAX(C57:D57)</f>
        <v>0.32</v>
      </c>
      <c r="G57" s="1" t="str">
        <f>G51</f>
        <v>per 100 youth petitioned</v>
      </c>
      <c r="L57" s="58">
        <f>IF(($E51&gt;0),L51,L50)</f>
        <v>100</v>
      </c>
      <c r="M57" s="58"/>
    </row>
    <row r="58" spans="2:18" ht="15" hidden="1" customHeight="1">
      <c r="B58" s="49" t="str">
        <f>IF(($E52&gt;0),B52,B51)</f>
        <v>per 100 youth found delinquent</v>
      </c>
      <c r="C58" s="49">
        <f>IF(($E52&gt;0),C52,C51)</f>
        <v>0.38</v>
      </c>
      <c r="D58" s="49">
        <f>IF(($E52&gt;0),D52,D51)</f>
        <v>0</v>
      </c>
      <c r="E58" s="56">
        <f>MAX(C58:D58)</f>
        <v>0.38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15.055</v>
      </c>
      <c r="D60" s="56">
        <f>D54</f>
        <v>0</v>
      </c>
      <c r="E60" s="56">
        <f>MAX(C60:D60)</f>
        <v>15.055</v>
      </c>
      <c r="G60" s="1" t="str">
        <f>G54</f>
        <v>per 1000 youth</v>
      </c>
      <c r="L60" s="58">
        <f>L54</f>
        <v>1000</v>
      </c>
      <c r="M60" s="58"/>
    </row>
    <row r="61" spans="2:18" ht="15" hidden="1" customHeight="1">
      <c r="B61" s="49" t="str">
        <f t="shared" ref="B61:D62" si="11">IF(($E55&gt;0),B55,B54)</f>
        <v>per 100 arrests</v>
      </c>
      <c r="C61" s="49">
        <f t="shared" si="11"/>
        <v>0.24</v>
      </c>
      <c r="D61" s="49">
        <f t="shared" si="11"/>
        <v>0</v>
      </c>
      <c r="E61" s="49">
        <f>MAX(C61:D61)</f>
        <v>0.24</v>
      </c>
      <c r="G61" s="1" t="str">
        <f>G55</f>
        <v>per 100 arrests</v>
      </c>
      <c r="L61" s="58">
        <f>IF(($E55&gt;0),L55,L54)</f>
        <v>100</v>
      </c>
      <c r="M61" s="58"/>
    </row>
    <row r="62" spans="2:18" ht="15" hidden="1" customHeight="1">
      <c r="B62" s="49" t="str">
        <f t="shared" si="11"/>
        <v>per 100 referrals</v>
      </c>
      <c r="C62" s="49">
        <f t="shared" si="11"/>
        <v>0.56999999999999995</v>
      </c>
      <c r="D62" s="49">
        <f t="shared" si="11"/>
        <v>0</v>
      </c>
      <c r="E62" s="49">
        <f>MAX(C62:D62)</f>
        <v>0.56999999999999995</v>
      </c>
      <c r="G62" s="1" t="str">
        <f>G56</f>
        <v>per 100 referrals</v>
      </c>
      <c r="L62" s="58">
        <f>IF(($E56&gt;0),L56,L55)</f>
        <v>100</v>
      </c>
      <c r="M62" s="58"/>
    </row>
    <row r="63" spans="2:18" ht="15" hidden="1" customHeight="1">
      <c r="B63" s="49" t="str">
        <f>IF(($E57&gt;0),B57,B55)</f>
        <v>per 100 youth petitioned</v>
      </c>
      <c r="C63" s="49">
        <f>IF(($E57&gt;0),C57,C56)</f>
        <v>0.32</v>
      </c>
      <c r="D63" s="49">
        <f>IF(($E57&gt;0),D57,D56)</f>
        <v>0</v>
      </c>
      <c r="E63" s="49">
        <f>MAX(C63:D63)</f>
        <v>0.32</v>
      </c>
      <c r="G63" s="1" t="str">
        <f>G57</f>
        <v>per 100 youth petitioned</v>
      </c>
      <c r="L63" s="58">
        <f>IF(($E57&gt;0),L57,L56)</f>
        <v>100</v>
      </c>
      <c r="M63" s="58"/>
    </row>
    <row r="64" spans="2:18" ht="15" hidden="1" customHeight="1">
      <c r="B64" s="49" t="str">
        <f>IF(($E58&gt;0),B58,B57)</f>
        <v>per 100 youth found delinquent</v>
      </c>
      <c r="C64" s="49">
        <f>IF(($E58&gt;0),C58,C57)</f>
        <v>0.38</v>
      </c>
      <c r="D64" s="49">
        <f>IF(($E58&gt;0),D58,D57)</f>
        <v>0</v>
      </c>
      <c r="E64" s="56">
        <f>MAX(C64:D64)</f>
        <v>0.38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15.055</v>
      </c>
      <c r="D66" s="56">
        <f>D60</f>
        <v>0</v>
      </c>
      <c r="E66" s="56">
        <f>MAX(C66:D66)</f>
        <v>15.055</v>
      </c>
      <c r="G66" s="1" t="str">
        <f>G60</f>
        <v>per 1000 youth</v>
      </c>
      <c r="L66" s="58">
        <f>L60</f>
        <v>1000</v>
      </c>
      <c r="M66" s="58">
        <f>IF((B66=G66),1,2)</f>
        <v>1</v>
      </c>
    </row>
    <row r="67" spans="2:13" ht="15" hidden="1" customHeight="1">
      <c r="B67" s="49" t="str">
        <f t="shared" ref="B67:D68" si="12">IF(($E61&gt;0),B61,B60)</f>
        <v>per 100 arrests</v>
      </c>
      <c r="C67" s="49">
        <f t="shared" si="12"/>
        <v>0.24</v>
      </c>
      <c r="D67" s="49">
        <f t="shared" si="12"/>
        <v>0</v>
      </c>
      <c r="E67" s="49">
        <f>MAX(C67:D67)</f>
        <v>0.24</v>
      </c>
      <c r="G67" s="1" t="str">
        <f>G61</f>
        <v>per 100 arrests</v>
      </c>
      <c r="L67" s="58">
        <f>IF(($E61&gt;0),L61,L60)</f>
        <v>100</v>
      </c>
      <c r="M67" s="58">
        <f>IF((B67=G67),1,2)</f>
        <v>1</v>
      </c>
    </row>
    <row r="68" spans="2:13" ht="15" hidden="1" customHeight="1">
      <c r="B68" s="49" t="str">
        <f t="shared" si="12"/>
        <v>per 100 referrals</v>
      </c>
      <c r="C68" s="49">
        <f t="shared" si="12"/>
        <v>0.56999999999999995</v>
      </c>
      <c r="D68" s="49">
        <f t="shared" si="12"/>
        <v>0</v>
      </c>
      <c r="E68" s="49">
        <f>MAX(C68:D68)</f>
        <v>0.56999999999999995</v>
      </c>
      <c r="G68" s="1" t="str">
        <f>G62</f>
        <v>per 100 referrals</v>
      </c>
      <c r="L68" s="58">
        <f>IF(($E62&gt;0),L62,L61)</f>
        <v>100</v>
      </c>
      <c r="M68" s="58">
        <f>IF((B68=G68),1,2)</f>
        <v>1</v>
      </c>
    </row>
    <row r="69" spans="2:13" ht="15" hidden="1" customHeight="1">
      <c r="B69" s="49" t="str">
        <f>IF(($E63&gt;0),B63,B61)</f>
        <v>per 100 youth petitioned</v>
      </c>
      <c r="C69" s="49">
        <f>IF(($E63&gt;0),C63,C62)</f>
        <v>0.32</v>
      </c>
      <c r="D69" s="49">
        <f>IF(($E63&gt;0),D63,D62)</f>
        <v>0</v>
      </c>
      <c r="E69" s="49">
        <f>MAX(C69:D69)</f>
        <v>0.32</v>
      </c>
      <c r="G69" s="1" t="str">
        <f>G63</f>
        <v>per 100 youth petitioned</v>
      </c>
      <c r="L69" s="58">
        <f>IF(($E63&gt;0),L63,L62)</f>
        <v>100</v>
      </c>
      <c r="M69" s="58">
        <f>IF((B69=G69),1,2)</f>
        <v>1</v>
      </c>
    </row>
    <row r="70" spans="2:13" ht="15" hidden="1" customHeight="1">
      <c r="B70" s="49" t="str">
        <f>IF(($E64&gt;0),B64,B63)</f>
        <v>per 100 youth found delinquent</v>
      </c>
      <c r="C70" s="49">
        <f>IF(($E64&gt;0),C64,C63)</f>
        <v>0.38</v>
      </c>
      <c r="D70" s="49">
        <f>IF(($E64&gt;0),D64,D63)</f>
        <v>0</v>
      </c>
      <c r="E70" s="56">
        <f>MAX(C70:D70)</f>
        <v>0.38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Ingham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15055</v>
      </c>
      <c r="D6" s="34"/>
      <c r="E6" s="33">
        <f>'Data Entry'!H6</f>
        <v>147</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24</v>
      </c>
      <c r="D7" s="34">
        <f>IF((AND(C66&gt;0,C7&gt;0)),(C7/C66),0)</f>
        <v>1.5941547658585189</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147</v>
      </c>
      <c r="P7" s="42">
        <f t="shared" ref="P7:P15" si="4">C7</f>
        <v>24</v>
      </c>
      <c r="Q7" s="42">
        <f>C6-C7</f>
        <v>15031</v>
      </c>
      <c r="R7" s="42">
        <f t="shared" ref="R7:R15" si="5">SUM(N7:Q7)</f>
        <v>15202</v>
      </c>
      <c r="S7" s="30">
        <f t="shared" ref="S7:S15" si="6">R7*((((N7*Q7)-(O7*P7))^2))</f>
        <v>189216010368</v>
      </c>
      <c r="T7" s="30">
        <f t="shared" ref="T7:T15" si="7">(N7+O7)*(P7+Q7)*(N7+P7)*(O7+Q7)</f>
        <v>806164899120</v>
      </c>
      <c r="U7" s="31">
        <f t="shared" ref="U7:U15" si="8">IF((S7&gt;0),S7/T7,"- -")</f>
        <v>0.23471129861216475</v>
      </c>
    </row>
    <row r="8" spans="2:21" ht="18" customHeight="1">
      <c r="B8" s="32" t="str">
        <f>'Data Entry'!A8</f>
        <v>3. Refer to Juvenile Court</v>
      </c>
      <c r="C8" s="33">
        <f>'Data Entry'!C8</f>
        <v>57</v>
      </c>
      <c r="D8" s="34">
        <f>IF((AND(C67&gt;0,C8&gt;0)),(C8/C67),0)</f>
        <v>237.5</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57</v>
      </c>
      <c r="Q8" s="42">
        <f>(C$67*L67)-C8</f>
        <v>-33</v>
      </c>
      <c r="R8" s="42">
        <f t="shared" si="5"/>
        <v>24.049999999999997</v>
      </c>
      <c r="S8" s="30">
        <f t="shared" si="6"/>
        <v>195.346125</v>
      </c>
      <c r="T8" s="30">
        <f t="shared" si="7"/>
        <v>-2253.7800000000002</v>
      </c>
      <c r="U8" s="31">
        <f t="shared" si="8"/>
        <v>-8.6674886191198786E-2</v>
      </c>
    </row>
    <row r="9" spans="2:21" ht="18" customHeight="1">
      <c r="B9" s="32" t="str">
        <f>'Data Entry'!A9</f>
        <v xml:space="preserve">4. Cases Diverted </v>
      </c>
      <c r="C9" s="33">
        <f>'Data Entry'!C9</f>
        <v>89</v>
      </c>
      <c r="D9" s="34">
        <f>IF((AND(C68&gt;0,C9&gt;0)),((C9/C68)),0)</f>
        <v>156.14035087719299</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89</v>
      </c>
      <c r="Q9" s="42">
        <f>(C$68*L68)-C9</f>
        <v>-32.000000000000007</v>
      </c>
      <c r="R9" s="42">
        <f t="shared" si="5"/>
        <v>56.999999999999993</v>
      </c>
      <c r="S9" s="30">
        <f t="shared" si="6"/>
        <v>0</v>
      </c>
      <c r="T9" s="30">
        <f t="shared" si="7"/>
        <v>0</v>
      </c>
      <c r="U9" s="31" t="str">
        <f t="shared" si="8"/>
        <v>- -</v>
      </c>
    </row>
    <row r="10" spans="2:21" ht="18" customHeight="1">
      <c r="B10" s="32" t="str">
        <f>'Data Entry'!A10</f>
        <v>5. Cases Involving Secure Detention</v>
      </c>
      <c r="C10" s="33">
        <f>'Data Entry'!C10</f>
        <v>9</v>
      </c>
      <c r="D10" s="34">
        <f>IF(((AND(C68&gt;0,C10&gt;0))),(C10/(C68)),0)</f>
        <v>15.789473684210527</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9</v>
      </c>
      <c r="Q10" s="42">
        <f>(C$68*L68)-C10</f>
        <v>47.999999999999993</v>
      </c>
      <c r="R10" s="42">
        <f t="shared" si="5"/>
        <v>56.999999999999993</v>
      </c>
      <c r="S10" s="30">
        <f t="shared" si="6"/>
        <v>0</v>
      </c>
      <c r="T10" s="30">
        <f t="shared" si="7"/>
        <v>0</v>
      </c>
      <c r="U10" s="31" t="str">
        <f t="shared" si="8"/>
        <v>- -</v>
      </c>
    </row>
    <row r="11" spans="2:21" ht="18" customHeight="1">
      <c r="B11" s="32" t="str">
        <f>'Data Entry'!A11</f>
        <v>6. Cases Petitioned (Charge Filed)</v>
      </c>
      <c r="C11" s="33">
        <f>'Data Entry'!C11</f>
        <v>32</v>
      </c>
      <c r="D11" s="34">
        <f>IF(((AND(C68&gt;0,C11&gt;0))),(C11/(C68)),0)</f>
        <v>56.140350877192986</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32</v>
      </c>
      <c r="Q11" s="42">
        <f>(C$68*L68)-C11</f>
        <v>24.999999999999993</v>
      </c>
      <c r="R11" s="42">
        <f t="shared" si="5"/>
        <v>56.999999999999993</v>
      </c>
      <c r="S11" s="30">
        <f t="shared" si="6"/>
        <v>0</v>
      </c>
      <c r="T11" s="30">
        <f t="shared" si="7"/>
        <v>0</v>
      </c>
      <c r="U11" s="31" t="str">
        <f t="shared" si="8"/>
        <v>- -</v>
      </c>
    </row>
    <row r="12" spans="2:21" ht="18" customHeight="1">
      <c r="B12" s="32" t="str">
        <f>'Data Entry'!A12</f>
        <v>7. Cases Resulting in Delinquent Findings</v>
      </c>
      <c r="C12" s="33">
        <f>'Data Entry'!C12</f>
        <v>38</v>
      </c>
      <c r="D12" s="34">
        <f>IF(((AND(C69&gt;0,C12&gt;0))),(C12/(C69)),0)</f>
        <v>118.75</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38</v>
      </c>
      <c r="Q12" s="42">
        <f>(C69*L69)-C12</f>
        <v>-6</v>
      </c>
      <c r="R12" s="42">
        <f t="shared" si="5"/>
        <v>32</v>
      </c>
      <c r="S12" s="30">
        <f t="shared" si="6"/>
        <v>0</v>
      </c>
      <c r="T12" s="30">
        <f t="shared" si="7"/>
        <v>0</v>
      </c>
      <c r="U12" s="31" t="str">
        <f t="shared" si="8"/>
        <v>- -</v>
      </c>
    </row>
    <row r="13" spans="2:21" ht="18" customHeight="1">
      <c r="B13" s="32" t="str">
        <f>'Data Entry'!A13</f>
        <v>8. Cases Resulting in Probation Placement</v>
      </c>
      <c r="C13" s="33">
        <f>'Data Entry'!C13</f>
        <v>38</v>
      </c>
      <c r="D13" s="34">
        <f>IF(((AND(C70&gt;0,C13&gt;0))),(C13/(C70)),0)</f>
        <v>100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38</v>
      </c>
      <c r="Q13" s="42">
        <f>(C70*L70)-C13</f>
        <v>0</v>
      </c>
      <c r="R13" s="42">
        <f t="shared" si="5"/>
        <v>38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2.6315789473684212</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37</v>
      </c>
      <c r="R14" s="42">
        <f t="shared" si="5"/>
        <v>38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32</v>
      </c>
      <c r="R15" s="42">
        <f t="shared" si="5"/>
        <v>32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15.055</v>
      </c>
      <c r="D42" s="56">
        <f>E6/1000</f>
        <v>0.14699999999999999</v>
      </c>
      <c r="E42" s="56">
        <f>MAX(C42:D42)</f>
        <v>15.055</v>
      </c>
      <c r="G42" s="1" t="str">
        <f>B42</f>
        <v>per 1000 youth</v>
      </c>
      <c r="L42" s="57">
        <v>1000</v>
      </c>
      <c r="M42" s="57"/>
      <c r="R42" s="49"/>
    </row>
    <row r="43" spans="2:18" ht="15" hidden="1" customHeight="1">
      <c r="B43" s="49" t="s">
        <v>87</v>
      </c>
      <c r="C43" s="56">
        <f>C7/100</f>
        <v>0.24</v>
      </c>
      <c r="D43" s="56">
        <f>E7/100</f>
        <v>0</v>
      </c>
      <c r="E43" s="56">
        <f>MAX(C43:D43,0)</f>
        <v>0.24</v>
      </c>
      <c r="G43" s="1" t="str">
        <f>B43</f>
        <v>per 100 arrests</v>
      </c>
      <c r="L43" s="57">
        <v>100</v>
      </c>
      <c r="M43" s="57"/>
      <c r="R43" s="49"/>
    </row>
    <row r="44" spans="2:18" ht="15" hidden="1" customHeight="1">
      <c r="B44" s="49" t="s">
        <v>88</v>
      </c>
      <c r="C44" s="56">
        <f>C8/100</f>
        <v>0.56999999999999995</v>
      </c>
      <c r="D44" s="56">
        <f>E8/100</f>
        <v>0</v>
      </c>
      <c r="E44" s="56">
        <f>MAX(C44:D44,0)</f>
        <v>0.56999999999999995</v>
      </c>
      <c r="G44" s="1" t="str">
        <f>B44</f>
        <v>per 100 referrals</v>
      </c>
      <c r="L44" s="57">
        <v>100</v>
      </c>
      <c r="M44" s="57"/>
      <c r="R44" s="49"/>
    </row>
    <row r="45" spans="2:18" ht="15" hidden="1" customHeight="1">
      <c r="B45" s="49" t="s">
        <v>89</v>
      </c>
      <c r="C45" s="49">
        <f>C11/100</f>
        <v>0.32</v>
      </c>
      <c r="D45" s="49">
        <f>E11/100</f>
        <v>0</v>
      </c>
      <c r="E45" s="56">
        <f>MAX(C45:D45,0)</f>
        <v>0.32</v>
      </c>
      <c r="G45" s="1" t="str">
        <f>B45</f>
        <v>per 100 youth petitioned</v>
      </c>
      <c r="L45" s="57">
        <v>100</v>
      </c>
      <c r="M45" s="57"/>
      <c r="R45" s="49"/>
    </row>
    <row r="46" spans="2:18" ht="15" hidden="1" customHeight="1">
      <c r="B46" s="49" t="s">
        <v>90</v>
      </c>
      <c r="C46" s="49">
        <f>C12/100</f>
        <v>0.38</v>
      </c>
      <c r="D46" s="49">
        <f>E12/100</f>
        <v>0</v>
      </c>
      <c r="E46" s="56">
        <f>MAX(C46:D46)</f>
        <v>0.38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15.055</v>
      </c>
      <c r="D48" s="56">
        <f>D42</f>
        <v>0.14699999999999999</v>
      </c>
      <c r="E48" s="56">
        <f>MAX(C48:D48)</f>
        <v>15.055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0.24</v>
      </c>
      <c r="D49" s="49">
        <f t="shared" si="9"/>
        <v>0</v>
      </c>
      <c r="E49" s="49">
        <f>MAX(C49:D49)</f>
        <v>0.24</v>
      </c>
      <c r="G49" s="1" t="str">
        <f>G43</f>
        <v>per 100 arrests</v>
      </c>
      <c r="L49" s="58">
        <f>IF(($E43&gt;0),L43,L42)</f>
        <v>100</v>
      </c>
      <c r="M49" s="58"/>
      <c r="N49" s="21"/>
      <c r="O49" s="21"/>
      <c r="P49" s="21"/>
      <c r="Q49" s="21"/>
      <c r="R49" s="21"/>
    </row>
    <row r="50" spans="2:18" ht="15" hidden="1" customHeight="1">
      <c r="B50" s="49" t="str">
        <f t="shared" si="9"/>
        <v>per 100 referrals</v>
      </c>
      <c r="C50" s="49">
        <f t="shared" si="9"/>
        <v>0.56999999999999995</v>
      </c>
      <c r="D50" s="49">
        <f t="shared" si="9"/>
        <v>0</v>
      </c>
      <c r="E50" s="49">
        <f>MAX(C50:D50)</f>
        <v>0.56999999999999995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0.32</v>
      </c>
      <c r="D51" s="49">
        <f>IF(($E45&gt;0),D45,D44)</f>
        <v>0</v>
      </c>
      <c r="E51" s="49">
        <f>MAX(C51:D51)</f>
        <v>0.32</v>
      </c>
      <c r="G51" s="1" t="str">
        <f>G45</f>
        <v>per 100 youth petitioned</v>
      </c>
      <c r="L51" s="58">
        <f>IF(($E45&gt;0),L45,L44)</f>
        <v>100</v>
      </c>
      <c r="M51" s="58"/>
    </row>
    <row r="52" spans="2:18" ht="15" hidden="1" customHeight="1">
      <c r="B52" s="49" t="str">
        <f>IF(($E46&gt;0),B46,B45)</f>
        <v>per 100 youth found delinquent</v>
      </c>
      <c r="C52" s="49">
        <f>IF(($E46&gt;0),C46,C45)</f>
        <v>0.38</v>
      </c>
      <c r="D52" s="49">
        <f>IF(($E46&gt;0),D46,D45)</f>
        <v>0</v>
      </c>
      <c r="E52" s="56">
        <f>MAX(C52:D52)</f>
        <v>0.38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15.055</v>
      </c>
      <c r="D54" s="56">
        <f>D48</f>
        <v>0.14699999999999999</v>
      </c>
      <c r="E54" s="56">
        <f>MAX(C54:D54)</f>
        <v>15.055</v>
      </c>
      <c r="G54" s="1" t="str">
        <f>G48</f>
        <v>per 1000 youth</v>
      </c>
      <c r="L54" s="58">
        <f>L48</f>
        <v>1000</v>
      </c>
      <c r="M54" s="58"/>
    </row>
    <row r="55" spans="2:18" ht="15" hidden="1" customHeight="1">
      <c r="B55" s="49" t="str">
        <f t="shared" ref="B55:D56" si="10">IF(($E49&gt;0),B49,B48)</f>
        <v>per 100 arrests</v>
      </c>
      <c r="C55" s="49">
        <f t="shared" si="10"/>
        <v>0.24</v>
      </c>
      <c r="D55" s="49">
        <f t="shared" si="10"/>
        <v>0</v>
      </c>
      <c r="E55" s="49">
        <f>MAX(C55:D55)</f>
        <v>0.24</v>
      </c>
      <c r="G55" s="1" t="str">
        <f>G49</f>
        <v>per 100 arrests</v>
      </c>
      <c r="L55" s="58">
        <f>IF(($E49&gt;0),L49,L48)</f>
        <v>100</v>
      </c>
      <c r="M55" s="58"/>
    </row>
    <row r="56" spans="2:18" ht="15" hidden="1" customHeight="1">
      <c r="B56" s="49" t="str">
        <f t="shared" si="10"/>
        <v>per 100 referrals</v>
      </c>
      <c r="C56" s="49">
        <f t="shared" si="10"/>
        <v>0.56999999999999995</v>
      </c>
      <c r="D56" s="49">
        <f t="shared" si="10"/>
        <v>0</v>
      </c>
      <c r="E56" s="49">
        <f>MAX(C56:D56)</f>
        <v>0.56999999999999995</v>
      </c>
      <c r="G56" s="1" t="str">
        <f>G50</f>
        <v>per 100 referrals</v>
      </c>
      <c r="L56" s="58">
        <f>IF(($E50&gt;0),L50,L49)</f>
        <v>100</v>
      </c>
      <c r="M56" s="58"/>
    </row>
    <row r="57" spans="2:18" ht="15" hidden="1" customHeight="1">
      <c r="B57" s="49" t="str">
        <f>IF(($E51&gt;0),B51,B49)</f>
        <v>per 100 youth petitioned</v>
      </c>
      <c r="C57" s="49">
        <f>IF(($E51&gt;0),C51,C50)</f>
        <v>0.32</v>
      </c>
      <c r="D57" s="49">
        <f>IF(($E51&gt;0),D51,D50)</f>
        <v>0</v>
      </c>
      <c r="E57" s="49">
        <f>MAX(C57:D57)</f>
        <v>0.32</v>
      </c>
      <c r="G57" s="1" t="str">
        <f>G51</f>
        <v>per 100 youth petitioned</v>
      </c>
      <c r="L57" s="58">
        <f>IF(($E51&gt;0),L51,L50)</f>
        <v>100</v>
      </c>
      <c r="M57" s="58"/>
    </row>
    <row r="58" spans="2:18" ht="15" hidden="1" customHeight="1">
      <c r="B58" s="49" t="str">
        <f>IF(($E52&gt;0),B52,B51)</f>
        <v>per 100 youth found delinquent</v>
      </c>
      <c r="C58" s="49">
        <f>IF(($E52&gt;0),C52,C51)</f>
        <v>0.38</v>
      </c>
      <c r="D58" s="49">
        <f>IF(($E52&gt;0),D52,D51)</f>
        <v>0</v>
      </c>
      <c r="E58" s="56">
        <f>MAX(C58:D58)</f>
        <v>0.38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15.055</v>
      </c>
      <c r="D60" s="56">
        <f>D54</f>
        <v>0.14699999999999999</v>
      </c>
      <c r="E60" s="56">
        <f>MAX(C60:D60)</f>
        <v>15.055</v>
      </c>
      <c r="G60" s="1" t="str">
        <f>G54</f>
        <v>per 1000 youth</v>
      </c>
      <c r="L60" s="58">
        <f>L54</f>
        <v>1000</v>
      </c>
      <c r="M60" s="58"/>
    </row>
    <row r="61" spans="2:18" ht="15" hidden="1" customHeight="1">
      <c r="B61" s="49" t="str">
        <f t="shared" ref="B61:D62" si="11">IF(($E55&gt;0),B55,B54)</f>
        <v>per 100 arrests</v>
      </c>
      <c r="C61" s="49">
        <f t="shared" si="11"/>
        <v>0.24</v>
      </c>
      <c r="D61" s="49">
        <f t="shared" si="11"/>
        <v>0</v>
      </c>
      <c r="E61" s="49">
        <f>MAX(C61:D61)</f>
        <v>0.24</v>
      </c>
      <c r="G61" s="1" t="str">
        <f>G55</f>
        <v>per 100 arrests</v>
      </c>
      <c r="L61" s="58">
        <f>IF(($E55&gt;0),L55,L54)</f>
        <v>100</v>
      </c>
      <c r="M61" s="58"/>
    </row>
    <row r="62" spans="2:18" ht="15" hidden="1" customHeight="1">
      <c r="B62" s="49" t="str">
        <f t="shared" si="11"/>
        <v>per 100 referrals</v>
      </c>
      <c r="C62" s="49">
        <f t="shared" si="11"/>
        <v>0.56999999999999995</v>
      </c>
      <c r="D62" s="49">
        <f t="shared" si="11"/>
        <v>0</v>
      </c>
      <c r="E62" s="49">
        <f>MAX(C62:D62)</f>
        <v>0.56999999999999995</v>
      </c>
      <c r="G62" s="1" t="str">
        <f>G56</f>
        <v>per 100 referrals</v>
      </c>
      <c r="L62" s="58">
        <f>IF(($E56&gt;0),L56,L55)</f>
        <v>100</v>
      </c>
      <c r="M62" s="58"/>
    </row>
    <row r="63" spans="2:18" ht="15" hidden="1" customHeight="1">
      <c r="B63" s="49" t="str">
        <f>IF(($E57&gt;0),B57,B55)</f>
        <v>per 100 youth petitioned</v>
      </c>
      <c r="C63" s="49">
        <f>IF(($E57&gt;0),C57,C56)</f>
        <v>0.32</v>
      </c>
      <c r="D63" s="49">
        <f>IF(($E57&gt;0),D57,D56)</f>
        <v>0</v>
      </c>
      <c r="E63" s="49">
        <f>MAX(C63:D63)</f>
        <v>0.32</v>
      </c>
      <c r="G63" s="1" t="str">
        <f>G57</f>
        <v>per 100 youth petitioned</v>
      </c>
      <c r="L63" s="58">
        <f>IF(($E57&gt;0),L57,L56)</f>
        <v>100</v>
      </c>
      <c r="M63" s="58"/>
    </row>
    <row r="64" spans="2:18" ht="15" hidden="1" customHeight="1">
      <c r="B64" s="49" t="str">
        <f>IF(($E58&gt;0),B58,B57)</f>
        <v>per 100 youth found delinquent</v>
      </c>
      <c r="C64" s="49">
        <f>IF(($E58&gt;0),C58,C57)</f>
        <v>0.38</v>
      </c>
      <c r="D64" s="49">
        <f>IF(($E58&gt;0),D58,D57)</f>
        <v>0</v>
      </c>
      <c r="E64" s="56">
        <f>MAX(C64:D64)</f>
        <v>0.38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15.055</v>
      </c>
      <c r="D66" s="56">
        <f>D60</f>
        <v>0.14699999999999999</v>
      </c>
      <c r="E66" s="56">
        <f>MAX(C66:D66)</f>
        <v>15.055</v>
      </c>
      <c r="G66" s="1" t="str">
        <f>G60</f>
        <v>per 1000 youth</v>
      </c>
      <c r="L66" s="58">
        <f>L60</f>
        <v>1000</v>
      </c>
      <c r="M66" s="58">
        <f>IF((B66=G66),1,2)</f>
        <v>1</v>
      </c>
    </row>
    <row r="67" spans="2:13" ht="15" hidden="1" customHeight="1">
      <c r="B67" s="49" t="str">
        <f t="shared" ref="B67:D68" si="12">IF(($E61&gt;0),B61,B60)</f>
        <v>per 100 arrests</v>
      </c>
      <c r="C67" s="49">
        <f t="shared" si="12"/>
        <v>0.24</v>
      </c>
      <c r="D67" s="49">
        <f t="shared" si="12"/>
        <v>0</v>
      </c>
      <c r="E67" s="49">
        <f>MAX(C67:D67)</f>
        <v>0.24</v>
      </c>
      <c r="G67" s="1" t="str">
        <f>G61</f>
        <v>per 100 arrests</v>
      </c>
      <c r="L67" s="58">
        <f>IF(($E61&gt;0),L61,L60)</f>
        <v>100</v>
      </c>
      <c r="M67" s="58">
        <f>IF((B67=G67),1,2)</f>
        <v>1</v>
      </c>
    </row>
    <row r="68" spans="2:13" ht="15" hidden="1" customHeight="1">
      <c r="B68" s="49" t="str">
        <f t="shared" si="12"/>
        <v>per 100 referrals</v>
      </c>
      <c r="C68" s="49">
        <f t="shared" si="12"/>
        <v>0.56999999999999995</v>
      </c>
      <c r="D68" s="49">
        <f t="shared" si="12"/>
        <v>0</v>
      </c>
      <c r="E68" s="49">
        <f>MAX(C68:D68)</f>
        <v>0.56999999999999995</v>
      </c>
      <c r="G68" s="1" t="str">
        <f>G62</f>
        <v>per 100 referrals</v>
      </c>
      <c r="L68" s="58">
        <f>IF(($E62&gt;0),L62,L61)</f>
        <v>100</v>
      </c>
      <c r="M68" s="58">
        <f>IF((B68=G68),1,2)</f>
        <v>1</v>
      </c>
    </row>
    <row r="69" spans="2:13" ht="15" hidden="1" customHeight="1">
      <c r="B69" s="49" t="str">
        <f>IF(($E63&gt;0),B63,B61)</f>
        <v>per 100 youth petitioned</v>
      </c>
      <c r="C69" s="49">
        <f>IF(($E63&gt;0),C63,C62)</f>
        <v>0.32</v>
      </c>
      <c r="D69" s="49">
        <f>IF(($E63&gt;0),D63,D62)</f>
        <v>0</v>
      </c>
      <c r="E69" s="49">
        <f>MAX(C69:D69)</f>
        <v>0.32</v>
      </c>
      <c r="G69" s="1" t="str">
        <f>G63</f>
        <v>per 100 youth petitioned</v>
      </c>
      <c r="L69" s="58">
        <f>IF(($E63&gt;0),L63,L62)</f>
        <v>100</v>
      </c>
      <c r="M69" s="58">
        <f>IF((B69=G69),1,2)</f>
        <v>1</v>
      </c>
    </row>
    <row r="70" spans="2:13" ht="15" hidden="1" customHeight="1">
      <c r="B70" s="49" t="str">
        <f>IF(($E64&gt;0),B64,B63)</f>
        <v>per 100 youth found delinquent</v>
      </c>
      <c r="C70" s="49">
        <f>IF(($E64&gt;0),C64,C63)</f>
        <v>0.38</v>
      </c>
      <c r="D70" s="49">
        <f>IF(($E64&gt;0),D64,D63)</f>
        <v>0</v>
      </c>
      <c r="E70" s="56">
        <f>MAX(C70:D70)</f>
        <v>0.38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U47JMPN4QEAR-1806752177-30461</_dlc_DocId>
    <_dlc_DocIdUrl xmlns="ac3811b5-0f3e-49e2-ba69-f2ffa0c782af">
      <Url>https://michiganphi.sharepoint.com/sites/CMDMC/_layouts/15/DocIdRedir.aspx?ID=U47JMPN4QEAR-1806752177-30461</Url>
      <Description>U47JMPN4QEAR-1806752177-30461</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608733e283443d8390c6caf5265cb92f">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2c6c828e95003de4308dd0402143b80f"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657AB2-6274-4B15-99D0-A9EBF2AE3C40}">
  <ds:schemaRefs>
    <ds:schemaRef ds:uri="http://schemas.microsoft.com/office/infopath/2007/PartnerControls"/>
    <ds:schemaRef ds:uri="http://purl.org/dc/elements/1.1/"/>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purl.org/dc/dcmitype/"/>
    <ds:schemaRef ds:uri="http://www.w3.org/XML/1998/namespace"/>
    <ds:schemaRef ds:uri="738f5db5-75d9-4d31-a801-79680892ab9e"/>
    <ds:schemaRef ds:uri="ac3811b5-0f3e-49e2-ba69-f2ffa0c782af"/>
  </ds:schemaRefs>
</ds:datastoreItem>
</file>

<file path=customXml/itemProps2.xml><?xml version="1.0" encoding="utf-8"?>
<ds:datastoreItem xmlns:ds="http://schemas.openxmlformats.org/officeDocument/2006/customXml" ds:itemID="{23687FC0-3A4D-4C46-AB28-088FF08F66D2}"/>
</file>

<file path=customXml/itemProps3.xml><?xml version="1.0" encoding="utf-8"?>
<ds:datastoreItem xmlns:ds="http://schemas.openxmlformats.org/officeDocument/2006/customXml" ds:itemID="{B1A03595-F89A-40D4-81C7-3B2D7F022F57}">
  <ds:schemaRefs>
    <ds:schemaRef ds:uri="http://schemas.microsoft.com/sharepoint/events"/>
  </ds:schemaRefs>
</ds:datastoreItem>
</file>

<file path=customXml/itemProps4.xml><?xml version="1.0" encoding="utf-8"?>
<ds:datastoreItem xmlns:ds="http://schemas.openxmlformats.org/officeDocument/2006/customXml" ds:itemID="{AA59307C-F5A6-4DCB-A1D0-26078A39B494}">
  <ds:schemaRefs>
    <ds:schemaRef ds:uri="http://schemas.microsoft.com/sharepoint/v3/contenttype/forms"/>
  </ds:schemaRefs>
</ds:datastoreItem>
</file>

<file path=docMetadata/LabelInfo.xml><?xml version="1.0" encoding="utf-8"?>
<clbl:labelList xmlns:clbl="http://schemas.microsoft.com/office/2020/mipLabelMetadata">
  <clbl:label id="{61356d44-baf7-4c51-9f34-1736d592de37}" enabled="1" method="Standard" siteId="{a4405b41-6d4f-4d51-90dd-22ba251725f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Victoria Key-Walker</cp:lastModifiedBy>
  <cp:lastPrinted>2013-05-09T15:54:08Z</cp:lastPrinted>
  <dcterms:created xsi:type="dcterms:W3CDTF">2002-11-18T06:04:28Z</dcterms:created>
  <dcterms:modified xsi:type="dcterms:W3CDTF">2024-10-03T16:49:01Z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6f130e13-8e47-4f5f-abc7-1a684f20acd6</vt:lpwstr>
  </property>
</Properties>
</file>