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6" documentId="8_{CC0888EC-2984-4871-B3FE-1BB2BE96B40D}" xr6:coauthVersionLast="47" xr6:coauthVersionMax="47" xr10:uidLastSave="{855F237F-2EB2-46D6-BAF9-08D35A009CC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5"/>
  <c r="M66" i="5"/>
  <c r="M66" i="8"/>
  <c r="F27" i="8"/>
  <c r="F27" i="2"/>
  <c r="M66" i="2"/>
  <c r="F27" i="3"/>
  <c r="M66" i="3"/>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D55" i="5"/>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C64" i="5"/>
  <c r="L64" i="3"/>
  <c r="L56" i="8"/>
  <c r="B56" i="8"/>
  <c r="D64" i="5"/>
  <c r="E64" i="5" s="1"/>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D70" i="8" s="1"/>
  <c r="F13" i="8" s="1"/>
  <c r="E63" i="3"/>
  <c r="C69" i="3" s="1"/>
  <c r="D12" i="3" s="1"/>
  <c r="C69" i="7"/>
  <c r="D12" i="7" s="1"/>
  <c r="L69" i="7"/>
  <c r="B70" i="3"/>
  <c r="M70" i="3" s="1"/>
  <c r="D70" i="6"/>
  <c r="F14" i="6"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F12" i="8" s="1"/>
  <c r="D15" i="7"/>
  <c r="D69" i="3"/>
  <c r="E69" i="3" s="1"/>
  <c r="B69" i="3"/>
  <c r="M69" i="3" s="1"/>
  <c r="D15" i="3"/>
  <c r="B69" i="6"/>
  <c r="M69" i="6" s="1"/>
  <c r="L69" i="3"/>
  <c r="Q12" i="3" s="1"/>
  <c r="F13" i="6"/>
  <c r="F33" i="3"/>
  <c r="Q15" i="7"/>
  <c r="F34" i="3"/>
  <c r="Q12" i="7"/>
  <c r="O14" i="6"/>
  <c r="Q13" i="8"/>
  <c r="E70" i="6"/>
  <c r="O13" i="6"/>
  <c r="E70" i="3"/>
  <c r="E69" i="7"/>
  <c r="D13" i="6"/>
  <c r="D13" i="3"/>
  <c r="F14" i="3"/>
  <c r="O13" i="3"/>
  <c r="C69" i="6"/>
  <c r="D12" i="6" s="1"/>
  <c r="Q14" i="3"/>
  <c r="F12" i="7"/>
  <c r="O12" i="7"/>
  <c r="D14" i="6"/>
  <c r="O15" i="7"/>
  <c r="T15" i="7" s="1"/>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L69" i="8" l="1"/>
  <c r="O15" i="8" s="1"/>
  <c r="B69" i="8"/>
  <c r="M69" i="8" s="1"/>
  <c r="F15" i="8"/>
  <c r="F35" i="3"/>
  <c r="C69" i="8"/>
  <c r="Q12" i="8" s="1"/>
  <c r="F32" i="3"/>
  <c r="R14" i="6"/>
  <c r="S14" i="6" s="1"/>
  <c r="Q15" i="3"/>
  <c r="O15" i="3"/>
  <c r="T15" i="3" s="1"/>
  <c r="O12" i="3"/>
  <c r="R12" i="3" s="1"/>
  <c r="S12" i="3" s="1"/>
  <c r="F12" i="3"/>
  <c r="F15" i="3"/>
  <c r="F32" i="6"/>
  <c r="F35" i="6"/>
  <c r="R14" i="3"/>
  <c r="S14" i="3" s="1"/>
  <c r="U14" i="3" s="1"/>
  <c r="J14" i="3" s="1"/>
  <c r="M14" i="3" s="1"/>
  <c r="G14" i="3" s="1"/>
  <c r="I15" i="16" s="1"/>
  <c r="K14" i="6"/>
  <c r="K12" i="7"/>
  <c r="R12" i="7"/>
  <c r="S12" i="7" s="1"/>
  <c r="U12" i="7" s="1"/>
  <c r="J12" i="7" s="1"/>
  <c r="R13" i="8"/>
  <c r="S13" i="8" s="1"/>
  <c r="D15" i="6"/>
  <c r="R15" i="7"/>
  <c r="S15" i="7" s="1"/>
  <c r="U15" i="7" s="1"/>
  <c r="J15" i="7" s="1"/>
  <c r="T13" i="6"/>
  <c r="T14" i="6"/>
  <c r="T13" i="8"/>
  <c r="K13" i="6"/>
  <c r="T12" i="7"/>
  <c r="K13" i="3"/>
  <c r="O12" i="6"/>
  <c r="R13" i="6"/>
  <c r="S13" i="6" s="1"/>
  <c r="U13" i="6" s="1"/>
  <c r="J13" i="6" s="1"/>
  <c r="M13" i="6" s="1"/>
  <c r="G13" i="6" s="1"/>
  <c r="G13" i="9" s="1"/>
  <c r="R14" i="8"/>
  <c r="S14" i="8" s="1"/>
  <c r="E69" i="6"/>
  <c r="T13" i="3"/>
  <c r="K14" i="3"/>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F32" i="8"/>
  <c r="Q10" i="7"/>
  <c r="F13" i="2"/>
  <c r="Q11" i="7"/>
  <c r="R8" i="6"/>
  <c r="S8" i="6" s="1"/>
  <c r="F14" i="2"/>
  <c r="E69" i="8"/>
  <c r="F10" i="7"/>
  <c r="L10" i="3"/>
  <c r="P11" i="16" s="1"/>
  <c r="F30" i="7"/>
  <c r="D12" i="8"/>
  <c r="M68" i="7"/>
  <c r="Q15" i="8"/>
  <c r="R15" i="8" s="1"/>
  <c r="S15" i="8" s="1"/>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D15" i="8" l="1"/>
  <c r="R15" i="3"/>
  <c r="S15" i="3" s="1"/>
  <c r="U15" i="3" s="1"/>
  <c r="J15" i="3" s="1"/>
  <c r="M15" i="3" s="1"/>
  <c r="G15" i="3" s="1"/>
  <c r="I16" i="16" s="1"/>
  <c r="K15" i="3"/>
  <c r="N30" i="3"/>
  <c r="L14" i="3"/>
  <c r="P15" i="16" s="1"/>
  <c r="I15" i="13"/>
  <c r="E14" i="9"/>
  <c r="T12" i="3"/>
  <c r="L12" i="7"/>
  <c r="S13" i="16" s="1"/>
  <c r="L15" i="7"/>
  <c r="S16" i="16" s="1"/>
  <c r="U13" i="8"/>
  <c r="J13" i="8" s="1"/>
  <c r="M13" i="8" s="1"/>
  <c r="G13" i="8" s="1"/>
  <c r="M12" i="7"/>
  <c r="M15" i="7"/>
  <c r="R12" i="6"/>
  <c r="S12" i="6" s="1"/>
  <c r="U12" i="6" s="1"/>
  <c r="J12" i="6" s="1"/>
  <c r="M12" i="6" s="1"/>
  <c r="G12" i="6" s="1"/>
  <c r="T12" i="6"/>
  <c r="M14" i="13"/>
  <c r="L13" i="3"/>
  <c r="P14" i="16" s="1"/>
  <c r="L13" i="6"/>
  <c r="R14" i="1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5" i="3" l="1"/>
  <c r="P16" i="16" s="1"/>
  <c r="E15" i="9"/>
  <c r="N14" i="9"/>
  <c r="V15" i="13"/>
  <c r="Q12" i="9"/>
  <c r="Y13" i="13"/>
  <c r="P13" i="9"/>
  <c r="L13" i="8"/>
  <c r="T14" i="16" s="1"/>
  <c r="Q15" i="9"/>
  <c r="U13" i="2"/>
  <c r="J13" i="2" s="1"/>
  <c r="M13" i="2" s="1"/>
  <c r="G13" i="2" s="1"/>
  <c r="E14" i="16" s="1"/>
  <c r="X14" i="13"/>
  <c r="V14" i="13"/>
  <c r="N13" i="9"/>
  <c r="L12" i="6"/>
  <c r="R13" i="16" s="1"/>
  <c r="U12" i="8"/>
  <c r="J12" i="8" s="1"/>
  <c r="M12" i="8" s="1"/>
  <c r="G12" i="8" s="1"/>
  <c r="K13" i="16" s="1"/>
  <c r="L15" i="6"/>
  <c r="R16" i="16" s="1"/>
  <c r="U14" i="2"/>
  <c r="J14" i="2" s="1"/>
  <c r="M14" i="2" s="1"/>
  <c r="G14" i="2" s="1"/>
  <c r="E15" i="16" s="1"/>
  <c r="K14" i="16"/>
  <c r="Q14" i="13"/>
  <c r="I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4" i="13" l="1"/>
  <c r="R13" i="9"/>
  <c r="L13" i="2"/>
  <c r="N14" i="16" s="1"/>
  <c r="C13" i="9"/>
  <c r="N30" i="2"/>
  <c r="L12" i="8"/>
  <c r="T13" i="16" s="1"/>
  <c r="P15" i="9"/>
  <c r="X16" i="13"/>
  <c r="P12" i="9"/>
  <c r="E14" i="13"/>
  <c r="C14" i="9"/>
  <c r="X13" i="13"/>
  <c r="E15" i="13"/>
  <c r="R14" i="9"/>
  <c r="L14" i="2"/>
  <c r="N15" i="16" s="1"/>
  <c r="I14" i="9"/>
  <c r="Q15" i="13"/>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Z13" i="13"/>
  <c r="R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<sst xmlns="http://schemas.openxmlformats.org/spreadsheetml/2006/main" count="654" uniqueCount="141">
  <si>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</si>
  <si>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</si>
  <si>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</si>
  <si>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</si>
  <si>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</si>
  <si>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</si>
  <si>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</si>
  <si>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</si>
  <si>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</si>
  <si>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</si>
  <si>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</si>
  <si>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</si>
  <si>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</si>
  <si>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</si>
  <si>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</si>
  <si>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</si>
  <si>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</si>
  <si>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</si>
  <si>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</si>
  <si>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</si>
  <si>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</si>
  <si>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</si>
  <si>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</si>
  <si>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</si>
  <si>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</si>
  <si>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</si>
  <si>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</si>
  <si>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</si>
  <si>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</si>
  <si>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</si>
  <si>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</si>
  <si>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</si>
  <si>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</si>
  <si>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</si>
  <si>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</si>
  <si>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</si>
  <si>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</si>
  <si>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</si>
  <si>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</si>
  <si>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</si>
  <si>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</si>
  <si>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</si>
  <si>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</si>
  <si>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</si>
  <si>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</si>
  <si>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</si>
  <si>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</si>
  <si>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</si>
  <si>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</si>
  <si>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</si>
  <si>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</si>
  <si>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</si>
  <si>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</si>
  <si>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</si>
  <si>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</si>
  <si>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</si>
  <si>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</si>
  <si>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</si>
  <si>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</si>
  <si>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</si>
  <si>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</si>
  <si>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</si>
  <si>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</si>
  <si>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</si>
  <si>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</si>
  <si>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</si>
  <si>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</si>
  <si>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</si>
  <si>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</si>
  <si>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</si>
  <si>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</si>
  <si>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</si>
  <si>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</si>
  <si>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</si>
  <si>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</si>
  <si>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</si>
  <si>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</si>
  <si>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</si>
  <si>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</si>
  <si>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</si>
  <si>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</si>
  <si>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</si>
  <si>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</si>
  <si>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</si>
  <si>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</si>
  <si>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</si>
  <si>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</si>
  <si>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</si>
  <si>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</si>
  <si>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</si>
  <si>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</si>
  <si>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</si>
  <si>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</si>
  <si>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</si>
  <si>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</si>
  <si>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</si>
  <si>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</si>
  <si>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</si>
  <si>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</si>
  <si>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</si>
  <si>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</si>
  <si>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</si>
  <si>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</si>
  <si>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</si>
  <si>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</si>
  <si>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</si>
  <si>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</si>
  <si>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</si>
  <si>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</si>
  <si>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</si>
  <si>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</si>
  <si>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</si>
  <si>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</si>
  <si>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</si>
  <si>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</si>
  <si>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</si>
  <si>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</si>
  <si>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</si>
  <si>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</si>
  <si>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</si>
  <si>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</si>
  <si>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</si>
  <si>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</si>
  <si>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</si>
  <si>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</si>
  <si>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</si>
  <si>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</si>
  <si>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</si>
  <si>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</si>
  <si>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</si>
  <si>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</si>
  <si>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</si>
  <si>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</si>
  <si>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</si>
  <si>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</si>
  <si>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</si>
  <si>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Huron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</si>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</sst>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Huron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N=12</c:v>
                </c:pt>
                <c:pt idx="3">
                  <c:v>Petitions, total N=42</c:v>
                </c:pt>
                <c:pt idx="4">
                  <c:v>Detentions, total N=0</c:v>
                </c:pt>
                <c:pt idx="5">
                  <c:v>Referrals, total N=64</c:v>
                </c:pt>
                <c:pt idx="6">
                  <c:v>Arrests, total N=25</c:v>
                </c:pt>
                <c:pt idx="7">
                  <c:v>Population, total N=2781</c:v>
                </c:pt>
              </c:strCache>
            </c:strRef>
          </c:cat>
          <c:val>
            <c:numRef>
              <c:f>'Stacked 100%'!$B$7:$B$14</c:f>
              <c:numCache>
                <c:formatCode>0%</c:formatCode>
                <c:ptCount val="8"/>
                <c:pt idx="0">
                  <c:v>0</c:v>
                </c:pt>
                <c:pt idx="1">
                  <c:v>0</c:v>
                </c:pt>
                <c:pt idx="2">
                  <c:v>8.3333333333333329E-2</c:v>
                </c:pt>
                <c:pt idx="3">
                  <c:v>9.5238095238095233E-2</c:v>
                </c:pt>
                <c:pt idx="4">
                  <c:v>0</c:v>
                </c:pt>
                <c:pt idx="5">
                  <c:v>6.25E-2</c:v>
                </c:pt>
                <c:pt idx="6">
                  <c:v>0.04</c:v>
                </c:pt>
                <c:pt idx="7">
                  <c:v>1.4742898238043868E-2</c:v>
                </c:pt>
              </c:numCache>
            </c:numRef>
          </c:val>
          <c:extLst>
            <c:ext xmlns:c16="http://schemas.microsoft.com/office/drawing/2014/chart" uri="{C3380CC4-5D6E-409C-BE32-E72D297353CC}">
              <c16:uniqueId val="{00000000-AF9C-450F-B085-E6240A0530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N=12</c:v>
                </c:pt>
                <c:pt idx="3">
                  <c:v>Petitions, total N=42</c:v>
                </c:pt>
                <c:pt idx="4">
                  <c:v>Detentions, total N=0</c:v>
                </c:pt>
                <c:pt idx="5">
                  <c:v>Referrals, total N=64</c:v>
                </c:pt>
                <c:pt idx="6">
                  <c:v>Arrests, total N=25</c:v>
                </c:pt>
                <c:pt idx="7">
                  <c:v>Population, total N=2781</c:v>
                </c:pt>
              </c:strCache>
            </c:strRef>
          </c:cat>
          <c:val>
            <c:numRef>
              <c:f>'Stacked 100%'!$C$7:$C$14</c:f>
              <c:numCache>
                <c:formatCode>0%</c:formatCode>
                <c:ptCount val="8"/>
                <c:pt idx="0">
                  <c:v>0</c:v>
                </c:pt>
                <c:pt idx="1">
                  <c:v>0</c:v>
                </c:pt>
                <c:pt idx="2">
                  <c:v>0</c:v>
                </c:pt>
                <c:pt idx="3">
                  <c:v>0</c:v>
                </c:pt>
                <c:pt idx="4">
                  <c:v>0</c:v>
                </c:pt>
                <c:pt idx="5">
                  <c:v>0</c:v>
                </c:pt>
                <c:pt idx="6">
                  <c:v>0</c:v>
                </c:pt>
                <c:pt idx="7">
                  <c:v>4.5307443365695796E-2</c:v>
                </c:pt>
              </c:numCache>
            </c:numRef>
          </c:val>
          <c:extLst>
            <c:ext xmlns:c16="http://schemas.microsoft.com/office/drawing/2014/chart" uri="{C3380CC4-5D6E-409C-BE32-E72D297353CC}">
              <c16:uniqueId val="{00000001-AF9C-450F-B085-E6240A0530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N=12</c:v>
                </c:pt>
                <c:pt idx="3">
                  <c:v>Petitions, total N=42</c:v>
                </c:pt>
                <c:pt idx="4">
                  <c:v>Detentions, total N=0</c:v>
                </c:pt>
                <c:pt idx="5">
                  <c:v>Referrals, total N=64</c:v>
                </c:pt>
                <c:pt idx="6">
                  <c:v>Arrests, total N=25</c:v>
                </c:pt>
                <c:pt idx="7">
                  <c:v>Population, total N=2781</c:v>
                </c:pt>
              </c:strCache>
            </c:strRef>
          </c:cat>
          <c:val>
            <c:numRef>
              <c:f>'Stacked 100%'!$H$7:$H$14</c:f>
              <c:numCache>
                <c:formatCode>0%</c:formatCode>
                <c:ptCount val="8"/>
                <c:pt idx="0">
                  <c:v>0</c:v>
                </c:pt>
                <c:pt idx="1">
                  <c:v>0</c:v>
                </c:pt>
                <c:pt idx="2">
                  <c:v>0</c:v>
                </c:pt>
                <c:pt idx="3">
                  <c:v>0</c:v>
                </c:pt>
                <c:pt idx="4">
                  <c:v>0</c:v>
                </c:pt>
                <c:pt idx="5">
                  <c:v>0</c:v>
                </c:pt>
                <c:pt idx="6">
                  <c:v>0</c:v>
                </c:pt>
                <c:pt idx="7">
                  <c:v>4.2668950619223447E-6</c:v>
                </c:pt>
              </c:numCache>
            </c:numRef>
          </c:val>
          <c:extLst>
            <c:ext xmlns:c16="http://schemas.microsoft.com/office/drawing/2014/chart" uri="{C3380CC4-5D6E-409C-BE32-E72D297353CC}">
              <c16:uniqueId val="{00000002-AF9C-450F-B085-E6240A0530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N=12</c:v>
                </c:pt>
                <c:pt idx="3">
                  <c:v>Petitions, total N=42</c:v>
                </c:pt>
                <c:pt idx="4">
                  <c:v>Detentions, total N=0</c:v>
                </c:pt>
                <c:pt idx="5">
                  <c:v>Referrals, total N=64</c:v>
                </c:pt>
                <c:pt idx="6">
                  <c:v>Arrests, total N=25</c:v>
                </c:pt>
                <c:pt idx="7">
                  <c:v>Population, total N=2781</c:v>
                </c:pt>
              </c:strCache>
            </c:strRef>
          </c:cat>
          <c:val>
            <c:numRef>
              <c:f>'Stacked 100%'!$I$7:$I$14</c:f>
              <c:numCache>
                <c:formatCode>0%</c:formatCode>
                <c:ptCount val="8"/>
                <c:pt idx="0">
                  <c:v>0</c:v>
                </c:pt>
                <c:pt idx="1">
                  <c:v>0</c:v>
                </c:pt>
                <c:pt idx="2">
                  <c:v>0.5</c:v>
                </c:pt>
                <c:pt idx="3">
                  <c:v>0.59523809523809523</c:v>
                </c:pt>
                <c:pt idx="4">
                  <c:v>0</c:v>
                </c:pt>
                <c:pt idx="5">
                  <c:v>0.53125</c:v>
                </c:pt>
                <c:pt idx="6">
                  <c:v>0.88</c:v>
                </c:pt>
                <c:pt idx="7">
                  <c:v>0.92808342322905435</c:v>
                </c:pt>
              </c:numCache>
            </c:numRef>
          </c:val>
          <c:extLst>
            <c:ext xmlns:c16="http://schemas.microsoft.com/office/drawing/2014/chart" uri="{C3380CC4-5D6E-409C-BE32-E72D297353CC}">
              <c16:uniqueId val="{00000003-AF9C-450F-B085-E6240A0530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N=12</c:v>
                </c:pt>
                <c:pt idx="3">
                  <c:v>Petitions, total N=42</c:v>
                </c:pt>
                <c:pt idx="4">
                  <c:v>Detentions, total N=0</c:v>
                </c:pt>
                <c:pt idx="5">
                  <c:v>Referrals, total N=64</c:v>
                </c:pt>
                <c:pt idx="6">
                  <c:v>Arrests, total N=25</c:v>
                </c:pt>
                <c:pt idx="7">
                  <c:v>Population, total N=2781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F9C-450F-B085-E6240A0530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2781</v>
      </c>
      <c r="C6" s="11">
        <v>2581</v>
      </c>
      <c r="D6" s="11">
        <v>41</v>
      </c>
      <c r="E6" s="11">
        <v>126</v>
      </c>
      <c r="F6" s="11">
        <v>23</v>
      </c>
      <c r="G6" s="11"/>
      <c r="H6" s="11">
        <v>10</v>
      </c>
      <c r="I6" s="11"/>
      <c r="J6" s="91">
        <f>SUM(D6:I6)</f>
        <v>200</v>
      </c>
      <c r="K6" s="92"/>
    </row>
    <row r="7" spans="1:11" ht="15.75" customHeight="1" thickBot="1">
      <c r="A7" s="10" t="s">
        <v>8</v>
      </c>
      <c r="B7" s="11">
        <f t="shared" ref="B7:B15" si="0">SUM(C7:I7)+K7</f>
        <v>25</v>
      </c>
      <c r="C7" s="11">
        <v>22</v>
      </c>
      <c r="D7" s="11">
        <v>1</v>
      </c>
      <c r="E7" s="11"/>
      <c r="F7" s="11"/>
      <c r="G7" s="11"/>
      <c r="H7" s="11"/>
      <c r="I7" s="11"/>
      <c r="J7" s="91">
        <f t="shared" ref="J7:J15" si="1">SUM(D7:I7)</f>
        <v>1</v>
      </c>
      <c r="K7" s="92">
        <v>2</v>
      </c>
    </row>
    <row r="8" spans="1:11" ht="15.75" customHeight="1" thickBot="1">
      <c r="A8" s="10" t="s">
        <v>9</v>
      </c>
      <c r="B8" s="11">
        <f t="shared" si="0"/>
        <v>64</v>
      </c>
      <c r="C8" s="11">
        <v>34</v>
      </c>
      <c r="D8" s="11">
        <v>4</v>
      </c>
      <c r="E8" s="11"/>
      <c r="F8" s="11"/>
      <c r="G8" s="11"/>
      <c r="H8" s="11"/>
      <c r="I8" s="11"/>
      <c r="J8" s="91">
        <f t="shared" si="1"/>
        <v>4</v>
      </c>
      <c r="K8" s="92">
        <v>26</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42</v>
      </c>
      <c r="C11" s="11">
        <v>25</v>
      </c>
      <c r="D11" s="11">
        <v>4</v>
      </c>
      <c r="E11" s="11"/>
      <c r="F11" s="11"/>
      <c r="G11" s="11"/>
      <c r="H11" s="11"/>
      <c r="I11" s="11"/>
      <c r="J11" s="91">
        <f t="shared" si="1"/>
        <v>4</v>
      </c>
      <c r="K11" s="92">
        <v>13</v>
      </c>
    </row>
    <row r="12" spans="1:11" ht="15.75" customHeight="1" thickBot="1">
      <c r="A12" s="10" t="s">
        <v>13</v>
      </c>
      <c r="B12" s="11">
        <f t="shared" si="0"/>
        <v>12</v>
      </c>
      <c r="C12" s="11">
        <v>6</v>
      </c>
      <c r="D12" s="11">
        <v>1</v>
      </c>
      <c r="E12" s="11"/>
      <c r="F12" s="11"/>
      <c r="G12" s="11"/>
      <c r="H12" s="11"/>
      <c r="I12" s="11"/>
      <c r="J12" s="91">
        <f t="shared" si="1"/>
        <v>1</v>
      </c>
      <c r="K12" s="92">
        <v>5</v>
      </c>
    </row>
    <row r="13" spans="1:11" ht="15.75" customHeight="1" thickBot="1">
      <c r="A13" s="10" t="s">
        <v>133</v>
      </c>
      <c r="B13" s="11">
        <f t="shared" si="0"/>
        <v>29</v>
      </c>
      <c r="C13" s="11">
        <v>12</v>
      </c>
      <c r="D13" s="11">
        <v>1</v>
      </c>
      <c r="E13" s="11"/>
      <c r="F13" s="11"/>
      <c r="G13" s="11"/>
      <c r="H13" s="11"/>
      <c r="I13" s="11"/>
      <c r="J13" s="91">
        <f t="shared" si="1"/>
        <v>1</v>
      </c>
      <c r="K13" s="92">
        <v>16</v>
      </c>
    </row>
    <row r="14" spans="1:11" ht="26.25" customHeight="1" thickBot="1">
      <c r="A14" s="10" t="s">
        <v>123</v>
      </c>
      <c r="B14" s="11">
        <f t="shared" si="0"/>
        <v>2</v>
      </c>
      <c r="C14" s="11"/>
      <c r="D14" s="11"/>
      <c r="E14" s="11"/>
      <c r="F14" s="11"/>
      <c r="G14" s="11"/>
      <c r="H14" s="11"/>
      <c r="I14" s="11"/>
      <c r="J14" s="91">
        <f t="shared" si="1"/>
        <v>0</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22</v>
      </c>
      <c r="Q7" s="42">
        <f>C6-C7</f>
        <v>2559</v>
      </c>
      <c r="R7" s="42">
        <f t="shared" ref="R7:R15" si="5">SUM(N7:Q7)</f>
        <v>2581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154.54545454545453</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-12</v>
      </c>
      <c r="R8" s="42">
        <f t="shared" si="5"/>
        <v>22.049999999999997</v>
      </c>
      <c r="S8" s="30">
        <f t="shared" si="6"/>
        <v>63.724500000000006</v>
      </c>
      <c r="T8" s="30">
        <f t="shared" si="7"/>
        <v>-446.93000000000006</v>
      </c>
      <c r="U8" s="31">
        <f t="shared" si="8"/>
        <v>-0.14258273107645492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9</v>
      </c>
      <c r="R11" s="42">
        <f t="shared" si="5"/>
        <v>34</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200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0</v>
      </c>
      <c r="E42" s="56">
        <f>MAX(C42:D42)</f>
        <v>2.581</v>
      </c>
      <c r="G42" s="1" t="str">
        <f>B42</f>
        <v>per 1000 youth</v>
      </c>
      <c r="L42" s="57">
        <v>1000</v>
      </c>
      <c r="M42" s="57"/>
      <c r="R42" s="49"/>
    </row>
    <row r="43" spans="2:18" ht="15" hidden="1" customHeight="1">
      <c r="B43" s="49" t="s">
        <v>87</v>
      </c>
      <c r="C43" s="56">
        <f>C7/100</f>
        <v>0.22</v>
      </c>
      <c r="D43" s="56">
        <f>E7/100</f>
        <v>0</v>
      </c>
      <c r="E43" s="56">
        <f>MAX(C43:D43,0)</f>
        <v>0.22</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0</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0</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0</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0</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Entry'!J6</f>
        <v>200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Entry'!J7</f>
        <v>1</v>
      </c>
      <c r="F7" s="34">
        <f>IF((AND($E$7&gt;0,$D$66&gt;0)),($E$7/$D$66),0)</f>
        <v>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199</v>
      </c>
      <c r="P7" s="42">
        <f t="shared" ref="P7:P15" si="4">C7</f>
        <v>22</v>
      </c>
      <c r="Q7" s="42">
        <f>C6-C7</f>
        <v>2559</v>
      </c>
      <c r="R7" s="42">
        <f t="shared" ref="R7:R15" si="5">SUM(N7:Q7)</f>
        <v>2781</v>
      </c>
      <c r="S7" s="30">
        <f t="shared" ref="S7:S15" si="6">R7*((((N7*Q7)-(O7*P7))^2))</f>
        <v>9201664341</v>
      </c>
      <c r="T7" s="30">
        <f t="shared" ref="T7:T15" si="7">(N7+O7)*(P7+Q7)*(N7+P7)*(O7+Q7)</f>
        <v>32744630800</v>
      </c>
      <c r="U7" s="31">
        <f t="shared" ref="U7:U15" si="8">IF((S7&gt;0),S7/T7,"- -")</f>
        <v>0.28101292078089335</v>
      </c>
    </row>
    <row r="8" spans="2:21" ht="18" customHeight="1">
      <c r="B8" s="32" t="str">
        <f>'Data Entry'!A8</f>
        <v>3. Refer to Juvenile Court</v>
      </c>
      <c r="C8" s="33">
        <f>'Data Entry'!C8</f>
        <v>34</v>
      </c>
      <c r="D8" s="34">
        <f>IF((AND(C67&gt;0,C8&gt;0)),(C8/C67),0)</f>
        <v>154.54545454545453</v>
      </c>
      <c r="E8" s="33">
        <f>'Data Entry'!J8</f>
        <v>4</v>
      </c>
      <c r="F8" s="34">
        <f>IF((AND($E$8&gt;0,$D$67&gt;0)),($E8/$D67),0)</f>
        <v>400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-2.95</v>
      </c>
      <c r="P8" s="42">
        <f t="shared" si="4"/>
        <v>34</v>
      </c>
      <c r="Q8" s="42">
        <f>(C$67*L67)-C8</f>
        <v>-12</v>
      </c>
      <c r="R8" s="42">
        <f t="shared" si="5"/>
        <v>23.049999999999997</v>
      </c>
      <c r="S8" s="30">
        <f t="shared" si="6"/>
        <v>63048.434500000025</v>
      </c>
      <c r="T8" s="30">
        <f t="shared" si="7"/>
        <v>-13123.109999999995</v>
      </c>
      <c r="U8" s="31">
        <f t="shared" si="8"/>
        <v>-4.8043820786383753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34</v>
      </c>
      <c r="R9" s="42">
        <f t="shared" si="5"/>
        <v>38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Entry'!J11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0</v>
      </c>
      <c r="P11" s="42">
        <f t="shared" si="4"/>
        <v>25</v>
      </c>
      <c r="Q11" s="42">
        <f>(C$68*L68)-C11</f>
        <v>9</v>
      </c>
      <c r="R11" s="42">
        <f t="shared" si="5"/>
        <v>38</v>
      </c>
      <c r="S11" s="30">
        <f t="shared" si="6"/>
        <v>49248</v>
      </c>
      <c r="T11" s="30">
        <f t="shared" si="7"/>
        <v>35496</v>
      </c>
      <c r="U11" s="31">
        <f t="shared" si="8"/>
        <v>1.3874239350912778</v>
      </c>
    </row>
    <row r="12" spans="2:21" ht="18" customHeight="1">
      <c r="B12" s="32" t="str">
        <f>'Data Entry'!A12</f>
        <v>7. Cases Resulting in Delinquent Findings</v>
      </c>
      <c r="C12" s="33">
        <f>'Data Entry'!C12</f>
        <v>6</v>
      </c>
      <c r="D12" s="34">
        <f>IF(((AND(C69&gt;0,C12&gt;0))),(C12/(C69)),0)</f>
        <v>24</v>
      </c>
      <c r="E12" s="33">
        <f>'Data Entry'!J12</f>
        <v>1</v>
      </c>
      <c r="F12" s="34">
        <f>IF(((AND($D$69&gt;0,$E$12&gt;0))),(E12/(D69)),0)</f>
        <v>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3</v>
      </c>
      <c r="P12" s="42">
        <f t="shared" si="4"/>
        <v>6</v>
      </c>
      <c r="Q12" s="42">
        <f>(C69*L69)-C12</f>
        <v>19</v>
      </c>
      <c r="R12" s="42">
        <f t="shared" si="5"/>
        <v>29</v>
      </c>
      <c r="S12" s="30">
        <f t="shared" si="6"/>
        <v>29</v>
      </c>
      <c r="T12" s="30">
        <f t="shared" si="7"/>
        <v>15400</v>
      </c>
      <c r="U12" s="31">
        <f t="shared" si="8"/>
        <v>1.8831168831168832E-3</v>
      </c>
    </row>
    <row r="13" spans="2:21" ht="18" customHeight="1">
      <c r="B13" s="32" t="str">
        <f>'Data Entry'!A13</f>
        <v>8. Cases Resulting in Probation Placement</v>
      </c>
      <c r="C13" s="33">
        <f>'Data Entry'!C13</f>
        <v>12</v>
      </c>
      <c r="D13" s="34">
        <f>IF(((AND(C70&gt;0,C13&gt;0))),(C13/(C70)),0)</f>
        <v>200</v>
      </c>
      <c r="E13" s="33">
        <f>'Data Entry'!J13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12</v>
      </c>
      <c r="Q13" s="42">
        <f>(C70*L70)-C13</f>
        <v>-6</v>
      </c>
      <c r="R13" s="42">
        <f t="shared" si="5"/>
        <v>7</v>
      </c>
      <c r="S13" s="30">
        <f t="shared" si="6"/>
        <v>252</v>
      </c>
      <c r="T13" s="30">
        <f t="shared" si="7"/>
        <v>-468</v>
      </c>
      <c r="U13" s="31">
        <f t="shared" si="8"/>
        <v>-0.53846153846153844</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6</v>
      </c>
      <c r="R14" s="42">
        <f t="shared" si="5"/>
        <v>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25</v>
      </c>
      <c r="R15" s="42">
        <f t="shared" si="5"/>
        <v>29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0.2</v>
      </c>
      <c r="E42" s="56">
        <f>MAX(C42:D42)</f>
        <v>2.581</v>
      </c>
      <c r="G42" s="1" t="str">
        <f>B42</f>
        <v>per 1000 youth</v>
      </c>
      <c r="L42" s="57">
        <v>1000</v>
      </c>
      <c r="M42" s="57"/>
      <c r="R42" s="49"/>
    </row>
    <row r="43" spans="2:18" ht="15" hidden="1" customHeight="1">
      <c r="B43" s="49" t="s">
        <v>87</v>
      </c>
      <c r="C43" s="56">
        <f>C7/100</f>
        <v>0.22</v>
      </c>
      <c r="D43" s="56">
        <f>E7/100</f>
        <v>0.01</v>
      </c>
      <c r="E43" s="56">
        <f>MAX(C43:D43,0)</f>
        <v>0.22</v>
      </c>
      <c r="G43" s="1" t="str">
        <f>B43</f>
        <v>per 100 arrests</v>
      </c>
      <c r="L43" s="57">
        <v>100</v>
      </c>
      <c r="M43" s="57"/>
      <c r="R43" s="49"/>
    </row>
    <row r="44" spans="2:18" ht="15" hidden="1" customHeight="1">
      <c r="B44" s="49" t="s">
        <v>88</v>
      </c>
      <c r="C44" s="56">
        <f>C8/100</f>
        <v>0.34</v>
      </c>
      <c r="D44" s="56">
        <f>E8/100</f>
        <v>0.04</v>
      </c>
      <c r="E44" s="56">
        <f>MAX(C44:D44,0)</f>
        <v>0.34</v>
      </c>
      <c r="G44" s="1" t="str">
        <f>B44</f>
        <v>per 100 referrals</v>
      </c>
      <c r="L44" s="57">
        <v>100</v>
      </c>
      <c r="M44" s="57"/>
      <c r="R44" s="49"/>
    </row>
    <row r="45" spans="2:18" ht="15" hidden="1" customHeight="1">
      <c r="B45" s="49" t="s">
        <v>89</v>
      </c>
      <c r="C45" s="49">
        <f>C11/100</f>
        <v>0.25</v>
      </c>
      <c r="D45" s="49">
        <f>E11/100</f>
        <v>0.04</v>
      </c>
      <c r="E45" s="56">
        <f>MAX(C45:D45,0)</f>
        <v>0.25</v>
      </c>
      <c r="G45" s="1" t="str">
        <f>B45</f>
        <v>per 100 youth petitioned</v>
      </c>
      <c r="L45" s="57">
        <v>100</v>
      </c>
      <c r="M45" s="57"/>
      <c r="R45" s="49"/>
    </row>
    <row r="46" spans="2:18" ht="15" hidden="1" customHeight="1">
      <c r="B46" s="49" t="s">
        <v>90</v>
      </c>
      <c r="C46" s="49">
        <f>C12/100</f>
        <v>0.06</v>
      </c>
      <c r="D46" s="49">
        <f>E12/100</f>
        <v>0.01</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0.2</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0.01</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0.04</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0.04</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0.2</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0.01</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0.04</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0.04</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0.2</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0.01</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0.04</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0.04</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0.2</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0.01</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0.04</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0.04</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Huron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2781</v>
      </c>
      <c r="D3" s="57">
        <f>'Data Entry'!C6</f>
        <v>2581</v>
      </c>
      <c r="E3" s="57">
        <f>'Data Entry'!D6</f>
        <v>41</v>
      </c>
      <c r="F3" s="57">
        <f>'Data Entry'!E6</f>
        <v>126</v>
      </c>
      <c r="G3" s="57">
        <f>'Data Entry'!F6</f>
        <v>23</v>
      </c>
      <c r="H3" s="57">
        <f>'Data Entry'!G6</f>
        <v>0</v>
      </c>
      <c r="I3" s="57">
        <f>'Data Entry'!H6</f>
        <v>10</v>
      </c>
      <c r="J3" s="57">
        <f>'Data Entry'!I6</f>
        <v>0</v>
      </c>
      <c r="K3" s="57">
        <f>'Data Entry'!J6</f>
        <v>200</v>
      </c>
    </row>
    <row r="4" spans="2:11" ht="15" customHeight="1">
      <c r="B4" s="16" t="s">
        <v>8</v>
      </c>
      <c r="C4" s="1">
        <f>IF((C$3&gt;0),(1000*('Data Entry'!B7/'Data Entry'!B$6)), 0)</f>
        <v>8.9895720963682137</v>
      </c>
      <c r="D4" s="1">
        <f>IF((D$3&gt;0),(1000*('Data Entry'!C7/'Data Entry'!C$6)), 0)</f>
        <v>8.5238279736536224</v>
      </c>
      <c r="E4" s="1">
        <f>IF((E$3&gt;0),(1000*('Data Entry'!D7/'Data Entry'!D$6)), 0)</f>
        <v>24.390243902439025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v>
      </c>
    </row>
    <row r="5" spans="2:11" ht="15" customHeight="1">
      <c r="B5" s="16" t="s">
        <v>9</v>
      </c>
      <c r="C5" s="1">
        <f>IF((C$3&gt;0),(1000*('Data Entry'!B8/'Data Entry'!B$6)), 0)</f>
        <v>23.013304566702622</v>
      </c>
      <c r="D5" s="1">
        <f>IF((D$3&gt;0),(1000*('Data Entry'!C8/'Data Entry'!C$6)), 0)</f>
        <v>13.1731886865556</v>
      </c>
      <c r="E5" s="1">
        <f>IF((E$3&gt;0),(1000*('Data Entry'!D8/'Data Entry'!D$6)), 0)</f>
        <v>97.560975609756099</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15.102481121898599</v>
      </c>
      <c r="D8" s="1">
        <f>IF((D$3&gt;0),(1000*('Data Entry'!C11/'Data Entry'!C$6)), 0)</f>
        <v>9.6861681518791176</v>
      </c>
      <c r="E8" s="1">
        <f>IF((E$3&gt;0),(1000*('Data Entry'!D11/'Data Entry'!D$6)), 0)</f>
        <v>97.560975609756099</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v>
      </c>
    </row>
    <row r="9" spans="2:11" ht="15" customHeight="1">
      <c r="B9" s="16" t="s">
        <v>13</v>
      </c>
      <c r="C9" s="1">
        <f>IF((C$3&gt;0),(1000*('Data Entry'!B12/'Data Entry'!B$6)), 0)</f>
        <v>4.3149946062567421</v>
      </c>
      <c r="D9" s="1">
        <f>IF((D$3&gt;0),(1000*('Data Entry'!C12/'Data Entry'!C$6)), 0)</f>
        <v>2.3246803564509881</v>
      </c>
      <c r="E9" s="1">
        <f>IF((E$3&gt;0),(1000*('Data Entry'!D12/'Data Entry'!D$6)), 0)</f>
        <v>24.390243902439025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v>
      </c>
    </row>
    <row r="10" spans="2:11" ht="15" customHeight="1">
      <c r="B10" s="16" t="s">
        <v>14</v>
      </c>
      <c r="C10" s="1">
        <f>IF((C$3&gt;0),(1000*('Data Entry'!B13/'Data Entry'!B$6)), 0)</f>
        <v>10.427903631787126</v>
      </c>
      <c r="D10" s="1">
        <f>IF((D$3&gt;0),(1000*('Data Entry'!C13/'Data Entry'!C$6)), 0)</f>
        <v>4.6493607129019763</v>
      </c>
      <c r="E10" s="1">
        <f>IF((E$3&gt;0),(1000*('Data Entry'!D13/'Data Entry'!D$6)), 0)</f>
        <v>24.390243902439025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v>
      </c>
    </row>
    <row r="11" spans="2:11" ht="25.5" customHeight="1">
      <c r="B11" s="16" t="s">
        <v>15</v>
      </c>
      <c r="C11" s="1">
        <f>IF((C$3&gt;0),(1000*('Data Entry'!B14/'Data Entry'!B$6)), 0)</f>
        <v>0.71916576770945695</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Huron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2.8614190687361418</v>
      </c>
      <c r="E19" s="72" t="str">
        <f t="shared" si="1"/>
        <v>--</v>
      </c>
      <c r="F19" s="72" t="str">
        <f t="shared" si="1"/>
        <v>--</v>
      </c>
      <c r="G19" s="72" t="str">
        <f t="shared" si="1"/>
        <v>--</v>
      </c>
      <c r="H19" s="72" t="str">
        <f t="shared" si="1"/>
        <v>--</v>
      </c>
      <c r="I19" s="72" t="str">
        <f t="shared" si="1"/>
        <v>--</v>
      </c>
      <c r="J19" s="73">
        <f t="shared" si="1"/>
        <v>0.58659090909090905</v>
      </c>
    </row>
    <row r="20" spans="2:10" ht="15" customHeight="1">
      <c r="B20" s="71" t="s">
        <v>9</v>
      </c>
      <c r="C20" s="72">
        <f t="shared" ref="C20:J27" si="2">IF(AND(($D5&gt;0),(D5&gt;0)), (D5/$D5),"--")</f>
        <v>1</v>
      </c>
      <c r="D20" s="72">
        <f t="shared" si="2"/>
        <v>7.4060258249641313</v>
      </c>
      <c r="E20" s="72" t="str">
        <f t="shared" si="2"/>
        <v>--</v>
      </c>
      <c r="F20" s="72" t="str">
        <f t="shared" si="2"/>
        <v>--</v>
      </c>
      <c r="G20" s="72" t="str">
        <f t="shared" si="2"/>
        <v>--</v>
      </c>
      <c r="H20" s="72" t="str">
        <f t="shared" si="2"/>
        <v>--</v>
      </c>
      <c r="I20" s="72" t="str">
        <f t="shared" si="2"/>
        <v>--</v>
      </c>
      <c r="J20" s="73">
        <f t="shared" si="2"/>
        <v>1.5182352941176469</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10.072195121951218</v>
      </c>
      <c r="E23" s="72" t="str">
        <f t="shared" si="2"/>
        <v>--</v>
      </c>
      <c r="F23" s="72" t="str">
        <f t="shared" si="2"/>
        <v>--</v>
      </c>
      <c r="G23" s="72" t="str">
        <f t="shared" si="2"/>
        <v>--</v>
      </c>
      <c r="H23" s="72" t="str">
        <f t="shared" si="2"/>
        <v>--</v>
      </c>
      <c r="I23" s="72" t="str">
        <f t="shared" si="2"/>
        <v>--</v>
      </c>
      <c r="J23" s="73">
        <f t="shared" si="2"/>
        <v>2.0648</v>
      </c>
    </row>
    <row r="24" spans="2:10" ht="15" customHeight="1">
      <c r="B24" s="71" t="s">
        <v>13</v>
      </c>
      <c r="C24" s="72">
        <f t="shared" si="2"/>
        <v>1</v>
      </c>
      <c r="D24" s="72">
        <f t="shared" si="2"/>
        <v>10.491869918699187</v>
      </c>
      <c r="E24" s="72" t="str">
        <f t="shared" si="2"/>
        <v>--</v>
      </c>
      <c r="F24" s="72" t="str">
        <f t="shared" si="2"/>
        <v>--</v>
      </c>
      <c r="G24" s="72" t="str">
        <f t="shared" si="2"/>
        <v>--</v>
      </c>
      <c r="H24" s="72" t="str">
        <f t="shared" si="2"/>
        <v>--</v>
      </c>
      <c r="I24" s="72" t="str">
        <f t="shared" si="2"/>
        <v>--</v>
      </c>
      <c r="J24" s="73">
        <f t="shared" si="2"/>
        <v>2.1508333333333334</v>
      </c>
    </row>
    <row r="25" spans="2:10" ht="15" customHeight="1">
      <c r="B25" s="71" t="s">
        <v>14</v>
      </c>
      <c r="C25" s="72">
        <f t="shared" si="2"/>
        <v>1</v>
      </c>
      <c r="D25" s="72">
        <f t="shared" si="2"/>
        <v>5.2459349593495936</v>
      </c>
      <c r="E25" s="72" t="str">
        <f t="shared" si="2"/>
        <v>--</v>
      </c>
      <c r="F25" s="72" t="str">
        <f t="shared" si="2"/>
        <v>--</v>
      </c>
      <c r="G25" s="72" t="str">
        <f t="shared" si="2"/>
        <v>--</v>
      </c>
      <c r="H25" s="72" t="str">
        <f t="shared" si="2"/>
        <v>--</v>
      </c>
      <c r="I25" s="72" t="str">
        <f t="shared" si="2"/>
        <v>--</v>
      </c>
      <c r="J25" s="73">
        <f t="shared" si="2"/>
        <v>1.0754166666666667</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Huron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2581</v>
      </c>
      <c r="D7" s="104">
        <f>'Data Entry'!D6</f>
        <v>41</v>
      </c>
      <c r="E7" s="105"/>
      <c r="F7" s="106">
        <f>'Data Entry'!E6</f>
        <v>126</v>
      </c>
      <c r="G7" s="105"/>
      <c r="H7" s="106">
        <f>'Data Entry'!F6</f>
        <v>23</v>
      </c>
      <c r="I7" s="105"/>
      <c r="J7" s="106">
        <f>'Data Entry'!G6</f>
        <v>0</v>
      </c>
      <c r="K7" s="105"/>
      <c r="L7" s="106">
        <f>'Data Entry'!H6</f>
        <v>10</v>
      </c>
      <c r="M7" s="105"/>
      <c r="N7" s="106">
        <f>'Data Entry'!I6</f>
        <v>0</v>
      </c>
      <c r="O7" s="105"/>
      <c r="P7" s="106">
        <f>'Data Entry'!J6</f>
        <v>200</v>
      </c>
      <c r="Q7" s="107"/>
    </row>
    <row r="8" spans="2:26" s="1" customFormat="1" ht="15" customHeight="1">
      <c r="B8" s="142" t="s">
        <v>8</v>
      </c>
      <c r="C8" s="103">
        <f>'Data Entry'!C7</f>
        <v>22</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34</v>
      </c>
      <c r="D9" s="108">
        <f>'Data Entry'!D8</f>
        <v>4</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4</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25</v>
      </c>
      <c r="D12" s="112">
        <f>'Data Entry'!D11</f>
        <v>4</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4</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6</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12</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Huron</v>
      </c>
    </row>
    <row r="6" spans="1:12">
      <c r="A6" s="135" t="str">
        <f>CONCATENATE("Percentage of Minorities at Stages of the Juvenile Justice System, ", A5, " 2022")</f>
        <v>Percentage of Minorities at Stages of the Juvenile Justice System, County: Huron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12.904999999999999</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N=2</v>
      </c>
      <c r="L8">
        <f>I14/(SUM(B14:G14))</f>
        <v>12.904999999999999</v>
      </c>
    </row>
    <row r="9" spans="1:12">
      <c r="A9" s="128" t="str">
        <f>CONCATENATE("Delinquent Findings, total N=", 'Data Entry'!B12)</f>
        <v>Delinquent Findings, total N=12</v>
      </c>
      <c r="B9" s="150">
        <f>'Data Entry'!D12/'Data Entry'!B12</f>
        <v>8.3333333333333329E-2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v>
      </c>
      <c r="K9" s="96" t="str">
        <f t="shared" si="0"/>
        <v>Delinquent Findings, total N=12</v>
      </c>
      <c r="L9">
        <f>I14/(SUM(B14:G14))</f>
        <v>12.904999999999999</v>
      </c>
    </row>
    <row r="10" spans="1:12">
      <c r="A10" s="128" t="str">
        <f>CONCATENATE("Petitions, total N=", 'Data Entry'!B11)</f>
        <v>Petitions, total N=42</v>
      </c>
      <c r="B10" s="150">
        <f>'Data Entry'!D11/'Data Entry'!B11</f>
        <v>9.5238095238095233E-2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0.59523809523809523</v>
      </c>
      <c r="K10" s="96" t="str">
        <f t="shared" si="0"/>
        <v>Petitions, total N=42</v>
      </c>
      <c r="L10">
        <f>I14/(SUM(B14:G14))</f>
        <v>12.904999999999999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12.904999999999999</v>
      </c>
    </row>
    <row r="12" spans="1:12">
      <c r="A12" s="128" t="str">
        <f>CONCATENATE("Referrals, total N=", 'Data Entry'!B8)</f>
        <v>Referrals, total N=64</v>
      </c>
      <c r="B12" s="150">
        <f>'Data Entry'!D8/'Data Entry'!B8</f>
        <v>6.25E-2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0.53125</v>
      </c>
      <c r="K12" s="96" t="str">
        <f t="shared" si="0"/>
        <v>Referrals, total N=64</v>
      </c>
      <c r="L12">
        <f>I14/(SUM(B14:G14))</f>
        <v>12.904999999999999</v>
      </c>
    </row>
    <row r="13" spans="1:12">
      <c r="A13" s="128" t="str">
        <f>CONCATENATE("Arrests, total N=", 'Data Entry'!B7)</f>
        <v>Arrests, total N=25</v>
      </c>
      <c r="B13" s="150">
        <f>'Data Entry'!D7/'Data Entry'!B7</f>
        <v>0.04</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0.88</v>
      </c>
      <c r="K13" s="96" t="str">
        <f t="shared" si="0"/>
        <v>Arrests, total N=25</v>
      </c>
      <c r="L13">
        <f>I14/(SUM(B14:G14))</f>
        <v>12.904999999999999</v>
      </c>
    </row>
    <row r="14" spans="1:12">
      <c r="A14" s="128" t="str">
        <f>CONCATENATE("Population, total N=", 'Data Entry'!B6)</f>
        <v>Population, total N=2781</v>
      </c>
      <c r="B14" s="150">
        <f>'Data Entry'!D6/'Data Entry'!B6</f>
        <v>1.4742898238043868E-2</v>
      </c>
      <c r="C14" s="150">
        <f>'Data Entry'!E6/'Data Entry'!B6</f>
        <v>4.5307443365695796E-2</v>
      </c>
      <c r="D14" s="150">
        <f>'Data Entry'!F6/'Data Entry'!B6</f>
        <v>8.2704063286587557E-3</v>
      </c>
      <c r="E14" s="150">
        <f>'Data Entry'!G6/'Data Entry'!B6</f>
        <v>0</v>
      </c>
      <c r="F14" s="150">
        <f>'Data Entry'!H6/'Data Entry'!B6</f>
        <v>3.5958288385472851E-3</v>
      </c>
      <c r="G14" s="150">
        <f>'Data Entry'!I6/'Data Entry'!B6</f>
        <v>0</v>
      </c>
      <c r="H14" s="150">
        <f>SUM(D14:G14)/'Data Entry'!B6</f>
        <v>4.2668950619223447E-6</v>
      </c>
      <c r="I14" s="150">
        <f>'Data Entry'!C6/'Data Entry'!B6</f>
        <v>0.92808342322905435</v>
      </c>
      <c r="K14" s="96" t="str">
        <f t="shared" si="0"/>
        <v>Population, total N=2781</v>
      </c>
      <c r="L14">
        <f>I14/(SUM(B14:G14))</f>
        <v>12.904999999999999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Huron</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2581</v>
      </c>
      <c r="D7" s="104">
        <f>'Data Entry'!D6</f>
        <v>41</v>
      </c>
      <c r="E7" s="105"/>
      <c r="F7" s="106">
        <f>'Data Entry'!E6</f>
        <v>126</v>
      </c>
      <c r="G7" s="105"/>
      <c r="H7" s="106">
        <f>'Data Entry'!F6</f>
        <v>23</v>
      </c>
      <c r="I7" s="105"/>
      <c r="J7" s="106">
        <f>'Data Entry'!J6</f>
        <v>200</v>
      </c>
      <c r="K7" s="107"/>
    </row>
    <row r="8" spans="2:30" s="1" customFormat="1" ht="15" customHeight="1">
      <c r="B8" s="121" t="s">
        <v>8</v>
      </c>
      <c r="C8" s="103">
        <f>'Data Entry'!C7</f>
        <v>22</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34</v>
      </c>
      <c r="D9" s="108">
        <f>'Data Entry'!D8</f>
        <v>4</v>
      </c>
      <c r="E9" s="109" t="str">
        <f>'Black or African-American'!$G8</f>
        <v>**</v>
      </c>
      <c r="F9" s="110">
        <f>'Data Entry'!E8</f>
        <v>0</v>
      </c>
      <c r="G9" s="109" t="str">
        <f>Hispanic!G8</f>
        <v>**</v>
      </c>
      <c r="H9" s="110">
        <f>'Data Entry'!F8</f>
        <v>0</v>
      </c>
      <c r="I9" s="109" t="str">
        <f>Asian!G8</f>
        <v>*</v>
      </c>
      <c r="J9" s="110">
        <f>'Data Entry'!J8</f>
        <v>4</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25</v>
      </c>
      <c r="D12" s="112">
        <f>'Data Entry'!D11</f>
        <v>4</v>
      </c>
      <c r="E12" s="113" t="str">
        <f>'Black or African-American'!$G11</f>
        <v>**</v>
      </c>
      <c r="F12" s="114">
        <f>'Data Entry'!E11</f>
        <v>0</v>
      </c>
      <c r="G12" s="113" t="str">
        <f>Hispanic!G11</f>
        <v>--</v>
      </c>
      <c r="H12" s="114">
        <f>'Data Entry'!F11</f>
        <v>0</v>
      </c>
      <c r="I12" s="113" t="str">
        <f>Asian!G11</f>
        <v>*</v>
      </c>
      <c r="J12" s="114">
        <f>'Data Entry'!J11</f>
        <v>4</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6</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12</v>
      </c>
      <c r="D14" s="112">
        <f>'Data Entry'!D13</f>
        <v>1</v>
      </c>
      <c r="E14" s="113" t="str">
        <f>'Black or African-American'!$G13</f>
        <v>**</v>
      </c>
      <c r="F14" s="114">
        <f>'Data Entry'!E13</f>
        <v>0</v>
      </c>
      <c r="G14" s="113" t="str">
        <f>Hispanic!G13</f>
        <v>--</v>
      </c>
      <c r="H14" s="114">
        <f>'Data Entry'!F13</f>
        <v>0</v>
      </c>
      <c r="I14" s="113" t="str">
        <f>Asian!G13</f>
        <v>*</v>
      </c>
      <c r="J14" s="114">
        <f>'Data Entry'!J13</f>
        <v>1</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Entry'!D6</f>
        <v>41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Entry'!D7</f>
        <v>1</v>
      </c>
      <c r="F7" s="34">
        <f>IF((AND($E$7&gt;0,$D$66&gt;0)),($E$7/$D$66),0)</f>
        <v>24.390243902439025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40</v>
      </c>
      <c r="P7" s="42">
        <f t="shared" ref="P7:P15" si="2">C7</f>
        <v>22</v>
      </c>
      <c r="Q7" s="42">
        <f>C6-C7</f>
        <v>2559</v>
      </c>
      <c r="R7" s="42">
        <f t="shared" ref="R7:R15" si="3">SUM(N7:Q7)</f>
        <v>2622</v>
      </c>
      <c r="S7" s="30">
        <f t="shared" ref="S7:S15" si="4">R7*((((N7*Q7)-(O7*P7))^2))</f>
        <v>7391525502</v>
      </c>
      <c r="T7" s="30">
        <f t="shared" ref="T7:T15" si="5">(N7+O7)*(P7+Q7)*(N7+P7)*(O7+Q7)</f>
        <v>6325661917</v>
      </c>
      <c r="U7" s="31">
        <f t="shared" ref="U7:U15" si="6">IF((S7&gt;0),S7/T7,"- -")</f>
        <v>1.1684983483128506</v>
      </c>
    </row>
    <row r="8" spans="2:21" ht="18" customHeight="1">
      <c r="B8" s="32" t="str">
        <f>'Data Entry'!A8</f>
        <v>3. Refer to Juvenile Court</v>
      </c>
      <c r="C8" s="33">
        <f>'Data Entry'!C8</f>
        <v>34</v>
      </c>
      <c r="D8" s="34">
        <f>IF((AND(C67&gt;0,C8&gt;0)),(C8/C67),0)</f>
        <v>154.54545454545453</v>
      </c>
      <c r="E8" s="33">
        <f>'Data Entry'!D8</f>
        <v>4</v>
      </c>
      <c r="F8" s="34">
        <f>IF((AND($E$8&gt;0,$D$67&gt;0)),($E8/$D67),0)</f>
        <v>400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4</v>
      </c>
      <c r="O8" s="42">
        <f>((D67*L67)-E8)+0.05</f>
        <v>-2.95</v>
      </c>
      <c r="P8" s="42">
        <f t="shared" si="2"/>
        <v>34</v>
      </c>
      <c r="Q8" s="42">
        <f>(C$67*L67)-C8</f>
        <v>-12</v>
      </c>
      <c r="R8" s="42">
        <f t="shared" si="3"/>
        <v>23.049999999999997</v>
      </c>
      <c r="S8" s="30">
        <f t="shared" si="4"/>
        <v>63048.434500000025</v>
      </c>
      <c r="T8" s="30">
        <f t="shared" si="5"/>
        <v>-13123.109999999995</v>
      </c>
      <c r="U8" s="31">
        <f t="shared" si="6"/>
        <v>-4.8043820786383753</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34</v>
      </c>
      <c r="R9" s="42">
        <f t="shared" si="3"/>
        <v>38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v>
      </c>
      <c r="P10" s="42">
        <f t="shared" si="2"/>
        <v>0</v>
      </c>
      <c r="Q10" s="42">
        <f>(C$68*L68)-C10</f>
        <v>34</v>
      </c>
      <c r="R10" s="42">
        <f t="shared" si="3"/>
        <v>38</v>
      </c>
      <c r="S10" s="30">
        <f t="shared" si="4"/>
        <v>0</v>
      </c>
      <c r="T10" s="30">
        <f t="shared" si="5"/>
        <v>0</v>
      </c>
      <c r="U10" s="31" t="str">
        <f t="shared" si="6"/>
        <v>- -</v>
      </c>
    </row>
    <row r="11" spans="2:21" ht="18" customHeight="1">
      <c r="B11" s="32" t="str">
        <f>'Data Entry'!A11</f>
        <v>6. Cases Petitioned (Charge Filed)</v>
      </c>
      <c r="C11" s="33">
        <f>'Data Entry'!C11</f>
        <v>25</v>
      </c>
      <c r="D11" s="34">
        <f>IF(((AND(C68&gt;0,C11&gt;0))),(C11/(C68)),0)</f>
        <v>73.529411764705884</v>
      </c>
      <c r="E11" s="33">
        <f>'Data Entry'!D11</f>
        <v>4</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0</v>
      </c>
      <c r="P11" s="42">
        <f t="shared" si="2"/>
        <v>25</v>
      </c>
      <c r="Q11" s="42">
        <f>(C$68*L68)-C11</f>
        <v>9</v>
      </c>
      <c r="R11" s="42">
        <f t="shared" si="3"/>
        <v>38</v>
      </c>
      <c r="S11" s="30">
        <f t="shared" si="4"/>
        <v>49248</v>
      </c>
      <c r="T11" s="30">
        <f t="shared" si="5"/>
        <v>35496</v>
      </c>
      <c r="U11" s="31">
        <f t="shared" si="6"/>
        <v>1.3874239350912778</v>
      </c>
    </row>
    <row r="12" spans="2:21" ht="18" customHeight="1">
      <c r="B12" s="32" t="str">
        <f>'Data Entry'!A12</f>
        <v>7. Cases Resulting in Delinquent Findings</v>
      </c>
      <c r="C12" s="33">
        <f>'Data Entry'!C12</f>
        <v>6</v>
      </c>
      <c r="D12" s="34">
        <f>IF(((AND(C69&gt;0,C12&gt;0))),(C12/(C69)),0)</f>
        <v>24</v>
      </c>
      <c r="E12" s="33">
        <f>'Data Entry'!D12</f>
        <v>1</v>
      </c>
      <c r="F12" s="34">
        <f>IF(((AND($D$69&gt;0,$E$12&gt;0))),(E12/(D69)),0)</f>
        <v>25</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3</v>
      </c>
      <c r="P12" s="42">
        <f t="shared" si="2"/>
        <v>6</v>
      </c>
      <c r="Q12" s="42">
        <f>(C69*L69)-C12</f>
        <v>19</v>
      </c>
      <c r="R12" s="42">
        <f t="shared" si="3"/>
        <v>29</v>
      </c>
      <c r="S12" s="30">
        <f t="shared" si="4"/>
        <v>29</v>
      </c>
      <c r="T12" s="30">
        <f t="shared" si="5"/>
        <v>15400</v>
      </c>
      <c r="U12" s="31">
        <f t="shared" si="6"/>
        <v>1.8831168831168832E-3</v>
      </c>
    </row>
    <row r="13" spans="2:21" ht="18" customHeight="1">
      <c r="B13" s="32" t="str">
        <f>'Data Entry'!A13</f>
        <v>8. Cases Resulting in Probation Placement</v>
      </c>
      <c r="C13" s="33">
        <f>'Data Entry'!C13</f>
        <v>12</v>
      </c>
      <c r="D13" s="34">
        <f>IF(((AND(C70&gt;0,C13&gt;0))),(C13/(C70)),0)</f>
        <v>200</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0</v>
      </c>
      <c r="P13" s="42">
        <f t="shared" si="2"/>
        <v>12</v>
      </c>
      <c r="Q13" s="42">
        <f>(C70*L70)-C13</f>
        <v>-6</v>
      </c>
      <c r="R13" s="42">
        <f t="shared" si="3"/>
        <v>7</v>
      </c>
      <c r="S13" s="30">
        <f t="shared" si="4"/>
        <v>252</v>
      </c>
      <c r="T13" s="30">
        <f t="shared" si="5"/>
        <v>-468</v>
      </c>
      <c r="U13" s="31">
        <f t="shared" si="6"/>
        <v>-0.53846153846153844</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6</v>
      </c>
      <c r="R14" s="42">
        <f t="shared" si="3"/>
        <v>7</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25</v>
      </c>
      <c r="R15" s="42">
        <f t="shared" si="3"/>
        <v>29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4.1000000000000002E-2</v>
      </c>
      <c r="E42" s="56">
        <f>MAX(C42:D42)</f>
        <v>2.581</v>
      </c>
      <c r="G42" s="1" t="str">
        <f>B42</f>
        <v>per 1000 youth</v>
      </c>
      <c r="L42" s="57">
        <v>1000</v>
      </c>
      <c r="M42" s="57"/>
      <c r="R42" s="49"/>
    </row>
    <row r="43" spans="2:18" ht="15" hidden="1" customHeight="1">
      <c r="B43" s="49" t="s">
        <v>87</v>
      </c>
      <c r="C43" s="56">
        <f>C7/100</f>
        <v>0.22</v>
      </c>
      <c r="D43" s="56">
        <f>E7/100</f>
        <v>0.01</v>
      </c>
      <c r="E43" s="56">
        <f>MAX(C43:D43,0)</f>
        <v>0.22</v>
      </c>
      <c r="G43" s="1" t="str">
        <f>B43</f>
        <v>per 100 arrests</v>
      </c>
      <c r="L43" s="57">
        <v>100</v>
      </c>
      <c r="M43" s="57"/>
      <c r="R43" s="49"/>
    </row>
    <row r="44" spans="2:18" ht="15" hidden="1" customHeight="1">
      <c r="B44" s="49" t="s">
        <v>88</v>
      </c>
      <c r="C44" s="56">
        <f>C8/100</f>
        <v>0.34</v>
      </c>
      <c r="D44" s="56">
        <f>E8/100</f>
        <v>0.04</v>
      </c>
      <c r="E44" s="56">
        <f>MAX(C44:D44,0)</f>
        <v>0.34</v>
      </c>
      <c r="G44" s="1" t="str">
        <f>B44</f>
        <v>per 100 referrals</v>
      </c>
      <c r="L44" s="57">
        <v>100</v>
      </c>
      <c r="M44" s="57"/>
      <c r="R44" s="49"/>
    </row>
    <row r="45" spans="2:18" ht="15" hidden="1" customHeight="1">
      <c r="B45" s="49" t="s">
        <v>89</v>
      </c>
      <c r="C45" s="49">
        <f>C11/100</f>
        <v>0.25</v>
      </c>
      <c r="D45" s="49">
        <f>E11/100</f>
        <v>0.04</v>
      </c>
      <c r="E45" s="56">
        <f>MAX(C45:D45,0)</f>
        <v>0.25</v>
      </c>
      <c r="G45" s="1" t="str">
        <f>B45</f>
        <v>per 100 youth petitioned</v>
      </c>
      <c r="L45" s="57">
        <v>100</v>
      </c>
      <c r="M45" s="57"/>
      <c r="R45" s="49"/>
    </row>
    <row r="46" spans="2:18" ht="15" hidden="1" customHeight="1">
      <c r="B46" s="49" t="s">
        <v>90</v>
      </c>
      <c r="C46" s="49">
        <f>C12/100</f>
        <v>0.06</v>
      </c>
      <c r="D46" s="49">
        <f>E12/100</f>
        <v>0.01</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4.1000000000000002E-2</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0.22</v>
      </c>
      <c r="D49" s="49">
        <f t="shared" si="9"/>
        <v>0.01</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0.04</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0.04</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4.1000000000000002E-2</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0.01</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0.04</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0.04</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4.1000000000000002E-2</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0.01</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0.04</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0.04</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4.1000000000000002E-2</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0.01</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0.04</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0.04</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Entry'!F6</f>
        <v>23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23</v>
      </c>
      <c r="P7" s="42">
        <f t="shared" ref="P7:P15" si="4">C7</f>
        <v>22</v>
      </c>
      <c r="Q7" s="42">
        <f>C6-C7</f>
        <v>2559</v>
      </c>
      <c r="R7" s="42">
        <f t="shared" ref="R7:R15" si="5">SUM(N7:Q7)</f>
        <v>2604</v>
      </c>
      <c r="S7" s="30">
        <f t="shared" ref="S7:S15" si="6">R7*((((N7*Q7)-(O7*P7))^2))</f>
        <v>666717744</v>
      </c>
      <c r="T7" s="30">
        <f t="shared" ref="T7:T15" si="7">(N7+O7)*(P7+Q7)*(N7+P7)*(O7+Q7)</f>
        <v>3372055852</v>
      </c>
      <c r="U7" s="31">
        <f t="shared" ref="U7:U15" si="8">IF((S7&gt;0),S7/T7,"- -")</f>
        <v>0.19771847598685621</v>
      </c>
    </row>
    <row r="8" spans="2:21" ht="18" customHeight="1">
      <c r="B8" s="32" t="str">
        <f>'Data Entry'!A8</f>
        <v>3. Refer to Juvenile Court</v>
      </c>
      <c r="C8" s="33">
        <f>'Data Entry'!C8</f>
        <v>34</v>
      </c>
      <c r="D8" s="34">
        <f>IF((AND(C67&gt;0,C8&gt;0)),(C8/C67),0)</f>
        <v>154.54545454545453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-12</v>
      </c>
      <c r="R8" s="42">
        <f t="shared" si="5"/>
        <v>22.049999999999997</v>
      </c>
      <c r="S8" s="30">
        <f t="shared" si="6"/>
        <v>63.724500000000006</v>
      </c>
      <c r="T8" s="30">
        <f t="shared" si="7"/>
        <v>-446.93000000000006</v>
      </c>
      <c r="U8" s="31">
        <f t="shared" si="8"/>
        <v>-0.14258273107645492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9</v>
      </c>
      <c r="R11" s="42">
        <f t="shared" si="5"/>
        <v>34</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200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2.3E-2</v>
      </c>
      <c r="E42" s="56">
        <f>MAX(C42:D42)</f>
        <v>2.581</v>
      </c>
      <c r="G42" s="1" t="str">
        <f>B42</f>
        <v>per 1000 youth</v>
      </c>
      <c r="L42" s="57">
        <v>1000</v>
      </c>
      <c r="M42" s="57"/>
      <c r="R42" s="49"/>
    </row>
    <row r="43" spans="2:18" ht="15" hidden="1" customHeight="1">
      <c r="B43" s="49" t="s">
        <v>87</v>
      </c>
      <c r="C43" s="56">
        <f>C7/100</f>
        <v>0.22</v>
      </c>
      <c r="D43" s="56">
        <f>E7/100</f>
        <v>0</v>
      </c>
      <c r="E43" s="56">
        <f>MAX(C43:D43,0)</f>
        <v>0.22</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2.3E-2</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2.3E-2</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2.3E-2</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2.3E-2</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Entry'!E6</f>
        <v>126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126</v>
      </c>
      <c r="P7" s="42">
        <f t="shared" ref="P7:P15" si="4">C7</f>
        <v>22</v>
      </c>
      <c r="Q7" s="42">
        <f>C6-C7</f>
        <v>2559</v>
      </c>
      <c r="R7" s="42">
        <f t="shared" ref="R7:R15" si="5">SUM(N7:Q7)</f>
        <v>2707</v>
      </c>
      <c r="S7" s="30">
        <f t="shared" ref="S7:S15" si="6">R7*((((N7*Q7)-(O7*P7))^2))</f>
        <v>20800544688</v>
      </c>
      <c r="T7" s="30">
        <f t="shared" ref="T7:T15" si="7">(N7+O7)*(P7+Q7)*(N7+P7)*(O7+Q7)</f>
        <v>19209918420</v>
      </c>
      <c r="U7" s="31">
        <f t="shared" ref="U7:U15" si="8">IF((S7&gt;0),S7/T7,"- -")</f>
        <v>1.0828023437280168</v>
      </c>
    </row>
    <row r="8" spans="2:21" ht="18" customHeight="1">
      <c r="B8" s="32" t="str">
        <f>'Data Entry'!A8</f>
        <v>3. Refer to Juvenile Court</v>
      </c>
      <c r="C8" s="33">
        <f>'Data Entry'!C8</f>
        <v>34</v>
      </c>
      <c r="D8" s="34">
        <f>IF((AND(C67&gt;0,C8&gt;0)),(C8/C67),0)</f>
        <v>154.54545454545453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34</v>
      </c>
      <c r="Q8" s="42">
        <f>(C$67*L67)-C8</f>
        <v>-12</v>
      </c>
      <c r="R8" s="42">
        <f t="shared" si="5"/>
        <v>22.049999999999997</v>
      </c>
      <c r="S8" s="30">
        <f t="shared" si="6"/>
        <v>63.724500000000006</v>
      </c>
      <c r="T8" s="30">
        <f t="shared" si="7"/>
        <v>-446.93000000000006</v>
      </c>
      <c r="U8" s="31">
        <f t="shared" si="8"/>
        <v>-0.14258273107645492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9</v>
      </c>
      <c r="R11" s="42">
        <f t="shared" si="5"/>
        <v>34</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200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0.126</v>
      </c>
      <c r="E42" s="56">
        <f>MAX(C42:D42)</f>
        <v>2.581</v>
      </c>
      <c r="G42" s="1" t="str">
        <f>B42</f>
        <v>per 1000 youth</v>
      </c>
      <c r="L42" s="57">
        <v>1000</v>
      </c>
      <c r="M42" s="57"/>
      <c r="R42" s="49"/>
    </row>
    <row r="43" spans="2:18" ht="15" hidden="1" customHeight="1">
      <c r="B43" s="49" t="s">
        <v>87</v>
      </c>
      <c r="C43" s="56">
        <f>C7/100</f>
        <v>0.22</v>
      </c>
      <c r="D43" s="56">
        <f>E7/100</f>
        <v>0</v>
      </c>
      <c r="E43" s="56">
        <f>MAX(C43:D43,0)</f>
        <v>0.22</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0.126</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0.126</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0.126</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0.126</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22</v>
      </c>
      <c r="Q7" s="42">
        <f>C6-C7</f>
        <v>2559</v>
      </c>
      <c r="R7" s="42">
        <f t="shared" ref="R7:R15" si="5">SUM(N7:Q7)</f>
        <v>2581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34</v>
      </c>
      <c r="D8" s="34">
        <f>IF((AND(C67&gt;0,C8&gt;0)),(C8/C67),0)</f>
        <v>154.54545454545453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-12</v>
      </c>
      <c r="R8" s="42">
        <f t="shared" si="5"/>
        <v>22.049999999999997</v>
      </c>
      <c r="S8" s="30">
        <f t="shared" si="6"/>
        <v>63.724500000000006</v>
      </c>
      <c r="T8" s="30">
        <f t="shared" si="7"/>
        <v>-446.93000000000006</v>
      </c>
      <c r="U8" s="31">
        <f t="shared" si="8"/>
        <v>-0.14258273107645492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9</v>
      </c>
      <c r="R11" s="42">
        <f t="shared" si="5"/>
        <v>34</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200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0</v>
      </c>
      <c r="E42" s="56">
        <f>MAX(C42:D42)</f>
        <v>2.581</v>
      </c>
      <c r="G42" s="1" t="str">
        <f>B42</f>
        <v>per 1000 youth</v>
      </c>
      <c r="L42" s="57">
        <v>1000</v>
      </c>
      <c r="M42" s="57"/>
      <c r="R42" s="49"/>
    </row>
    <row r="43" spans="2:18" ht="15" hidden="1" customHeight="1">
      <c r="B43" s="49" t="s">
        <v>87</v>
      </c>
      <c r="C43" s="56">
        <f>C7/100</f>
        <v>0.22</v>
      </c>
      <c r="D43" s="56">
        <f>E7/100</f>
        <v>0</v>
      </c>
      <c r="E43" s="56">
        <f>MAX(C43:D43,0)</f>
        <v>0.22</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0</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0</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0</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0</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2581</v>
      </c>
      <c r="D6" s="34"/>
      <c r="E6" s="33">
        <f>'Data Entry'!H6</f>
        <v>10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22</v>
      </c>
      <c r="D7" s="34">
        <f>IF((AND(C66&gt;0,C7&gt;0)),(C7/C66),0)</f>
        <v>8.5238279736536224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22</v>
      </c>
      <c r="Q7" s="42">
        <f>C6-C7</f>
        <v>2559</v>
      </c>
      <c r="R7" s="42">
        <f t="shared" ref="R7:R15" si="5">SUM(N7:Q7)</f>
        <v>2591</v>
      </c>
      <c r="S7" s="30">
        <f t="shared" ref="S7:S15" si="6">R7*((((N7*Q7)-(O7*P7))^2))</f>
        <v>125404400</v>
      </c>
      <c r="T7" s="30">
        <f t="shared" ref="T7:T15" si="7">(N7+O7)*(P7+Q7)*(N7+P7)*(O7+Q7)</f>
        <v>1458729580</v>
      </c>
      <c r="U7" s="31">
        <f t="shared" ref="U7:U15" si="8">IF((S7&gt;0),S7/T7,"- -")</f>
        <v>8.5968229971726498E-2</v>
      </c>
    </row>
    <row r="8" spans="2:21" ht="18" customHeight="1">
      <c r="B8" s="32" t="str">
        <f>'Data Entry'!A8</f>
        <v>3. Refer to Juvenile Court</v>
      </c>
      <c r="C8" s="33">
        <f>'Data Entry'!C8</f>
        <v>34</v>
      </c>
      <c r="D8" s="34">
        <f>IF((AND(C67&gt;0,C8&gt;0)),(C8/C67),0)</f>
        <v>154.54545454545453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34</v>
      </c>
      <c r="Q8" s="42">
        <f>(C$67*L67)-C8</f>
        <v>-12</v>
      </c>
      <c r="R8" s="42">
        <f t="shared" si="5"/>
        <v>22.049999999999997</v>
      </c>
      <c r="S8" s="30">
        <f t="shared" si="6"/>
        <v>63.724500000000006</v>
      </c>
      <c r="T8" s="30">
        <f t="shared" si="7"/>
        <v>-446.93000000000006</v>
      </c>
      <c r="U8" s="31">
        <f t="shared" si="8"/>
        <v>-0.14258273107645492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73.529411764705884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9</v>
      </c>
      <c r="R11" s="42">
        <f t="shared" si="5"/>
        <v>34</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12</v>
      </c>
      <c r="D13" s="34">
        <f>IF(((AND(C70&gt;0,C13&gt;0))),(C13/(C70)),0)</f>
        <v>200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2.581</v>
      </c>
      <c r="D42" s="56">
        <f>E6/1000</f>
        <v>0.01</v>
      </c>
      <c r="E42" s="56">
        <f>MAX(C42:D42)</f>
        <v>2.581</v>
      </c>
      <c r="G42" s="1" t="str">
        <f>B42</f>
        <v>per 1000 youth</v>
      </c>
      <c r="L42" s="57">
        <v>1000</v>
      </c>
      <c r="M42" s="57"/>
      <c r="R42" s="49"/>
    </row>
    <row r="43" spans="2:18" ht="15" hidden="1" customHeight="1">
      <c r="B43" s="49" t="s">
        <v>87</v>
      </c>
      <c r="C43" s="56">
        <f>C7/100</f>
        <v>0.22</v>
      </c>
      <c r="D43" s="56">
        <f>E7/100</f>
        <v>0</v>
      </c>
      <c r="E43" s="56">
        <f>MAX(C43:D43,0)</f>
        <v>0.22</v>
      </c>
      <c r="G43" s="1" t="str">
        <f>B43</f>
        <v>per 100 arrests</v>
      </c>
      <c r="L43" s="57">
        <v>100</v>
      </c>
      <c r="M43" s="57"/>
      <c r="R43" s="49"/>
    </row>
    <row r="44" spans="2:18" ht="15" hidden="1" customHeight="1">
      <c r="B44" s="49" t="s">
        <v>88</v>
      </c>
      <c r="C44" s="56">
        <f>C8/100</f>
        <v>0.34</v>
      </c>
      <c r="D44" s="56">
        <f>E8/100</f>
        <v>0</v>
      </c>
      <c r="E44" s="56">
        <f>MAX(C44:D44,0)</f>
        <v>0.34</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2.581</v>
      </c>
      <c r="D48" s="56">
        <f>D42</f>
        <v>0.01</v>
      </c>
      <c r="E48" s="56">
        <f>MAX(C48:D48)</f>
        <v>2.581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0.22</v>
      </c>
      <c r="D49" s="49">
        <f t="shared" si="9"/>
        <v>0</v>
      </c>
      <c r="E49" s="49">
        <f>MAX(C49:D49)</f>
        <v>0.22</v>
      </c>
      <c r="G49" s="1" t="str">
        <f>G43</f>
        <v>per 100 arrests</v>
      </c>
      <c r="L49" s="58">
        <f>IF(($E43&gt;0),L43,L42)</f>
        <v>100</v>
      </c>
      <c r="M49" s="58"/>
      <c r="N49" s="21"/>
      <c r="O49" s="21"/>
      <c r="P49" s="21"/>
      <c r="Q49" s="21"/>
      <c r="R49" s="21"/>
    </row>
    <row r="50" spans="2:18" ht="15" hidden="1" customHeight="1">
      <c r="B50" s="49" t="str">
        <f t="shared" si="9"/>
        <v>per 100 referrals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2.581</v>
      </c>
      <c r="D54" s="56">
        <f>D48</f>
        <v>0.01</v>
      </c>
      <c r="E54" s="56">
        <f>MAX(C54:D54)</f>
        <v>2.581</v>
      </c>
      <c r="G54" s="1" t="str">
        <f>G48</f>
        <v>per 1000 youth</v>
      </c>
      <c r="L54" s="58">
        <f>L48</f>
        <v>1000</v>
      </c>
      <c r="M54" s="58"/>
    </row>
    <row r="55" spans="2:18" ht="15" hidden="1" customHeight="1">
      <c r="B55" s="49" t="str">
        <f t="shared" ref="B55:D56" si="10">IF(($E49&gt;0),B49,B48)</f>
        <v>per 100 arrests</v>
      </c>
      <c r="C55" s="49">
        <f t="shared" si="10"/>
        <v>0.22</v>
      </c>
      <c r="D55" s="49">
        <f t="shared" si="10"/>
        <v>0</v>
      </c>
      <c r="E55" s="49">
        <f>MAX(C55:D55)</f>
        <v>0.22</v>
      </c>
      <c r="G55" s="1" t="str">
        <f>G49</f>
        <v>per 100 arrests</v>
      </c>
      <c r="L55" s="58">
        <f>IF(($E49&gt;0),L49,L48)</f>
        <v>100</v>
      </c>
      <c r="M55" s="58"/>
    </row>
    <row r="56" spans="2:18" ht="15" hidden="1" customHeight="1">
      <c r="B56" s="49" t="str">
        <f t="shared" si="10"/>
        <v>per 100 referrals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2.581</v>
      </c>
      <c r="D60" s="56">
        <f>D54</f>
        <v>0.01</v>
      </c>
      <c r="E60" s="56">
        <f>MAX(C60:D60)</f>
        <v>2.581</v>
      </c>
      <c r="G60" s="1" t="str">
        <f>G54</f>
        <v>per 1000 youth</v>
      </c>
      <c r="L60" s="58">
        <f>L54</f>
        <v>1000</v>
      </c>
      <c r="M60" s="58"/>
    </row>
    <row r="61" spans="2:18" ht="15" hidden="1" customHeight="1">
      <c r="B61" s="49" t="str">
        <f t="shared" ref="B61:D62" si="11">IF(($E55&gt;0),B55,B54)</f>
        <v>per 100 arrests</v>
      </c>
      <c r="C61" s="49">
        <f t="shared" si="11"/>
        <v>0.22</v>
      </c>
      <c r="D61" s="49">
        <f t="shared" si="11"/>
        <v>0</v>
      </c>
      <c r="E61" s="49">
        <f>MAX(C61:D61)</f>
        <v>0.22</v>
      </c>
      <c r="G61" s="1" t="str">
        <f>G55</f>
        <v>per 100 arrests</v>
      </c>
      <c r="L61" s="58">
        <f>IF(($E55&gt;0),L55,L54)</f>
        <v>100</v>
      </c>
      <c r="M61" s="58"/>
    </row>
    <row r="62" spans="2:18" ht="15" hidden="1" customHeight="1">
      <c r="B62" s="49" t="str">
        <f t="shared" si="11"/>
        <v>per 100 referrals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2.581</v>
      </c>
      <c r="D66" s="56">
        <f>D60</f>
        <v>0.01</v>
      </c>
      <c r="E66" s="56">
        <f>MAX(C66:D66)</f>
        <v>2.581</v>
      </c>
      <c r="G66" s="1" t="str">
        <f>G60</f>
        <v>per 1000 youth</v>
      </c>
      <c r="L66" s="58">
        <f>L60</f>
        <v>1000</v>
      </c>
      <c r="M66" s="58">
        <f>IF((B66=G66),1,2)</f>
        <v>1</v>
      </c>
    </row>
    <row r="67" spans="2:13" ht="15" hidden="1" customHeight="1">
      <c r="B67" s="49" t="str">
        <f t="shared" ref="B67:D68" si="12">IF(($E61&gt;0),B61,B60)</f>
        <v>per 100 arrests</v>
      </c>
      <c r="C67" s="49">
        <f t="shared" si="12"/>
        <v>0.22</v>
      </c>
      <c r="D67" s="49">
        <f t="shared" si="12"/>
        <v>0</v>
      </c>
      <c r="E67" s="49">
        <f>MAX(C67:D67)</f>
        <v>0.22</v>
      </c>
      <c r="G67" s="1" t="str">
        <f>G61</f>
        <v>per 100 arrests</v>
      </c>
      <c r="L67" s="58">
        <f>IF(($E61&gt;0),L61,L60)</f>
        <v>100</v>
      </c>
      <c r="M67" s="58">
        <f>IF((B67=G67),1,2)</f>
        <v>1</v>
      </c>
    </row>
    <row r="68" spans="2:13" ht="15" hidden="1" customHeight="1">
      <c r="B68" s="49" t="str">
        <f t="shared" si="12"/>
        <v>per 100 referrals</v>
      </c>
      <c r="C68" s="49">
        <f t="shared" si="12"/>
        <v>0.34</v>
      </c>
      <c r="D68" s="49">
        <f t="shared" si="12"/>
        <v>0</v>
      </c>
      <c r="E68" s="49">
        <f>MAX(C68:D68)</f>
        <v>0.34</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U47JMPN4QEAR-1806752177-30460</_dlc_DocId>
    <_dlc_DocIdUrl xmlns="ac3811b5-0f3e-49e2-ba69-f2ffa0c782af">
      <Url>https://michiganphi.sharepoint.com/sites/CMDMC/_layouts/15/DocIdRedir.aspx?ID=U47JMPN4QEAR-1806752177-30460</Url>
      <Description>U47JMPN4QEAR-1806752177-30460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BE0918-E425-4DCA-BCA4-83F486ED1D04}">
  <ds:schemaRefs>
    <ds:schemaRef ds:uri="http://schemas.microsoft.com/sharepoint/v3/contenttype/forms"/>
  </ds:schemaRefs>
</ds:datastoreItem>
</file>

<file path=customXml/itemProps2.xml><?xml version="1.0" encoding="utf-8"?>
<ds:datastoreItem xmlns:ds="http://schemas.openxmlformats.org/officeDocument/2006/customXml" ds:itemID="{B0ADDD23-E781-4E00-AC41-88F33832C75F}">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0E5FFF2A-8AED-4E8C-8899-29CC3E4A52DA}"/>
</file>

<file path=customXml/itemProps4.xml><?xml version="1.0" encoding="utf-8"?>
<ds:datastoreItem xmlns:ds="http://schemas.openxmlformats.org/officeDocument/2006/customXml" ds:itemID="{20C3425D-140C-483A-94F8-7C9FC74C2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a272050d-72fd-4907-beab-8a86f1038c98</vt:lpwstr>
  </property>
</Properties>
</file>