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076D187-3A7C-4A2D-96C8-FCB37D7F10EF}"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s="1"/>
  <c r="G58" i="8" s="1"/>
  <c r="G64" i="8" s="1"/>
  <c r="G70"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5"/>
  <c r="M66" i="5"/>
  <c r="M66" i="8"/>
  <c r="F27" i="8"/>
  <c r="F27" i="2"/>
  <c r="M66" i="2"/>
  <c r="F27" i="3"/>
  <c r="M66" i="3"/>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D51" i="2" l="1"/>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L56" i="8"/>
  <c r="B56" i="8"/>
  <c r="D64" i="5"/>
  <c r="E64" i="5" s="1"/>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E63" i="3"/>
  <c r="C69" i="3" s="1"/>
  <c r="D12" i="3" s="1"/>
  <c r="C69" i="7"/>
  <c r="D12" i="7" s="1"/>
  <c r="L69" i="7"/>
  <c r="B70" i="3"/>
  <c r="M70" i="3" s="1"/>
  <c r="D70" i="6"/>
  <c r="F14" i="6"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7" l="1"/>
  <c r="D69" i="3"/>
  <c r="E69" i="3" s="1"/>
  <c r="B69" i="3"/>
  <c r="M69" i="3" s="1"/>
  <c r="D15" i="3"/>
  <c r="B69" i="6"/>
  <c r="M69" i="6" s="1"/>
  <c r="L69" i="3"/>
  <c r="Q12" i="3" s="1"/>
  <c r="F13" i="6"/>
  <c r="F33" i="3"/>
  <c r="Q15" i="7"/>
  <c r="F34" i="3"/>
  <c r="Q12" i="7"/>
  <c r="O14" i="6"/>
  <c r="Q13" i="8"/>
  <c r="E70" i="6"/>
  <c r="O13" i="6"/>
  <c r="E70" i="3"/>
  <c r="E69" i="7"/>
  <c r="D13" i="6"/>
  <c r="D13" i="3"/>
  <c r="F14" i="3"/>
  <c r="O13" i="3"/>
  <c r="C69" i="6"/>
  <c r="D12" i="6" s="1"/>
  <c r="Q14" i="3"/>
  <c r="F12" i="7"/>
  <c r="O12" i="7"/>
  <c r="D14" i="6"/>
  <c r="O15" i="7"/>
  <c r="T15" i="7" s="1"/>
  <c r="Q13" i="3"/>
  <c r="Q13" i="6"/>
  <c r="Q14" i="6"/>
  <c r="R14" i="6" s="1"/>
  <c r="S14"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3" l="1"/>
  <c r="R12" i="3" s="1"/>
  <c r="S12" i="3" s="1"/>
  <c r="F12" i="3"/>
  <c r="F15" i="3"/>
  <c r="F32" i="6"/>
  <c r="F35" i="6"/>
  <c r="R14" i="3"/>
  <c r="S14" i="3" s="1"/>
  <c r="U14" i="3" s="1"/>
  <c r="J14" i="3" s="1"/>
  <c r="M14" i="3" s="1"/>
  <c r="G14" i="3" s="1"/>
  <c r="I15" i="16" s="1"/>
  <c r="K14" i="6"/>
  <c r="K12" i="7"/>
  <c r="R12" i="7"/>
  <c r="S12" i="7" s="1"/>
  <c r="U12" i="7" s="1"/>
  <c r="J12" i="7" s="1"/>
  <c r="R13" i="8"/>
  <c r="S13" i="8" s="1"/>
  <c r="D15" i="6"/>
  <c r="R15" i="7"/>
  <c r="S15" i="7" s="1"/>
  <c r="U15" i="7" s="1"/>
  <c r="J15" i="7" s="1"/>
  <c r="T13" i="6"/>
  <c r="T14" i="6"/>
  <c r="T13" i="8"/>
  <c r="K13" i="6"/>
  <c r="T12" i="7"/>
  <c r="K13" i="3"/>
  <c r="O12" i="6"/>
  <c r="R13" i="6"/>
  <c r="S13" i="6" s="1"/>
  <c r="U13" i="6" s="1"/>
  <c r="J13" i="6" s="1"/>
  <c r="M13" i="6" s="1"/>
  <c r="G13" i="6" s="1"/>
  <c r="G13" i="9" s="1"/>
  <c r="R14" i="8"/>
  <c r="S14" i="8" s="1"/>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I15" i="13" l="1"/>
  <c r="E14" i="9"/>
  <c r="T12" i="3"/>
  <c r="L12" i="7"/>
  <c r="S13" i="16" s="1"/>
  <c r="L15" i="7"/>
  <c r="S16" i="16" s="1"/>
  <c r="U13" i="8"/>
  <c r="J13" i="8" s="1"/>
  <c r="M13" i="8" s="1"/>
  <c r="G13" i="8" s="1"/>
  <c r="M12" i="7"/>
  <c r="M15" i="7"/>
  <c r="R12" i="6"/>
  <c r="S12" i="6" s="1"/>
  <c r="U12" i="6" s="1"/>
  <c r="J12" i="6" s="1"/>
  <c r="M12" i="6" s="1"/>
  <c r="G12" i="6" s="1"/>
  <c r="T12" i="6"/>
  <c r="M14" i="13"/>
  <c r="L13" i="3"/>
  <c r="P14" i="16" s="1"/>
  <c r="L13" i="6"/>
  <c r="R14" i="16" s="1"/>
  <c r="K12" i="6"/>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2" i="9" l="1"/>
  <c r="Y13" i="13"/>
  <c r="P13" i="9"/>
  <c r="L13" i="8"/>
  <c r="T14" i="16" s="1"/>
  <c r="Q15" i="9"/>
  <c r="U13" i="2"/>
  <c r="J13" i="2" s="1"/>
  <c r="M13" i="2" s="1"/>
  <c r="G13" i="2" s="1"/>
  <c r="E14" i="16" s="1"/>
  <c r="X14" i="13"/>
  <c r="V14" i="13"/>
  <c r="N13" i="9"/>
  <c r="L12" i="6"/>
  <c r="R13" i="16" s="1"/>
  <c r="U12" i="8"/>
  <c r="J12" i="8" s="1"/>
  <c r="M12" i="8" s="1"/>
  <c r="G12" i="8" s="1"/>
  <c r="K13" i="16" s="1"/>
  <c r="L15" i="6"/>
  <c r="R16" i="16" s="1"/>
  <c r="U14" i="2"/>
  <c r="J14" i="2" s="1"/>
  <c r="M14" i="2" s="1"/>
  <c r="G14" i="2" s="1"/>
  <c r="E15" i="16" s="1"/>
  <c r="K14" i="16"/>
  <c r="Q14" i="13"/>
  <c r="I13" i="9"/>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Z14" i="13" l="1"/>
  <c r="R13" i="9"/>
  <c r="L13" i="2"/>
  <c r="N14" i="16" s="1"/>
  <c r="C13" i="9"/>
  <c r="N30" i="2"/>
  <c r="L12" i="8"/>
  <c r="T13" i="16" s="1"/>
  <c r="P15" i="9"/>
  <c r="X16" i="13"/>
  <c r="P12" i="9"/>
  <c r="E14" i="13"/>
  <c r="C14" i="9"/>
  <c r="X13" i="13"/>
  <c r="E15" i="13"/>
  <c r="R14" i="9"/>
  <c r="L14" i="2"/>
  <c r="N15" i="16" s="1"/>
  <c r="I14" i="9"/>
  <c r="Q15" i="13"/>
  <c r="Z15" i="13"/>
  <c r="P8" i="9"/>
  <c r="X9" i="13"/>
  <c r="Q10" i="9"/>
  <c r="Y11" i="13"/>
  <c r="O15" i="9"/>
  <c r="W16" i="13"/>
  <c r="L10" i="9"/>
  <c r="X12" i="13"/>
  <c r="L13" i="9"/>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Z13" i="13"/>
  <c r="R12" i="9"/>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<sst xmlns="http://schemas.openxmlformats.org/spreadsheetml/2006/main" count="654" uniqueCount="141">
  <si>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</si>
  <si>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</si>
  <si>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</si>
  <si>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</si>
  <si>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</si>
  <si>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</si>
  <si>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</si>
  <si>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</si>
  <si>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</si>
  <si>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</si>
  <si>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</si>
  <si>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</si>
  <si>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</si>
  <si>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</si>
  <si>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</si>
  <si>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</si>
  <si>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</si>
  <si>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</si>
  <si>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</si>
  <si>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</si>
  <si>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</si>
  <si>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</si>
  <si>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</si>
  <si>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</si>
  <si>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</si>
  <si>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</si>
  <si>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</si>
  <si>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</si>
  <si>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</si>
  <si>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</si>
  <si>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</si>
  <si>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</si>
  <si>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</si>
  <si>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</si>
  <si>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</si>
  <si>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</si>
  <si>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</si>
  <si>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</si>
  <si>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</si>
  <si>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</si>
  <si>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</si>
  <si>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</si>
  <si>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</si>
  <si>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</si>
  <si>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</si>
  <si>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</si>
  <si>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</si>
  <si>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</si>
  <si>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</si>
  <si>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</si>
  <si>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</si>
  <si>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</si>
  <si>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</si>
  <si>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</si>
  <si>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</si>
  <si>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</si>
  <si>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</si>
  <si>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</si>
  <si>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</si>
  <si>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</si>
  <si>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</si>
  <si>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</si>
  <si>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</si>
  <si>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</si>
  <si>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</si>
  <si>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</si>
  <si>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</si>
  <si>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</si>
  <si>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</si>
  <si>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</si>
  <si>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</si>
  <si>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</si>
  <si>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</si>
  <si>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</si>
  <si>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</si>
  <si>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</si>
  <si>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</si>
  <si>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</si>
  <si>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</si>
  <si>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</si>
  <si>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</si>
  <si>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</si>
  <si>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</si>
  <si>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</si>
  <si>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</si>
  <si>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</si>
  <si>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</si>
  <si>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</si>
  <si>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</si>
  <si>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</si>
  <si>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</si>
  <si>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</si>
  <si>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</si>
  <si>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</si>
  <si>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</si>
  <si>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</si>
  <si>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</si>
  <si>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</si>
  <si>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</si>
  <si>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</si>
  <si>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</si>
  <si>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</si>
  <si>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</si>
  <si>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</si>
  <si>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</si>
  <si>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</si>
  <si>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</si>
  <si>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</si>
  <si>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</si>
  <si>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</si>
  <si>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</si>
  <si>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</si>
  <si>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</si>
  <si>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</si>
  <si>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</si>
  <si>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</si>
  <si>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</si>
  <si>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</si>
  <si>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</si>
  <si>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</si>
  <si>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</si>
  <si>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</si>
  <si>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</si>
  <si>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</si>
  <si>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</si>
  <si>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</si>
  <si>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</si>
  <si>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</si>
  <si>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</si>
  <si>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</si>
  <si>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</si>
  <si>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</si>
  <si>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</si>
  <si>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</si>
  <si>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</si>
  <si>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</si>
  <si>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</si>
  <si>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Huron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</si>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</sst>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Huron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N=13</c:v>
                </c:pt>
                <c:pt idx="3">
                  <c:v>Petitions, total N=27</c:v>
                </c:pt>
                <c:pt idx="4">
                  <c:v>Detentions, total N=0</c:v>
                </c:pt>
                <c:pt idx="5">
                  <c:v>Referrals, total N=41</c:v>
                </c:pt>
                <c:pt idx="6">
                  <c:v>Arrests, total N=19</c:v>
                </c:pt>
                <c:pt idx="7">
                  <c:v>Population, total N=2403</c:v>
                </c:pt>
              </c:strCache>
            </c:strRef>
          </c:cat>
          <c:val>
            <c:numRef>
              <c:f>'Stacked 100%'!$B$7:$B$14</c:f>
              <c:numCache>
                <c:formatCode>0%</c:formatCode>
                <c:ptCount val="8"/>
                <c:pt idx="0">
                  <c:v>0</c:v>
                </c:pt>
                <c:pt idx="1">
                  <c:v>0</c:v>
                </c:pt>
                <c:pt idx="2">
                  <c:v>0.15384615384615385</c:v>
                </c:pt>
                <c:pt idx="3">
                  <c:v>7.407407407407407E-2</c:v>
                </c:pt>
                <c:pt idx="4">
                  <c:v>0</c:v>
                </c:pt>
                <c:pt idx="5">
                  <c:v>4.878048780487805E-2</c:v>
                </c:pt>
                <c:pt idx="6">
                  <c:v>0.10526315789473684</c:v>
                </c:pt>
                <c:pt idx="7">
                  <c:v>1.581356637536413E-2</c:v>
                </c:pt>
              </c:numCache>
            </c:numRef>
          </c:val>
          <c:extLst>
            <c:ext xmlns:c16="http://schemas.microsoft.com/office/drawing/2014/chart" uri="{C3380CC4-5D6E-409C-BE32-E72D297353CC}">
              <c16:uniqueId val="{00000000-AF9C-450F-B085-E6240A05302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N=13</c:v>
                </c:pt>
                <c:pt idx="3">
                  <c:v>Petitions, total N=27</c:v>
                </c:pt>
                <c:pt idx="4">
                  <c:v>Detentions, total N=0</c:v>
                </c:pt>
                <c:pt idx="5">
                  <c:v>Referrals, total N=41</c:v>
                </c:pt>
                <c:pt idx="6">
                  <c:v>Arrests, total N=19</c:v>
                </c:pt>
                <c:pt idx="7">
                  <c:v>Population, total N=2403</c:v>
                </c:pt>
              </c:strCache>
            </c:strRef>
          </c:cat>
          <c:val>
            <c:numRef>
              <c:f>'Stacked 100%'!$C$7:$C$14</c:f>
              <c:numCache>
                <c:formatCode>0%</c:formatCode>
                <c:ptCount val="8"/>
                <c:pt idx="0">
                  <c:v>0</c:v>
                </c:pt>
                <c:pt idx="1">
                  <c:v>0</c:v>
                </c:pt>
                <c:pt idx="2">
                  <c:v>0</c:v>
                </c:pt>
                <c:pt idx="3">
                  <c:v>0</c:v>
                </c:pt>
                <c:pt idx="4">
                  <c:v>0</c:v>
                </c:pt>
                <c:pt idx="5">
                  <c:v>0</c:v>
                </c:pt>
                <c:pt idx="6">
                  <c:v>0</c:v>
                </c:pt>
                <c:pt idx="7">
                  <c:v>4.452767374115689E-2</c:v>
                </c:pt>
              </c:numCache>
            </c:numRef>
          </c:val>
          <c:extLst>
            <c:ext xmlns:c16="http://schemas.microsoft.com/office/drawing/2014/chart" uri="{C3380CC4-5D6E-409C-BE32-E72D297353CC}">
              <c16:uniqueId val="{00000001-AF9C-450F-B085-E6240A05302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N=13</c:v>
                </c:pt>
                <c:pt idx="3">
                  <c:v>Petitions, total N=27</c:v>
                </c:pt>
                <c:pt idx="4">
                  <c:v>Detentions, total N=0</c:v>
                </c:pt>
                <c:pt idx="5">
                  <c:v>Referrals, total N=41</c:v>
                </c:pt>
                <c:pt idx="6">
                  <c:v>Arrests, total N=19</c:v>
                </c:pt>
                <c:pt idx="7">
                  <c:v>Population, total N=2403</c:v>
                </c:pt>
              </c:strCache>
            </c:strRef>
          </c:cat>
          <c:val>
            <c:numRef>
              <c:f>'Stacked 100%'!$H$7:$H$14</c:f>
              <c:numCache>
                <c:formatCode>0%</c:formatCode>
                <c:ptCount val="8"/>
                <c:pt idx="0">
                  <c:v>0</c:v>
                </c:pt>
                <c:pt idx="1">
                  <c:v>0</c:v>
                </c:pt>
                <c:pt idx="2">
                  <c:v>0</c:v>
                </c:pt>
                <c:pt idx="3">
                  <c:v>0</c:v>
                </c:pt>
                <c:pt idx="4">
                  <c:v>0</c:v>
                </c:pt>
                <c:pt idx="5">
                  <c:v>0</c:v>
                </c:pt>
                <c:pt idx="6">
                  <c:v>0</c:v>
                </c:pt>
                <c:pt idx="7">
                  <c:v>5.3685147692170751E-6</c:v>
                </c:pt>
              </c:numCache>
            </c:numRef>
          </c:val>
          <c:extLst>
            <c:ext xmlns:c16="http://schemas.microsoft.com/office/drawing/2014/chart" uri="{C3380CC4-5D6E-409C-BE32-E72D297353CC}">
              <c16:uniqueId val="{00000002-AF9C-450F-B085-E6240A05302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N=13</c:v>
                </c:pt>
                <c:pt idx="3">
                  <c:v>Petitions, total N=27</c:v>
                </c:pt>
                <c:pt idx="4">
                  <c:v>Detentions, total N=0</c:v>
                </c:pt>
                <c:pt idx="5">
                  <c:v>Referrals, total N=41</c:v>
                </c:pt>
                <c:pt idx="6">
                  <c:v>Arrests, total N=19</c:v>
                </c:pt>
                <c:pt idx="7">
                  <c:v>Population, total N=2403</c:v>
                </c:pt>
              </c:strCache>
            </c:strRef>
          </c:cat>
          <c:val>
            <c:numRef>
              <c:f>'Stacked 100%'!$I$7:$I$14</c:f>
              <c:numCache>
                <c:formatCode>0%</c:formatCode>
                <c:ptCount val="8"/>
                <c:pt idx="0">
                  <c:v>0</c:v>
                </c:pt>
                <c:pt idx="1">
                  <c:v>0</c:v>
                </c:pt>
                <c:pt idx="2">
                  <c:v>0.38461538461538464</c:v>
                </c:pt>
                <c:pt idx="3">
                  <c:v>0.48148148148148145</c:v>
                </c:pt>
                <c:pt idx="4">
                  <c:v>0</c:v>
                </c:pt>
                <c:pt idx="5">
                  <c:v>0.51219512195121952</c:v>
                </c:pt>
                <c:pt idx="6">
                  <c:v>0.63157894736842102</c:v>
                </c:pt>
                <c:pt idx="7">
                  <c:v>0.92675821889305032</c:v>
                </c:pt>
              </c:numCache>
            </c:numRef>
          </c:val>
          <c:extLst>
            <c:ext xmlns:c16="http://schemas.microsoft.com/office/drawing/2014/chart" uri="{C3380CC4-5D6E-409C-BE32-E72D297353CC}">
              <c16:uniqueId val="{00000003-AF9C-450F-B085-E6240A05302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N=13</c:v>
                </c:pt>
                <c:pt idx="3">
                  <c:v>Petitions, total N=27</c:v>
                </c:pt>
                <c:pt idx="4">
                  <c:v>Detentions, total N=0</c:v>
                </c:pt>
                <c:pt idx="5">
                  <c:v>Referrals, total N=41</c:v>
                </c:pt>
                <c:pt idx="6">
                  <c:v>Arrests, total N=19</c:v>
                </c:pt>
                <c:pt idx="7">
                  <c:v>Population, total N=2403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F9C-450F-B085-E6240A05302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2403</v>
      </c>
      <c r="C6" s="11">
        <v>2227</v>
      </c>
      <c r="D6" s="11">
        <v>38</v>
      </c>
      <c r="E6" s="11">
        <v>107</v>
      </c>
      <c r="F6" s="11">
        <v>22</v>
      </c>
      <c r="G6" s="11"/>
      <c r="H6" s="11">
        <v>9</v>
      </c>
      <c r="I6" s="11"/>
      <c r="J6" s="91">
        <f>SUM(D6:I6)</f>
        <v>176</v>
      </c>
      <c r="K6" s="92"/>
    </row>
    <row r="7" spans="1:11" ht="15.75" customHeight="1" thickBot="1" x14ac:dyDescent="0.25">
      <c r="A7" s="10" t="s">
        <v>8</v>
      </c>
      <c r="B7" s="11">
        <f t="shared" ref="B7:B15" si="0">SUM(C7:I7)+K7</f>
        <v>19</v>
      </c>
      <c r="C7" s="11">
        <v>12</v>
      </c>
      <c r="D7" s="11">
        <v>2</v>
      </c>
      <c r="E7" s="11"/>
      <c r="F7" s="11"/>
      <c r="G7" s="11"/>
      <c r="H7" s="11"/>
      <c r="I7" s="11"/>
      <c r="J7" s="91">
        <f t="shared" ref="J7:J15" si="1">SUM(D7:I7)</f>
        <v>2</v>
      </c>
      <c r="K7" s="92">
        <v>5</v>
      </c>
    </row>
    <row r="8" spans="1:11" ht="15.75" customHeight="1" thickBot="1" x14ac:dyDescent="0.25">
      <c r="A8" s="10" t="s">
        <v>9</v>
      </c>
      <c r="B8" s="11">
        <f t="shared" si="0"/>
        <v>41</v>
      </c>
      <c r="C8" s="11">
        <v>21</v>
      </c>
      <c r="D8" s="11">
        <v>2</v>
      </c>
      <c r="E8" s="11"/>
      <c r="F8" s="11"/>
      <c r="G8" s="11"/>
      <c r="H8" s="11"/>
      <c r="I8" s="11"/>
      <c r="J8" s="91">
        <f t="shared" si="1"/>
        <v>2</v>
      </c>
      <c r="K8" s="92">
        <v>18</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27</v>
      </c>
      <c r="C11" s="11">
        <v>13</v>
      </c>
      <c r="D11" s="11">
        <v>2</v>
      </c>
      <c r="E11" s="11"/>
      <c r="F11" s="11"/>
      <c r="G11" s="11"/>
      <c r="H11" s="11"/>
      <c r="I11" s="11"/>
      <c r="J11" s="91">
        <f t="shared" si="1"/>
        <v>2</v>
      </c>
      <c r="K11" s="92">
        <v>12</v>
      </c>
    </row>
    <row r="12" spans="1:11" ht="15.75" customHeight="1" thickBot="1" x14ac:dyDescent="0.25">
      <c r="A12" s="10" t="s">
        <v>13</v>
      </c>
      <c r="B12" s="11">
        <f t="shared" si="0"/>
        <v>13</v>
      </c>
      <c r="C12" s="11">
        <v>5</v>
      </c>
      <c r="D12" s="11">
        <v>2</v>
      </c>
      <c r="E12" s="11"/>
      <c r="F12" s="11"/>
      <c r="G12" s="11"/>
      <c r="H12" s="11"/>
      <c r="I12" s="11"/>
      <c r="J12" s="91">
        <f t="shared" si="1"/>
        <v>2</v>
      </c>
      <c r="K12" s="92">
        <v>6</v>
      </c>
    </row>
    <row r="13" spans="1:11" ht="15.75" customHeight="1" thickBot="1" x14ac:dyDescent="0.25">
      <c r="A13" s="10" t="s">
        <v>133</v>
      </c>
      <c r="B13" s="11">
        <f t="shared" si="0"/>
        <v>25</v>
      </c>
      <c r="C13" s="11">
        <v>12</v>
      </c>
      <c r="D13" s="11">
        <v>2</v>
      </c>
      <c r="E13" s="11"/>
      <c r="F13" s="11"/>
      <c r="G13" s="11"/>
      <c r="H13" s="11"/>
      <c r="I13" s="11"/>
      <c r="J13" s="91">
        <f t="shared" si="1"/>
        <v>2</v>
      </c>
      <c r="K13" s="92">
        <v>11</v>
      </c>
    </row>
    <row r="14" spans="1:11" ht="26.25" customHeight="1" thickBot="1" x14ac:dyDescent="0.25">
      <c r="A14" s="10" t="s">
        <v>123</v>
      </c>
      <c r="B14" s="11">
        <f t="shared" si="0"/>
        <v>1</v>
      </c>
      <c r="C14" s="11"/>
      <c r="D14" s="11"/>
      <c r="E14" s="11"/>
      <c r="F14" s="11"/>
      <c r="G14" s="11"/>
      <c r="H14" s="11"/>
      <c r="I14" s="11"/>
      <c r="J14" s="91">
        <f t="shared" si="1"/>
        <v>0</v>
      </c>
      <c r="K14" s="92">
        <v>1</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Huron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2227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5.3884149079479124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2215</v>
      </c>
      <c r="R7" s="42">
        <f t="shared" ref="R7:R15" si="5">SUM(N7:Q7)</f>
        <v>2227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21</v>
      </c>
      <c r="D8" s="34">
        <f>IF((AND(C67&gt;0,C8&gt;0)),(C8/C67),0)</f>
        <v>175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-9</v>
      </c>
      <c r="R8" s="42">
        <f t="shared" si="5"/>
        <v>12.05</v>
      </c>
      <c r="S8" s="30">
        <f t="shared" si="6"/>
        <v>13.285125000000001</v>
      </c>
      <c r="T8" s="30">
        <f t="shared" si="7"/>
        <v>-112.77000000000001</v>
      </c>
      <c r="U8" s="31">
        <f t="shared" si="8"/>
        <v>-0.1178072625698324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61.904761904761905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8</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38.46153846153846</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8</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12</v>
      </c>
      <c r="D13" s="34">
        <f>IF(((AND(C70&gt;0,C13&gt;0))),(C13/(C70)),0)</f>
        <v>240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-7</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2.2269999999999999</v>
      </c>
      <c r="D42" s="56">
        <f>E6/1000</f>
        <v>0</v>
      </c>
      <c r="E42" s="56">
        <f>MAX(C42:D42)</f>
        <v>2.2269999999999999</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2.2269999999999999</v>
      </c>
      <c r="D48" s="56">
        <f>D42</f>
        <v>0</v>
      </c>
      <c r="E48" s="56">
        <f>MAX(C48:D48)</f>
        <v>2.2269999999999999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2.2269999999999999</v>
      </c>
      <c r="D54" s="56">
        <f>D48</f>
        <v>0</v>
      </c>
      <c r="E54" s="56">
        <f>MAX(C54:D54)</f>
        <v>2.2269999999999999</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2.2269999999999999</v>
      </c>
      <c r="D60" s="56">
        <f>D54</f>
        <v>0</v>
      </c>
      <c r="E60" s="56">
        <f>MAX(C60:D60)</f>
        <v>2.2269999999999999</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2.2269999999999999</v>
      </c>
      <c r="D66" s="56">
        <f>D60</f>
        <v>0</v>
      </c>
      <c r="E66" s="56">
        <f>MAX(C66:D66)</f>
        <v>2.2269999999999999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Huron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2227</v>
      </c>
      <c r="D6" s="34"/>
      <c r="E6" s="33">
        <f>'Data Entry'!J6</f>
        <v>176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5.3884149079479124</v>
      </c>
      <c r="E7" s="33">
        <f>'Data Entry'!J7</f>
        <v>2</v>
      </c>
      <c r="F7" s="34">
        <f>IF((AND($E$7&gt;0,$D$66&gt;0)),($E$7/$D$66),0)</f>
        <v>11.363636363636365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174</v>
      </c>
      <c r="P7" s="42">
        <f t="shared" ref="P7:P15" si="4">C7</f>
        <v>12</v>
      </c>
      <c r="Q7" s="42">
        <f>C6-C7</f>
        <v>2215</v>
      </c>
      <c r="R7" s="42">
        <f t="shared" ref="R7:R15" si="5">SUM(N7:Q7)</f>
        <v>2403</v>
      </c>
      <c r="S7" s="30">
        <f t="shared" ref="S7:S15" si="6">R7*((((N7*Q7)-(O7*P7))^2))</f>
        <v>13180368492</v>
      </c>
      <c r="T7" s="30">
        <f t="shared" ref="T7:T15" si="7">(N7+O7)*(P7+Q7)*(N7+P7)*(O7+Q7)</f>
        <v>13109226592</v>
      </c>
      <c r="U7" s="31">
        <f t="shared" ref="U7:U15" si="8">IF((S7&gt;0),S7/T7,"- -")</f>
        <v>1.0054268571452885</v>
      </c>
    </row>
    <row r="8" spans="2:21" ht="18" customHeight="1" x14ac:dyDescent="0.25">
      <c r="B8" s="32" t="str">
        <f>'Data Entry'!A8</f>
        <v>3. Refer to Juvenile Court</v>
      </c>
      <c r="C8" s="33">
        <f>'Data Entry'!C8</f>
        <v>21</v>
      </c>
      <c r="D8" s="34">
        <f>IF((AND(C67&gt;0,C8&gt;0)),(C8/C67),0)</f>
        <v>175</v>
      </c>
      <c r="E8" s="33">
        <f>'Data Entry'!J8</f>
        <v>2</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0.05</v>
      </c>
      <c r="P8" s="42">
        <f t="shared" si="4"/>
        <v>21</v>
      </c>
      <c r="Q8" s="42">
        <f>(C$67*L67)-C8</f>
        <v>-9</v>
      </c>
      <c r="R8" s="42">
        <f t="shared" si="5"/>
        <v>14.05</v>
      </c>
      <c r="S8" s="30">
        <f t="shared" si="6"/>
        <v>5098.7801250000011</v>
      </c>
      <c r="T8" s="30">
        <f t="shared" si="7"/>
        <v>-5063.9099999999989</v>
      </c>
      <c r="U8" s="31">
        <f t="shared" si="8"/>
        <v>-1.0068860080451671</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21</v>
      </c>
      <c r="R9" s="42">
        <f t="shared" si="5"/>
        <v>23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21</v>
      </c>
      <c r="R10" s="42">
        <f t="shared" si="5"/>
        <v>23</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61.904761904761905</v>
      </c>
      <c r="E11" s="33">
        <f>'Data Entry'!J11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13</v>
      </c>
      <c r="Q11" s="42">
        <f>(C$68*L68)-C11</f>
        <v>8</v>
      </c>
      <c r="R11" s="42">
        <f t="shared" si="5"/>
        <v>23</v>
      </c>
      <c r="S11" s="30">
        <f t="shared" si="6"/>
        <v>5888</v>
      </c>
      <c r="T11" s="30">
        <f t="shared" si="7"/>
        <v>5040</v>
      </c>
      <c r="U11" s="31">
        <f t="shared" si="8"/>
        <v>1.1682539682539683</v>
      </c>
    </row>
    <row r="12" spans="2:21" ht="18" customHeight="1" x14ac:dyDescent="0.25">
      <c r="B12" s="32" t="str">
        <f>'Data Entry'!A12</f>
        <v>7. Cases Resulting in Delinquent Findings</v>
      </c>
      <c r="C12" s="33">
        <f>'Data Entry'!C12</f>
        <v>5</v>
      </c>
      <c r="D12" s="34">
        <f>IF(((AND(C69&gt;0,C12&gt;0))),(C12/(C69)),0)</f>
        <v>38.46153846153846</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5</v>
      </c>
      <c r="Q12" s="42">
        <f>(C69*L69)-C12</f>
        <v>8</v>
      </c>
      <c r="R12" s="42">
        <f t="shared" si="5"/>
        <v>15</v>
      </c>
      <c r="S12" s="30">
        <f t="shared" si="6"/>
        <v>3840</v>
      </c>
      <c r="T12" s="30">
        <f t="shared" si="7"/>
        <v>1456</v>
      </c>
      <c r="U12" s="31">
        <f t="shared" si="8"/>
        <v>2.6373626373626373</v>
      </c>
    </row>
    <row r="13" spans="2:21" ht="18" customHeight="1" x14ac:dyDescent="0.25">
      <c r="B13" s="32" t="str">
        <f>'Data Entry'!A13</f>
        <v>8. Cases Resulting in Probation Placement</v>
      </c>
      <c r="C13" s="33">
        <f>'Data Entry'!C13</f>
        <v>12</v>
      </c>
      <c r="D13" s="34">
        <f>IF(((AND(C70&gt;0,C13&gt;0))),(C13/(C70)),0)</f>
        <v>240</v>
      </c>
      <c r="E13" s="33">
        <f>'Data Entry'!J13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12</v>
      </c>
      <c r="Q13" s="42">
        <f>(C70*L70)-C13</f>
        <v>-7</v>
      </c>
      <c r="R13" s="42">
        <f t="shared" si="5"/>
        <v>7</v>
      </c>
      <c r="S13" s="30">
        <f t="shared" si="6"/>
        <v>1372</v>
      </c>
      <c r="T13" s="30">
        <f t="shared" si="7"/>
        <v>-980</v>
      </c>
      <c r="U13" s="31">
        <f t="shared" si="8"/>
        <v>-1.4</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5</v>
      </c>
      <c r="R14" s="42">
        <f t="shared" si="5"/>
        <v>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13</v>
      </c>
      <c r="R15" s="42">
        <f t="shared" si="5"/>
        <v>15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2.2269999999999999</v>
      </c>
      <c r="D42" s="56">
        <f>E6/1000</f>
        <v>0.17599999999999999</v>
      </c>
      <c r="E42" s="56">
        <f>MAX(C42:D42)</f>
        <v>2.2269999999999999</v>
      </c>
      <c r="G42" s="1" t="str">
        <f>B42</f>
        <v>per 1000 youth</v>
      </c>
      <c r="L42" s="57">
        <v>1000</v>
      </c>
      <c r="M42" s="57"/>
      <c r="R42" s="49"/>
    </row>
    <row r="43" spans="2:18" ht="15" hidden="1" customHeight="1" x14ac:dyDescent="0.25">
      <c r="B43" s="49" t="s">
        <v>87</v>
      </c>
      <c r="C43" s="56">
        <f>C7/100</f>
        <v>0.12</v>
      </c>
      <c r="D43" s="56">
        <f>E7/100</f>
        <v>0.02</v>
      </c>
      <c r="E43" s="56">
        <f>MAX(C43:D43,0)</f>
        <v>0.12</v>
      </c>
      <c r="G43" s="1" t="str">
        <f>B43</f>
        <v>per 100 arrests</v>
      </c>
      <c r="L43" s="57">
        <v>100</v>
      </c>
      <c r="M43" s="57"/>
      <c r="R43" s="49"/>
    </row>
    <row r="44" spans="2:18" ht="15" hidden="1" customHeight="1" x14ac:dyDescent="0.25">
      <c r="B44" s="49" t="s">
        <v>88</v>
      </c>
      <c r="C44" s="56">
        <f>C8/100</f>
        <v>0.21</v>
      </c>
      <c r="D44" s="56">
        <f>E8/100</f>
        <v>0.02</v>
      </c>
      <c r="E44" s="56">
        <f>MAX(C44:D44,0)</f>
        <v>0.21</v>
      </c>
      <c r="G44" s="1" t="str">
        <f>B44</f>
        <v>per 100 referrals</v>
      </c>
      <c r="L44" s="57">
        <v>100</v>
      </c>
      <c r="M44" s="57"/>
      <c r="R44" s="49"/>
    </row>
    <row r="45" spans="2:18" ht="15" hidden="1" customHeight="1" x14ac:dyDescent="0.25">
      <c r="B45" s="49" t="s">
        <v>89</v>
      </c>
      <c r="C45" s="49">
        <f>C11/100</f>
        <v>0.13</v>
      </c>
      <c r="D45" s="49">
        <f>E11/100</f>
        <v>0.02</v>
      </c>
      <c r="E45" s="56">
        <f>MAX(C45:D45,0)</f>
        <v>0.13</v>
      </c>
      <c r="G45" s="1" t="str">
        <f>B45</f>
        <v>per 100 youth petitioned</v>
      </c>
      <c r="L45" s="57">
        <v>100</v>
      </c>
      <c r="M45" s="57"/>
      <c r="R45" s="49"/>
    </row>
    <row r="46" spans="2:18" ht="15" hidden="1" customHeight="1" x14ac:dyDescent="0.25">
      <c r="B46" s="49" t="s">
        <v>90</v>
      </c>
      <c r="C46" s="49">
        <f>C12/100</f>
        <v>0.05</v>
      </c>
      <c r="D46" s="49">
        <f>E12/100</f>
        <v>0.02</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2.2269999999999999</v>
      </c>
      <c r="D48" s="56">
        <f>D42</f>
        <v>0.17599999999999999</v>
      </c>
      <c r="E48" s="56">
        <f>MAX(C48:D48)</f>
        <v>2.2269999999999999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0.02</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0.02</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0.02</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0.02</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2.2269999999999999</v>
      </c>
      <c r="D54" s="56">
        <f>D48</f>
        <v>0.17599999999999999</v>
      </c>
      <c r="E54" s="56">
        <f>MAX(C54:D54)</f>
        <v>2.2269999999999999</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0.02</v>
      </c>
      <c r="E55" s="49">
        <f>MAX(C55:D55)</f>
        <v>0.12</v>
      </c>
      <c r="G55" s="1" t="str">
        <f>G49</f>
        <v>per 100 arrests</v>
      </c>
      <c r="L55" s="58">
        <f>IF(($E49&gt;0),L49,L48)</f>
        <v>100</v>
      </c>
      <c r="M55" s="58"/>
    </row>
    <row r="56" spans="2:18" ht="15" hidden="1" customHeight="1" x14ac:dyDescent="0.25">
      <c r="B56" s="49" t="str">
        <f t="shared" si="10"/>
        <v>per 100 referrals</v>
      </c>
      <c r="C56" s="49">
        <f t="shared" si="10"/>
        <v>0.21</v>
      </c>
      <c r="D56" s="49">
        <f t="shared" si="10"/>
        <v>0.02</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0.02</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0.02</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2.2269999999999999</v>
      </c>
      <c r="D60" s="56">
        <f>D54</f>
        <v>0.17599999999999999</v>
      </c>
      <c r="E60" s="56">
        <f>MAX(C60:D60)</f>
        <v>2.2269999999999999</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0.02</v>
      </c>
      <c r="E61" s="49">
        <f>MAX(C61:D61)</f>
        <v>0.12</v>
      </c>
      <c r="G61" s="1" t="str">
        <f>G55</f>
        <v>per 100 arrests</v>
      </c>
      <c r="L61" s="58">
        <f>IF(($E55&gt;0),L55,L54)</f>
        <v>100</v>
      </c>
      <c r="M61" s="58"/>
    </row>
    <row r="62" spans="2:18" ht="15" hidden="1" customHeight="1" x14ac:dyDescent="0.25">
      <c r="B62" s="49" t="str">
        <f t="shared" si="11"/>
        <v>per 100 referrals</v>
      </c>
      <c r="C62" s="49">
        <f t="shared" si="11"/>
        <v>0.21</v>
      </c>
      <c r="D62" s="49">
        <f t="shared" si="11"/>
        <v>0.02</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0.02</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0.02</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2.2269999999999999</v>
      </c>
      <c r="D66" s="56">
        <f>D60</f>
        <v>0.17599999999999999</v>
      </c>
      <c r="E66" s="56">
        <f>MAX(C66:D66)</f>
        <v>2.2269999999999999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0.02</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0.02</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0.02</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0.02</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Huron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2403</v>
      </c>
      <c r="D3" s="57">
        <f>'Data Entry'!C6</f>
        <v>2227</v>
      </c>
      <c r="E3" s="57">
        <f>'Data Entry'!D6</f>
        <v>38</v>
      </c>
      <c r="F3" s="57">
        <f>'Data Entry'!E6</f>
        <v>107</v>
      </c>
      <c r="G3" s="57">
        <f>'Data Entry'!F6</f>
        <v>22</v>
      </c>
      <c r="H3" s="57">
        <f>'Data Entry'!G6</f>
        <v>0</v>
      </c>
      <c r="I3" s="57">
        <f>'Data Entry'!H6</f>
        <v>9</v>
      </c>
      <c r="J3" s="57">
        <f>'Data Entry'!I6</f>
        <v>0</v>
      </c>
      <c r="K3" s="57">
        <f>'Data Entry'!J6</f>
        <v>176</v>
      </c>
    </row>
    <row r="4" spans="2:11" ht="15" customHeight="1" x14ac:dyDescent="0.25">
      <c r="B4" s="16" t="s">
        <v>8</v>
      </c>
      <c r="C4" s="1">
        <f>IF((C$3&gt;0),(1000*('Data Entry'!B7/'Data Entry'!B$6)), 0)</f>
        <v>7.9067831876820645</v>
      </c>
      <c r="D4" s="1">
        <f>IF((D$3&gt;0),(1000*('Data Entry'!C7/'Data Entry'!C$6)), 0)</f>
        <v>5.3884149079479124</v>
      </c>
      <c r="E4" s="1">
        <f>IF((E$3&gt;0),(1000*('Data Entry'!D7/'Data Entry'!D$6)), 0)</f>
        <v>52.631578947368418</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11.363636363636363</v>
      </c>
    </row>
    <row r="5" spans="2:11" ht="15" customHeight="1" x14ac:dyDescent="0.25">
      <c r="B5" s="16" t="s">
        <v>9</v>
      </c>
      <c r="C5" s="1">
        <f>IF((C$3&gt;0),(1000*('Data Entry'!B8/'Data Entry'!B$6)), 0)</f>
        <v>17.062005826050772</v>
      </c>
      <c r="D5" s="1">
        <f>IF((D$3&gt;0),(1000*('Data Entry'!C8/'Data Entry'!C$6)), 0)</f>
        <v>9.429726088908847</v>
      </c>
      <c r="E5" s="1">
        <f>IF((E$3&gt;0),(1000*('Data Entry'!D8/'Data Entry'!D$6)), 0)</f>
        <v>52.631578947368418</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11.363636363636363</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11.235955056179774</v>
      </c>
      <c r="D8" s="1">
        <f>IF((D$3&gt;0),(1000*('Data Entry'!C11/'Data Entry'!C$6)), 0)</f>
        <v>5.8374494836102375</v>
      </c>
      <c r="E8" s="1">
        <f>IF((E$3&gt;0),(1000*('Data Entry'!D11/'Data Entry'!D$6)), 0)</f>
        <v>52.631578947368418</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11.363636363636363</v>
      </c>
    </row>
    <row r="9" spans="2:11" ht="15" customHeight="1" x14ac:dyDescent="0.25">
      <c r="B9" s="16" t="s">
        <v>13</v>
      </c>
      <c r="C9" s="1">
        <f>IF((C$3&gt;0),(1000*('Data Entry'!B12/'Data Entry'!B$6)), 0)</f>
        <v>5.4099042863087803</v>
      </c>
      <c r="D9" s="1">
        <f>IF((D$3&gt;0),(1000*('Data Entry'!C12/'Data Entry'!C$6)), 0)</f>
        <v>2.2451728783116303</v>
      </c>
      <c r="E9" s="1">
        <f>IF((E$3&gt;0),(1000*('Data Entry'!D12/'Data Entry'!D$6)), 0)</f>
        <v>52.631578947368418</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11.363636363636363</v>
      </c>
    </row>
    <row r="10" spans="2:11" ht="15" customHeight="1" x14ac:dyDescent="0.25">
      <c r="B10" s="16" t="s">
        <v>14</v>
      </c>
      <c r="C10" s="1">
        <f>IF((C$3&gt;0),(1000*('Data Entry'!B13/'Data Entry'!B$6)), 0)</f>
        <v>10.403662089055347</v>
      </c>
      <c r="D10" s="1">
        <f>IF((D$3&gt;0),(1000*('Data Entry'!C13/'Data Entry'!C$6)), 0)</f>
        <v>5.3884149079479124</v>
      </c>
      <c r="E10" s="1">
        <f>IF((E$3&gt;0),(1000*('Data Entry'!D13/'Data Entry'!D$6)), 0)</f>
        <v>52.631578947368418</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11.363636363636363</v>
      </c>
    </row>
    <row r="11" spans="2:11" ht="25.5" customHeight="1" x14ac:dyDescent="0.25">
      <c r="B11" s="16" t="s">
        <v>15</v>
      </c>
      <c r="C11" s="1">
        <f>IF((C$3&gt;0),(1000*('Data Entry'!B14/'Data Entry'!B$6)), 0)</f>
        <v>0.4161464835622139</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Huron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9.7675438596491215</v>
      </c>
      <c r="E19" s="72" t="str">
        <f t="shared" si="1"/>
        <v>--</v>
      </c>
      <c r="F19" s="72" t="str">
        <f t="shared" si="1"/>
        <v>--</v>
      </c>
      <c r="G19" s="72" t="str">
        <f t="shared" si="1"/>
        <v>--</v>
      </c>
      <c r="H19" s="72" t="str">
        <f t="shared" si="1"/>
        <v>--</v>
      </c>
      <c r="I19" s="72" t="str">
        <f t="shared" si="1"/>
        <v>--</v>
      </c>
      <c r="J19" s="73">
        <f t="shared" si="1"/>
        <v>2.1089015151515147</v>
      </c>
    </row>
    <row r="20" spans="2:10" ht="15" customHeight="1" x14ac:dyDescent="0.25">
      <c r="B20" s="71" t="s">
        <v>9</v>
      </c>
      <c r="C20" s="72">
        <f t="shared" ref="C20:J27" si="2">IF(AND(($D5&gt;0),(D5&gt;0)), (D5/$D5),"--")</f>
        <v>1</v>
      </c>
      <c r="D20" s="72">
        <f t="shared" si="2"/>
        <v>5.5814536340852117</v>
      </c>
      <c r="E20" s="72" t="str">
        <f t="shared" si="2"/>
        <v>--</v>
      </c>
      <c r="F20" s="72" t="str">
        <f t="shared" si="2"/>
        <v>--</v>
      </c>
      <c r="G20" s="72" t="str">
        <f t="shared" si="2"/>
        <v>--</v>
      </c>
      <c r="H20" s="72" t="str">
        <f t="shared" si="2"/>
        <v>--</v>
      </c>
      <c r="I20" s="72" t="str">
        <f t="shared" si="2"/>
        <v>--</v>
      </c>
      <c r="J20" s="73">
        <f t="shared" si="2"/>
        <v>1.20508658008658</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9.0161943319838063</v>
      </c>
      <c r="E23" s="72" t="str">
        <f t="shared" si="2"/>
        <v>--</v>
      </c>
      <c r="F23" s="72" t="str">
        <f t="shared" si="2"/>
        <v>--</v>
      </c>
      <c r="G23" s="72" t="str">
        <f t="shared" si="2"/>
        <v>--</v>
      </c>
      <c r="H23" s="72" t="str">
        <f t="shared" si="2"/>
        <v>--</v>
      </c>
      <c r="I23" s="72" t="str">
        <f t="shared" si="2"/>
        <v>--</v>
      </c>
      <c r="J23" s="73">
        <f t="shared" si="2"/>
        <v>1.9466783216783219</v>
      </c>
    </row>
    <row r="24" spans="2:10" ht="15" customHeight="1" x14ac:dyDescent="0.25">
      <c r="B24" s="71" t="s">
        <v>13</v>
      </c>
      <c r="C24" s="72">
        <f t="shared" si="2"/>
        <v>1</v>
      </c>
      <c r="D24" s="72">
        <f t="shared" si="2"/>
        <v>23.442105263157892</v>
      </c>
      <c r="E24" s="72" t="str">
        <f t="shared" si="2"/>
        <v>--</v>
      </c>
      <c r="F24" s="72" t="str">
        <f t="shared" si="2"/>
        <v>--</v>
      </c>
      <c r="G24" s="72" t="str">
        <f t="shared" si="2"/>
        <v>--</v>
      </c>
      <c r="H24" s="72" t="str">
        <f t="shared" si="2"/>
        <v>--</v>
      </c>
      <c r="I24" s="72" t="str">
        <f t="shared" si="2"/>
        <v>--</v>
      </c>
      <c r="J24" s="73">
        <f t="shared" si="2"/>
        <v>5.0613636363636356</v>
      </c>
    </row>
    <row r="25" spans="2:10" ht="15" customHeight="1" x14ac:dyDescent="0.25">
      <c r="B25" s="71" t="s">
        <v>14</v>
      </c>
      <c r="C25" s="72">
        <f t="shared" si="2"/>
        <v>1</v>
      </c>
      <c r="D25" s="72">
        <f t="shared" si="2"/>
        <v>9.7675438596491215</v>
      </c>
      <c r="E25" s="72" t="str">
        <f t="shared" si="2"/>
        <v>--</v>
      </c>
      <c r="F25" s="72" t="str">
        <f t="shared" si="2"/>
        <v>--</v>
      </c>
      <c r="G25" s="72" t="str">
        <f t="shared" si="2"/>
        <v>--</v>
      </c>
      <c r="H25" s="72" t="str">
        <f t="shared" si="2"/>
        <v>--</v>
      </c>
      <c r="I25" s="72" t="str">
        <f t="shared" si="2"/>
        <v>--</v>
      </c>
      <c r="J25" s="73">
        <f t="shared" si="2"/>
        <v>2.1089015151515147</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Huron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2227</v>
      </c>
      <c r="D7" s="105">
        <f>'Data Entry'!D6</f>
        <v>38</v>
      </c>
      <c r="E7" s="106"/>
      <c r="F7" s="107">
        <f>'Data Entry'!E6</f>
        <v>107</v>
      </c>
      <c r="G7" s="106"/>
      <c r="H7" s="107">
        <f>'Data Entry'!F6</f>
        <v>22</v>
      </c>
      <c r="I7" s="106"/>
      <c r="J7" s="107">
        <f>'Data Entry'!G6</f>
        <v>0</v>
      </c>
      <c r="K7" s="106"/>
      <c r="L7" s="107">
        <f>'Data Entry'!H6</f>
        <v>9</v>
      </c>
      <c r="M7" s="106"/>
      <c r="N7" s="107">
        <f>'Data Entry'!I6</f>
        <v>0</v>
      </c>
      <c r="O7" s="106"/>
      <c r="P7" s="107">
        <f>'Data Entry'!J6</f>
        <v>176</v>
      </c>
      <c r="Q7" s="108"/>
    </row>
    <row r="8" spans="2:26" s="1" customFormat="1" ht="15" customHeight="1" x14ac:dyDescent="0.3">
      <c r="B8" s="149" t="s">
        <v>8</v>
      </c>
      <c r="C8" s="104">
        <f>'Data Entry'!C7</f>
        <v>12</v>
      </c>
      <c r="D8" s="105">
        <f>'Data Entry'!D7</f>
        <v>2</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2</v>
      </c>
      <c r="Q8" s="108" t="str">
        <f>'All Minorities'!G7</f>
        <v>**</v>
      </c>
      <c r="R8"/>
      <c r="T8" s="1">
        <f>'Black or African-American'!L7</f>
        <v>20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21</v>
      </c>
      <c r="D9" s="109">
        <f>'Data Entry'!D8</f>
        <v>2</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2</v>
      </c>
      <c r="Q9" s="112"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13</v>
      </c>
      <c r="D12" s="113">
        <f>'Data Entry'!D11</f>
        <v>2</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2</v>
      </c>
      <c r="Q12" s="116"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x14ac:dyDescent="0.3">
      <c r="B13" s="149" t="s">
        <v>13</v>
      </c>
      <c r="C13" s="104">
        <f>'Data Entry'!C12</f>
        <v>5</v>
      </c>
      <c r="D13" s="109">
        <f>'Data Entry'!D12</f>
        <v>2</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2</v>
      </c>
      <c r="Q13" s="112"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12</v>
      </c>
      <c r="D14" s="113">
        <f>'Data Entry'!D13</f>
        <v>2</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2</v>
      </c>
      <c r="Q14" s="116"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Huron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Huron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12.65340909090909</v>
      </c>
    </row>
    <row r="8" spans="1:12" ht="25.5" customHeight="1" x14ac:dyDescent="0.2">
      <c r="A8" s="158" t="str">
        <f>CONCATENATE("Confinement, total N=", 'Data Entry'!B14)</f>
        <v>Confinement, total N=1</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v>
      </c>
      <c r="K8" s="97" t="str">
        <f>A8</f>
        <v>Confinement, total N=1</v>
      </c>
      <c r="L8">
        <f>I14/(SUM(B14:G14))</f>
        <v>12.65340909090909</v>
      </c>
    </row>
    <row r="9" spans="1:12" x14ac:dyDescent="0.2">
      <c r="A9" s="132" t="str">
        <f>CONCATENATE("Delinquent Findings, total N=", 'Data Entry'!B12)</f>
        <v>Delinquent Findings, total N=13</v>
      </c>
      <c r="B9" s="157">
        <f>'Data Entry'!D12/'Data Entry'!B12</f>
        <v>0.15384615384615385</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0.38461538461538464</v>
      </c>
      <c r="K9" s="97" t="str">
        <f t="shared" si="0"/>
        <v>Delinquent Findings, total N=13</v>
      </c>
      <c r="L9">
        <f>I14/(SUM(B14:G14))</f>
        <v>12.65340909090909</v>
      </c>
    </row>
    <row r="10" spans="1:12" x14ac:dyDescent="0.2">
      <c r="A10" s="132" t="str">
        <f>CONCATENATE("Petitions, total N=", 'Data Entry'!B11)</f>
        <v>Petitions, total N=27</v>
      </c>
      <c r="B10" s="157">
        <f>'Data Entry'!D11/'Data Entry'!B11</f>
        <v>7.407407407407407E-2</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0.48148148148148145</v>
      </c>
      <c r="K10" s="97" t="str">
        <f t="shared" si="0"/>
        <v>Petitions, total N=27</v>
      </c>
      <c r="L10">
        <f>I14/(SUM(B14:G14))</f>
        <v>12.65340909090909</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12.65340909090909</v>
      </c>
    </row>
    <row r="12" spans="1:12" x14ac:dyDescent="0.2">
      <c r="A12" s="132" t="str">
        <f>CONCATENATE("Referrals, total N=", 'Data Entry'!B8)</f>
        <v>Referrals, total N=41</v>
      </c>
      <c r="B12" s="157">
        <f>'Data Entry'!D8/'Data Entry'!B8</f>
        <v>4.878048780487805E-2</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0.51219512195121952</v>
      </c>
      <c r="K12" s="97" t="str">
        <f t="shared" si="0"/>
        <v>Referrals, total N=41</v>
      </c>
      <c r="L12">
        <f>I14/(SUM(B14:G14))</f>
        <v>12.65340909090909</v>
      </c>
    </row>
    <row r="13" spans="1:12" x14ac:dyDescent="0.2">
      <c r="A13" s="132" t="str">
        <f>CONCATENATE("Arrests, total N=", 'Data Entry'!B7)</f>
        <v>Arrests, total N=19</v>
      </c>
      <c r="B13" s="157">
        <f>'Data Entry'!D7/'Data Entry'!B7</f>
        <v>0.10526315789473684</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0.63157894736842102</v>
      </c>
      <c r="K13" s="97" t="str">
        <f t="shared" si="0"/>
        <v>Arrests, total N=19</v>
      </c>
      <c r="L13">
        <f>I14/(SUM(B14:G14))</f>
        <v>12.65340909090909</v>
      </c>
    </row>
    <row r="14" spans="1:12" x14ac:dyDescent="0.2">
      <c r="A14" s="132" t="str">
        <f>CONCATENATE("Population, total N=", 'Data Entry'!B6)</f>
        <v>Population, total N=2403</v>
      </c>
      <c r="B14" s="157">
        <f>'Data Entry'!D6/'Data Entry'!B6</f>
        <v>1.581356637536413E-2</v>
      </c>
      <c r="C14" s="157">
        <f>'Data Entry'!E6/'Data Entry'!B6</f>
        <v>4.452767374115689E-2</v>
      </c>
      <c r="D14" s="157">
        <f>'Data Entry'!F6/'Data Entry'!B6</f>
        <v>9.1552226383687062E-3</v>
      </c>
      <c r="E14" s="157">
        <f>'Data Entry'!G6/'Data Entry'!B6</f>
        <v>0</v>
      </c>
      <c r="F14" s="157">
        <f>'Data Entry'!H6/'Data Entry'!B6</f>
        <v>3.7453183520599251E-3</v>
      </c>
      <c r="G14" s="157">
        <f>'Data Entry'!I6/'Data Entry'!B6</f>
        <v>0</v>
      </c>
      <c r="H14" s="157">
        <f>SUM(D14:G14)/'Data Entry'!B6</f>
        <v>5.3685147692170751E-6</v>
      </c>
      <c r="I14" s="157">
        <f>'Data Entry'!C6/'Data Entry'!B6</f>
        <v>0.92675821889305032</v>
      </c>
      <c r="K14" s="97" t="str">
        <f t="shared" si="0"/>
        <v>Population, total N=2403</v>
      </c>
      <c r="L14">
        <f>I14/(SUM(B14:G14))</f>
        <v>12.65340909090909</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Huron</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2227</v>
      </c>
      <c r="D7" s="105">
        <f>'Data Entry'!D6</f>
        <v>38</v>
      </c>
      <c r="E7" s="106"/>
      <c r="F7" s="107">
        <f>'Data Entry'!E6</f>
        <v>107</v>
      </c>
      <c r="G7" s="106"/>
      <c r="H7" s="107">
        <f>'Data Entry'!F6</f>
        <v>22</v>
      </c>
      <c r="I7" s="106"/>
      <c r="J7" s="107">
        <f>'Data Entry'!J6</f>
        <v>176</v>
      </c>
      <c r="K7" s="108"/>
    </row>
    <row r="8" spans="2:30" s="1" customFormat="1" ht="15" customHeight="1" x14ac:dyDescent="0.3">
      <c r="B8" s="125" t="s">
        <v>8</v>
      </c>
      <c r="C8" s="104">
        <f>'Data Entry'!C7</f>
        <v>12</v>
      </c>
      <c r="D8" s="105">
        <f>'Data Entry'!D7</f>
        <v>2</v>
      </c>
      <c r="E8" s="106" t="str">
        <f>'Black or African-American'!$G7</f>
        <v>**</v>
      </c>
      <c r="F8" s="107">
        <f>'Data Entry'!E7</f>
        <v>0</v>
      </c>
      <c r="G8" s="106" t="str">
        <f>Hispanic!G7</f>
        <v>**</v>
      </c>
      <c r="H8" s="107">
        <f>'Data Entry'!F7</f>
        <v>0</v>
      </c>
      <c r="I8" s="106" t="str">
        <f>Asian!G7</f>
        <v>*</v>
      </c>
      <c r="J8" s="107">
        <f>'Data Entry'!J7</f>
        <v>2</v>
      </c>
      <c r="K8" s="108" t="str">
        <f>'All Minorities'!G7</f>
        <v>**</v>
      </c>
      <c r="L8"/>
      <c r="N8" s="1">
        <f>'Black or African-American'!L7</f>
        <v>20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21</v>
      </c>
      <c r="D9" s="109">
        <f>'Data Entry'!D8</f>
        <v>2</v>
      </c>
      <c r="E9" s="110" t="str">
        <f>'Black or African-American'!$G8</f>
        <v>**</v>
      </c>
      <c r="F9" s="111">
        <f>'Data Entry'!E8</f>
        <v>0</v>
      </c>
      <c r="G9" s="110" t="str">
        <f>Hispanic!G8</f>
        <v>**</v>
      </c>
      <c r="H9" s="111">
        <f>'Data Entry'!F8</f>
        <v>0</v>
      </c>
      <c r="I9" s="110" t="str">
        <f>Asian!G8</f>
        <v>*</v>
      </c>
      <c r="J9" s="111">
        <f>'Data Entry'!J8</f>
        <v>2</v>
      </c>
      <c r="K9" s="112"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13</v>
      </c>
      <c r="D12" s="113">
        <f>'Data Entry'!D11</f>
        <v>2</v>
      </c>
      <c r="E12" s="114" t="str">
        <f>'Black or African-American'!$G11</f>
        <v>**</v>
      </c>
      <c r="F12" s="115">
        <f>'Data Entry'!E11</f>
        <v>0</v>
      </c>
      <c r="G12" s="114" t="str">
        <f>Hispanic!G11</f>
        <v>--</v>
      </c>
      <c r="H12" s="115">
        <f>'Data Entry'!F11</f>
        <v>0</v>
      </c>
      <c r="I12" s="114" t="str">
        <f>Asian!G11</f>
        <v>*</v>
      </c>
      <c r="J12" s="115">
        <f>'Data Entry'!J11</f>
        <v>2</v>
      </c>
      <c r="K12" s="116"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x14ac:dyDescent="0.3">
      <c r="B13" s="125" t="s">
        <v>13</v>
      </c>
      <c r="C13" s="104">
        <f>'Data Entry'!C12</f>
        <v>5</v>
      </c>
      <c r="D13" s="109">
        <f>'Data Entry'!D12</f>
        <v>2</v>
      </c>
      <c r="E13" s="110" t="str">
        <f>'Black or African-American'!$G12</f>
        <v>**</v>
      </c>
      <c r="F13" s="111">
        <f>'Data Entry'!E12</f>
        <v>0</v>
      </c>
      <c r="G13" s="110" t="str">
        <f>Hispanic!G12</f>
        <v>--</v>
      </c>
      <c r="H13" s="111">
        <f>'Data Entry'!F12</f>
        <v>0</v>
      </c>
      <c r="I13" s="110" t="str">
        <f>Asian!G12</f>
        <v>*</v>
      </c>
      <c r="J13" s="111">
        <f>'Data Entry'!J12</f>
        <v>2</v>
      </c>
      <c r="K13" s="112"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12</v>
      </c>
      <c r="D14" s="113">
        <f>'Data Entry'!D13</f>
        <v>2</v>
      </c>
      <c r="E14" s="114" t="str">
        <f>'Black or African-American'!$G13</f>
        <v>**</v>
      </c>
      <c r="F14" s="115">
        <f>'Data Entry'!E13</f>
        <v>0</v>
      </c>
      <c r="G14" s="114" t="str">
        <f>Hispanic!G13</f>
        <v>--</v>
      </c>
      <c r="H14" s="115">
        <f>'Data Entry'!F13</f>
        <v>0</v>
      </c>
      <c r="I14" s="114" t="str">
        <f>Asian!G13</f>
        <v>*</v>
      </c>
      <c r="J14" s="115">
        <f>'Data Entry'!J13</f>
        <v>2</v>
      </c>
      <c r="K14" s="116"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Huron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2227</v>
      </c>
      <c r="D6" s="34"/>
      <c r="E6" s="33">
        <f>'Data Entry'!D6</f>
        <v>38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5.3884149079479124</v>
      </c>
      <c r="E7" s="33">
        <f>'Data Entry'!D7</f>
        <v>2</v>
      </c>
      <c r="F7" s="34">
        <f>IF((AND($E$7&gt;0,$D$66&gt;0)),($E$7/$D$66),0)</f>
        <v>52.631578947368425</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36</v>
      </c>
      <c r="P7" s="42">
        <f t="shared" ref="P7:P15" si="2">C7</f>
        <v>12</v>
      </c>
      <c r="Q7" s="42">
        <f>C6-C7</f>
        <v>2215</v>
      </c>
      <c r="R7" s="42">
        <f t="shared" ref="R7:R15" si="3">SUM(N7:Q7)</f>
        <v>2265</v>
      </c>
      <c r="S7" s="30">
        <f t="shared" ref="S7:S15" si="4">R7*((((N7*Q7)-(O7*P7))^2))</f>
        <v>36203769060</v>
      </c>
      <c r="T7" s="30">
        <f t="shared" ref="T7:T15" si="5">(N7+O7)*(P7+Q7)*(N7+P7)*(O7+Q7)</f>
        <v>2666903764</v>
      </c>
      <c r="U7" s="31">
        <f t="shared" ref="U7:U15" si="6">IF((S7&gt;0),S7/T7,"- -")</f>
        <v>13.575206405535674</v>
      </c>
    </row>
    <row r="8" spans="2:21" ht="18" customHeight="1" x14ac:dyDescent="0.25">
      <c r="B8" s="32" t="str">
        <f>'Data Entry'!A8</f>
        <v>3. Refer to Juvenile Court</v>
      </c>
      <c r="C8" s="33">
        <f>'Data Entry'!C8</f>
        <v>21</v>
      </c>
      <c r="D8" s="34">
        <f>IF((AND(C67&gt;0,C8&gt;0)),(C8/C67),0)</f>
        <v>175</v>
      </c>
      <c r="E8" s="33">
        <f>'Data Entry'!D8</f>
        <v>2</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2</v>
      </c>
      <c r="O8" s="42">
        <f>((D67*L67)-E8)+0.05</f>
        <v>0.05</v>
      </c>
      <c r="P8" s="42">
        <f t="shared" si="2"/>
        <v>21</v>
      </c>
      <c r="Q8" s="42">
        <f>(C$67*L67)-C8</f>
        <v>-9</v>
      </c>
      <c r="R8" s="42">
        <f t="shared" si="3"/>
        <v>14.05</v>
      </c>
      <c r="S8" s="30">
        <f t="shared" si="4"/>
        <v>5098.7801250000011</v>
      </c>
      <c r="T8" s="30">
        <f t="shared" si="5"/>
        <v>-5063.9099999999989</v>
      </c>
      <c r="U8" s="31">
        <f t="shared" si="6"/>
        <v>-1.0068860080451671</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v>
      </c>
      <c r="P9" s="42">
        <f t="shared" si="2"/>
        <v>0</v>
      </c>
      <c r="Q9" s="42">
        <f>(C$68*L68)-C9</f>
        <v>21</v>
      </c>
      <c r="R9" s="42">
        <f t="shared" si="3"/>
        <v>23</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v>
      </c>
      <c r="P10" s="42">
        <f t="shared" si="2"/>
        <v>0</v>
      </c>
      <c r="Q10" s="42">
        <f>(C$68*L68)-C10</f>
        <v>21</v>
      </c>
      <c r="R10" s="42">
        <f t="shared" si="3"/>
        <v>23</v>
      </c>
      <c r="S10" s="30">
        <f t="shared" si="4"/>
        <v>0</v>
      </c>
      <c r="T10" s="30">
        <f t="shared" si="5"/>
        <v>0</v>
      </c>
      <c r="U10" s="31" t="str">
        <f t="shared" si="6"/>
        <v>- -</v>
      </c>
    </row>
    <row r="11" spans="2:21" ht="18" customHeight="1" x14ac:dyDescent="0.25">
      <c r="B11" s="32" t="str">
        <f>'Data Entry'!A11</f>
        <v>6. Cases Petitioned (Charge Filed)</v>
      </c>
      <c r="C11" s="33">
        <f>'Data Entry'!C11</f>
        <v>13</v>
      </c>
      <c r="D11" s="34">
        <f>IF(((AND(C68&gt;0,C11&gt;0))),(C11/(C68)),0)</f>
        <v>61.904761904761905</v>
      </c>
      <c r="E11" s="33">
        <f>'Data Entry'!D11</f>
        <v>2</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0</v>
      </c>
      <c r="P11" s="42">
        <f t="shared" si="2"/>
        <v>13</v>
      </c>
      <c r="Q11" s="42">
        <f>(C$68*L68)-C11</f>
        <v>8</v>
      </c>
      <c r="R11" s="42">
        <f t="shared" si="3"/>
        <v>23</v>
      </c>
      <c r="S11" s="30">
        <f t="shared" si="4"/>
        <v>5888</v>
      </c>
      <c r="T11" s="30">
        <f t="shared" si="5"/>
        <v>5040</v>
      </c>
      <c r="U11" s="31">
        <f t="shared" si="6"/>
        <v>1.1682539682539683</v>
      </c>
    </row>
    <row r="12" spans="2:21" ht="18" customHeight="1" x14ac:dyDescent="0.25">
      <c r="B12" s="32" t="str">
        <f>'Data Entry'!A12</f>
        <v>7. Cases Resulting in Delinquent Findings</v>
      </c>
      <c r="C12" s="33">
        <f>'Data Entry'!C12</f>
        <v>5</v>
      </c>
      <c r="D12" s="34">
        <f>IF(((AND(C69&gt;0,C12&gt;0))),(C12/(C69)),0)</f>
        <v>38.46153846153846</v>
      </c>
      <c r="E12" s="33">
        <f>'Data Entry'!D12</f>
        <v>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0</v>
      </c>
      <c r="P12" s="42">
        <f t="shared" si="2"/>
        <v>5</v>
      </c>
      <c r="Q12" s="42">
        <f>(C69*L69)-C12</f>
        <v>8</v>
      </c>
      <c r="R12" s="42">
        <f t="shared" si="3"/>
        <v>15</v>
      </c>
      <c r="S12" s="30">
        <f t="shared" si="4"/>
        <v>3840</v>
      </c>
      <c r="T12" s="30">
        <f t="shared" si="5"/>
        <v>1456</v>
      </c>
      <c r="U12" s="31">
        <f t="shared" si="6"/>
        <v>2.6373626373626373</v>
      </c>
    </row>
    <row r="13" spans="2:21" ht="18" customHeight="1" x14ac:dyDescent="0.25">
      <c r="B13" s="32" t="str">
        <f>'Data Entry'!A13</f>
        <v>8. Cases Resulting in Probation Placement</v>
      </c>
      <c r="C13" s="33">
        <f>'Data Entry'!C13</f>
        <v>12</v>
      </c>
      <c r="D13" s="34">
        <f>IF(((AND(C70&gt;0,C13&gt;0))),(C13/(C70)),0)</f>
        <v>240</v>
      </c>
      <c r="E13" s="33">
        <f>'Data Entry'!D13</f>
        <v>2</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0</v>
      </c>
      <c r="P13" s="42">
        <f t="shared" si="2"/>
        <v>12</v>
      </c>
      <c r="Q13" s="42">
        <f>(C70*L70)-C13</f>
        <v>-7</v>
      </c>
      <c r="R13" s="42">
        <f t="shared" si="3"/>
        <v>7</v>
      </c>
      <c r="S13" s="30">
        <f t="shared" si="4"/>
        <v>1372</v>
      </c>
      <c r="T13" s="30">
        <f t="shared" si="5"/>
        <v>-980</v>
      </c>
      <c r="U13" s="31">
        <f t="shared" si="6"/>
        <v>-1.4</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v>
      </c>
      <c r="P14" s="42">
        <f t="shared" si="2"/>
        <v>0</v>
      </c>
      <c r="Q14" s="42">
        <f>(C70*L70)-C14</f>
        <v>5</v>
      </c>
      <c r="R14" s="42">
        <f t="shared" si="3"/>
        <v>7</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13</v>
      </c>
      <c r="R15" s="42">
        <f t="shared" si="3"/>
        <v>15</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2.2269999999999999</v>
      </c>
      <c r="D42" s="56">
        <f>E6/1000</f>
        <v>3.7999999999999999E-2</v>
      </c>
      <c r="E42" s="56">
        <f>MAX(C42:D42)</f>
        <v>2.2269999999999999</v>
      </c>
      <c r="G42" s="1" t="str">
        <f>B42</f>
        <v>per 1000 youth</v>
      </c>
      <c r="L42" s="57">
        <v>1000</v>
      </c>
      <c r="M42" s="57"/>
      <c r="R42" s="49"/>
    </row>
    <row r="43" spans="2:18" ht="15" hidden="1" customHeight="1" x14ac:dyDescent="0.25">
      <c r="B43" s="49" t="s">
        <v>87</v>
      </c>
      <c r="C43" s="56">
        <f>C7/100</f>
        <v>0.12</v>
      </c>
      <c r="D43" s="56">
        <f>E7/100</f>
        <v>0.02</v>
      </c>
      <c r="E43" s="56">
        <f>MAX(C43:D43,0)</f>
        <v>0.12</v>
      </c>
      <c r="G43" s="1" t="str">
        <f>B43</f>
        <v>per 100 arrests</v>
      </c>
      <c r="L43" s="57">
        <v>100</v>
      </c>
      <c r="M43" s="57"/>
      <c r="R43" s="49"/>
    </row>
    <row r="44" spans="2:18" ht="15" hidden="1" customHeight="1" x14ac:dyDescent="0.25">
      <c r="B44" s="49" t="s">
        <v>88</v>
      </c>
      <c r="C44" s="56">
        <f>C8/100</f>
        <v>0.21</v>
      </c>
      <c r="D44" s="56">
        <f>E8/100</f>
        <v>0.02</v>
      </c>
      <c r="E44" s="56">
        <f>MAX(C44:D44,0)</f>
        <v>0.21</v>
      </c>
      <c r="G44" s="1" t="str">
        <f>B44</f>
        <v>per 100 referrals</v>
      </c>
      <c r="L44" s="57">
        <v>100</v>
      </c>
      <c r="M44" s="57"/>
      <c r="R44" s="49"/>
    </row>
    <row r="45" spans="2:18" ht="15" hidden="1" customHeight="1" x14ac:dyDescent="0.25">
      <c r="B45" s="49" t="s">
        <v>89</v>
      </c>
      <c r="C45" s="49">
        <f>C11/100</f>
        <v>0.13</v>
      </c>
      <c r="D45" s="49">
        <f>E11/100</f>
        <v>0.02</v>
      </c>
      <c r="E45" s="56">
        <f>MAX(C45:D45,0)</f>
        <v>0.13</v>
      </c>
      <c r="G45" s="1" t="str">
        <f>B45</f>
        <v>per 100 youth petitioned</v>
      </c>
      <c r="L45" s="57">
        <v>100</v>
      </c>
      <c r="M45" s="57"/>
      <c r="R45" s="49"/>
    </row>
    <row r="46" spans="2:18" ht="15" hidden="1" customHeight="1" x14ac:dyDescent="0.25">
      <c r="B46" s="49" t="s">
        <v>90</v>
      </c>
      <c r="C46" s="49">
        <f>C12/100</f>
        <v>0.05</v>
      </c>
      <c r="D46" s="49">
        <f>E12/100</f>
        <v>0.02</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2.2269999999999999</v>
      </c>
      <c r="D48" s="56">
        <f>D42</f>
        <v>3.7999999999999999E-2</v>
      </c>
      <c r="E48" s="56">
        <f>MAX(C48:D48)</f>
        <v>2.2269999999999999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0.12</v>
      </c>
      <c r="D49" s="49">
        <f t="shared" si="9"/>
        <v>0.02</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0.02</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0.02</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0.02</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2.2269999999999999</v>
      </c>
      <c r="D54" s="56">
        <f>D48</f>
        <v>3.7999999999999999E-2</v>
      </c>
      <c r="E54" s="56">
        <f>MAX(C54:D54)</f>
        <v>2.2269999999999999</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0.02</v>
      </c>
      <c r="E55" s="49">
        <f>MAX(C55:D55)</f>
        <v>0.12</v>
      </c>
      <c r="G55" s="1" t="str">
        <f>G49</f>
        <v>per 100 arrests</v>
      </c>
      <c r="L55" s="58">
        <f>IF(($E49&gt;0),L49,L48)</f>
        <v>100</v>
      </c>
      <c r="M55" s="58"/>
    </row>
    <row r="56" spans="2:18" ht="15" hidden="1" customHeight="1" x14ac:dyDescent="0.25">
      <c r="B56" s="49" t="str">
        <f t="shared" si="10"/>
        <v>per 100 referrals</v>
      </c>
      <c r="C56" s="49">
        <f t="shared" si="10"/>
        <v>0.21</v>
      </c>
      <c r="D56" s="49">
        <f t="shared" si="10"/>
        <v>0.02</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0.02</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0.02</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2.2269999999999999</v>
      </c>
      <c r="D60" s="56">
        <f>D54</f>
        <v>3.7999999999999999E-2</v>
      </c>
      <c r="E60" s="56">
        <f>MAX(C60:D60)</f>
        <v>2.2269999999999999</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0.02</v>
      </c>
      <c r="E61" s="49">
        <f>MAX(C61:D61)</f>
        <v>0.12</v>
      </c>
      <c r="G61" s="1" t="str">
        <f>G55</f>
        <v>per 100 arrests</v>
      </c>
      <c r="L61" s="58">
        <f>IF(($E55&gt;0),L55,L54)</f>
        <v>100</v>
      </c>
      <c r="M61" s="58"/>
    </row>
    <row r="62" spans="2:18" ht="15" hidden="1" customHeight="1" x14ac:dyDescent="0.25">
      <c r="B62" s="49" t="str">
        <f t="shared" si="11"/>
        <v>per 100 referrals</v>
      </c>
      <c r="C62" s="49">
        <f t="shared" si="11"/>
        <v>0.21</v>
      </c>
      <c r="D62" s="49">
        <f t="shared" si="11"/>
        <v>0.02</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0.02</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0.02</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2.2269999999999999</v>
      </c>
      <c r="D66" s="56">
        <f>D60</f>
        <v>3.7999999999999999E-2</v>
      </c>
      <c r="E66" s="56">
        <f>MAX(C66:D66)</f>
        <v>2.2269999999999999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0.02</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0.02</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0.02</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0.02</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Huron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2227</v>
      </c>
      <c r="D6" s="34"/>
      <c r="E6" s="33">
        <f>'Data Entry'!F6</f>
        <v>22</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5.3884149079479124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22</v>
      </c>
      <c r="P7" s="42">
        <f t="shared" ref="P7:P15" si="4">C7</f>
        <v>12</v>
      </c>
      <c r="Q7" s="42">
        <f>C6-C7</f>
        <v>2215</v>
      </c>
      <c r="R7" s="42">
        <f t="shared" ref="R7:R15" si="5">SUM(N7:Q7)</f>
        <v>2249</v>
      </c>
      <c r="S7" s="30">
        <f t="shared" ref="S7:S15" si="6">R7*((((N7*Q7)-(O7*P7))^2))</f>
        <v>156746304</v>
      </c>
      <c r="T7" s="30">
        <f t="shared" ref="T7:T15" si="7">(N7+O7)*(P7+Q7)*(N7+P7)*(O7+Q7)</f>
        <v>1315194936</v>
      </c>
      <c r="U7" s="31">
        <f t="shared" ref="U7:U15" si="8">IF((S7&gt;0),S7/T7,"- -")</f>
        <v>0.11918104283211747</v>
      </c>
    </row>
    <row r="8" spans="2:21" ht="18" customHeight="1" x14ac:dyDescent="0.25">
      <c r="B8" s="32" t="str">
        <f>'Data Entry'!A8</f>
        <v>3. Refer to Juvenile Court</v>
      </c>
      <c r="C8" s="33">
        <f>'Data Entry'!C8</f>
        <v>21</v>
      </c>
      <c r="D8" s="34">
        <f>IF((AND(C67&gt;0,C8&gt;0)),(C8/C67),0)</f>
        <v>175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-9</v>
      </c>
      <c r="R8" s="42">
        <f t="shared" si="5"/>
        <v>12.05</v>
      </c>
      <c r="S8" s="30">
        <f t="shared" si="6"/>
        <v>13.285125000000001</v>
      </c>
      <c r="T8" s="30">
        <f t="shared" si="7"/>
        <v>-112.77000000000001</v>
      </c>
      <c r="U8" s="31">
        <f t="shared" si="8"/>
        <v>-0.1178072625698324</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61.904761904761905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8</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38.46153846153846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8</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12</v>
      </c>
      <c r="D13" s="34">
        <f>IF(((AND(C70&gt;0,C13&gt;0))),(C13/(C70)),0)</f>
        <v>240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-7</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2.2269999999999999</v>
      </c>
      <c r="D42" s="56">
        <f>E6/1000</f>
        <v>2.1999999999999999E-2</v>
      </c>
      <c r="E42" s="56">
        <f>MAX(C42:D42)</f>
        <v>2.2269999999999999</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2.2269999999999999</v>
      </c>
      <c r="D48" s="56">
        <f>D42</f>
        <v>2.1999999999999999E-2</v>
      </c>
      <c r="E48" s="56">
        <f>MAX(C48:D48)</f>
        <v>2.2269999999999999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2.2269999999999999</v>
      </c>
      <c r="D54" s="56">
        <f>D48</f>
        <v>2.1999999999999999E-2</v>
      </c>
      <c r="E54" s="56">
        <f>MAX(C54:D54)</f>
        <v>2.2269999999999999</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2.2269999999999999</v>
      </c>
      <c r="D60" s="56">
        <f>D54</f>
        <v>2.1999999999999999E-2</v>
      </c>
      <c r="E60" s="56">
        <f>MAX(C60:D60)</f>
        <v>2.2269999999999999</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2.2269999999999999</v>
      </c>
      <c r="D66" s="56">
        <f>D60</f>
        <v>2.1999999999999999E-2</v>
      </c>
      <c r="E66" s="56">
        <f>MAX(C66:D66)</f>
        <v>2.2269999999999999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Huron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2227</v>
      </c>
      <c r="D6" s="34"/>
      <c r="E6" s="33">
        <f>'Data Entry'!E6</f>
        <v>107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5.3884149079479124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107</v>
      </c>
      <c r="P7" s="42">
        <f t="shared" ref="P7:P15" si="4">C7</f>
        <v>12</v>
      </c>
      <c r="Q7" s="42">
        <f>C6-C7</f>
        <v>2215</v>
      </c>
      <c r="R7" s="42">
        <f t="shared" ref="R7:R15" si="5">SUM(N7:Q7)</f>
        <v>2334</v>
      </c>
      <c r="S7" s="30">
        <f t="shared" ref="S7:S15" si="6">R7*((((N7*Q7)-(O7*P7))^2))</f>
        <v>3847963104</v>
      </c>
      <c r="T7" s="30">
        <f t="shared" ref="T7:T15" si="7">(N7+O7)*(P7+Q7)*(N7+P7)*(O7+Q7)</f>
        <v>6639684696</v>
      </c>
      <c r="U7" s="31">
        <f t="shared" ref="U7:U15" si="8">IF((S7&gt;0),S7/T7,"- -")</f>
        <v>0.57954003543544175</v>
      </c>
    </row>
    <row r="8" spans="2:21" ht="18" customHeight="1" x14ac:dyDescent="0.25">
      <c r="B8" s="32" t="str">
        <f>'Data Entry'!A8</f>
        <v>3. Refer to Juvenile Court</v>
      </c>
      <c r="C8" s="33">
        <f>'Data Entry'!C8</f>
        <v>21</v>
      </c>
      <c r="D8" s="34">
        <f>IF((AND(C67&gt;0,C8&gt;0)),(C8/C67),0)</f>
        <v>175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21</v>
      </c>
      <c r="Q8" s="42">
        <f>(C$67*L67)-C8</f>
        <v>-9</v>
      </c>
      <c r="R8" s="42">
        <f t="shared" si="5"/>
        <v>12.05</v>
      </c>
      <c r="S8" s="30">
        <f t="shared" si="6"/>
        <v>13.285125000000001</v>
      </c>
      <c r="T8" s="30">
        <f t="shared" si="7"/>
        <v>-112.77000000000001</v>
      </c>
      <c r="U8" s="31">
        <f t="shared" si="8"/>
        <v>-0.1178072625698324</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61.904761904761905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8</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38.46153846153846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8</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12</v>
      </c>
      <c r="D13" s="34">
        <f>IF(((AND(C70&gt;0,C13&gt;0))),(C13/(C70)),0)</f>
        <v>240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-7</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2.2269999999999999</v>
      </c>
      <c r="D42" s="56">
        <f>E6/1000</f>
        <v>0.107</v>
      </c>
      <c r="E42" s="56">
        <f>MAX(C42:D42)</f>
        <v>2.2269999999999999</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2.2269999999999999</v>
      </c>
      <c r="D48" s="56">
        <f>D42</f>
        <v>0.107</v>
      </c>
      <c r="E48" s="56">
        <f>MAX(C48:D48)</f>
        <v>2.2269999999999999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2.2269999999999999</v>
      </c>
      <c r="D54" s="56">
        <f>D48</f>
        <v>0.107</v>
      </c>
      <c r="E54" s="56">
        <f>MAX(C54:D54)</f>
        <v>2.2269999999999999</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2.2269999999999999</v>
      </c>
      <c r="D60" s="56">
        <f>D54</f>
        <v>0.107</v>
      </c>
      <c r="E60" s="56">
        <f>MAX(C60:D60)</f>
        <v>2.2269999999999999</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2.2269999999999999</v>
      </c>
      <c r="D66" s="56">
        <f>D60</f>
        <v>0.107</v>
      </c>
      <c r="E66" s="56">
        <f>MAX(C66:D66)</f>
        <v>2.2269999999999999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Huron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2227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5.3884149079479124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2215</v>
      </c>
      <c r="R7" s="42">
        <f t="shared" ref="R7:R15" si="5">SUM(N7:Q7)</f>
        <v>2227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21</v>
      </c>
      <c r="D8" s="34">
        <f>IF((AND(C67&gt;0,C8&gt;0)),(C8/C67),0)</f>
        <v>175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-9</v>
      </c>
      <c r="R8" s="42">
        <f t="shared" si="5"/>
        <v>12.05</v>
      </c>
      <c r="S8" s="30">
        <f t="shared" si="6"/>
        <v>13.285125000000001</v>
      </c>
      <c r="T8" s="30">
        <f t="shared" si="7"/>
        <v>-112.77000000000001</v>
      </c>
      <c r="U8" s="31">
        <f t="shared" si="8"/>
        <v>-0.1178072625698324</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61.904761904761905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8</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38.46153846153846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8</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12</v>
      </c>
      <c r="D13" s="34">
        <f>IF(((AND(C70&gt;0,C13&gt;0))),(C13/(C70)),0)</f>
        <v>240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-7</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2.2269999999999999</v>
      </c>
      <c r="D42" s="56">
        <f>E6/1000</f>
        <v>0</v>
      </c>
      <c r="E42" s="56">
        <f>MAX(C42:D42)</f>
        <v>2.2269999999999999</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2.2269999999999999</v>
      </c>
      <c r="D48" s="56">
        <f>D42</f>
        <v>0</v>
      </c>
      <c r="E48" s="56">
        <f>MAX(C48:D48)</f>
        <v>2.2269999999999999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2.2269999999999999</v>
      </c>
      <c r="D54" s="56">
        <f>D48</f>
        <v>0</v>
      </c>
      <c r="E54" s="56">
        <f>MAX(C54:D54)</f>
        <v>2.2269999999999999</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2.2269999999999999</v>
      </c>
      <c r="D60" s="56">
        <f>D54</f>
        <v>0</v>
      </c>
      <c r="E60" s="56">
        <f>MAX(C60:D60)</f>
        <v>2.2269999999999999</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2.2269999999999999</v>
      </c>
      <c r="D66" s="56">
        <f>D60</f>
        <v>0</v>
      </c>
      <c r="E66" s="56">
        <f>MAX(C66:D66)</f>
        <v>2.2269999999999999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Huron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2227</v>
      </c>
      <c r="D6" s="34"/>
      <c r="E6" s="33">
        <f>'Data Entry'!H6</f>
        <v>9</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5.3884149079479124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v>
      </c>
      <c r="P7" s="42">
        <f t="shared" ref="P7:P15" si="4">C7</f>
        <v>12</v>
      </c>
      <c r="Q7" s="42">
        <f>C6-C7</f>
        <v>2215</v>
      </c>
      <c r="R7" s="42">
        <f t="shared" ref="R7:R15" si="5">SUM(N7:Q7)</f>
        <v>2236</v>
      </c>
      <c r="S7" s="30">
        <f t="shared" ref="S7:S15" si="6">R7*((((N7*Q7)-(O7*P7))^2))</f>
        <v>26080704</v>
      </c>
      <c r="T7" s="30">
        <f t="shared" ref="T7:T15" si="7">(N7+O7)*(P7+Q7)*(N7+P7)*(O7+Q7)</f>
        <v>534907584</v>
      </c>
      <c r="U7" s="31">
        <f t="shared" ref="U7:U15" si="8">IF((S7&gt;0),S7/T7,"- -")</f>
        <v>4.8757401801953142E-2</v>
      </c>
    </row>
    <row r="8" spans="2:21" ht="18" customHeight="1" x14ac:dyDescent="0.25">
      <c r="B8" s="32" t="str">
        <f>'Data Entry'!A8</f>
        <v>3. Refer to Juvenile Court</v>
      </c>
      <c r="C8" s="33">
        <f>'Data Entry'!C8</f>
        <v>21</v>
      </c>
      <c r="D8" s="34">
        <f>IF((AND(C67&gt;0,C8&gt;0)),(C8/C67),0)</f>
        <v>175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-9</v>
      </c>
      <c r="R8" s="42">
        <f t="shared" si="5"/>
        <v>12.05</v>
      </c>
      <c r="S8" s="30">
        <f t="shared" si="6"/>
        <v>13.285125000000001</v>
      </c>
      <c r="T8" s="30">
        <f t="shared" si="7"/>
        <v>-112.77000000000001</v>
      </c>
      <c r="U8" s="31">
        <f t="shared" si="8"/>
        <v>-0.1178072625698324</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21</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61.904761904761905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8</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38.46153846153846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8</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12</v>
      </c>
      <c r="D13" s="34">
        <f>IF(((AND(C70&gt;0,C13&gt;0))),(C13/(C70)),0)</f>
        <v>240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-7</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2.2269999999999999</v>
      </c>
      <c r="D42" s="56">
        <f>E6/1000</f>
        <v>8.9999999999999993E-3</v>
      </c>
      <c r="E42" s="56">
        <f>MAX(C42:D42)</f>
        <v>2.2269999999999999</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2.2269999999999999</v>
      </c>
      <c r="D48" s="56">
        <f>D42</f>
        <v>8.9999999999999993E-3</v>
      </c>
      <c r="E48" s="56">
        <f>MAX(C48:D48)</f>
        <v>2.2269999999999999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2.2269999999999999</v>
      </c>
      <c r="D54" s="56">
        <f>D48</f>
        <v>8.9999999999999993E-3</v>
      </c>
      <c r="E54" s="56">
        <f>MAX(C54:D54)</f>
        <v>2.2269999999999999</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2.2269999999999999</v>
      </c>
      <c r="D60" s="56">
        <f>D54</f>
        <v>8.9999999999999993E-3</v>
      </c>
      <c r="E60" s="56">
        <f>MAX(C60:D60)</f>
        <v>2.2269999999999999</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2.2269999999999999</v>
      </c>
      <c r="D66" s="56">
        <f>D60</f>
        <v>8.9999999999999993E-3</v>
      </c>
      <c r="E66" s="56">
        <f>MAX(C66:D66)</f>
        <v>2.2269999999999999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U47JMPN4QEAR-1806752177-30177</_dlc_DocId>
    <_dlc_DocIdUrl xmlns="ac3811b5-0f3e-49e2-ba69-f2ffa0c782af">
      <Url>https://michiganphi.sharepoint.com/sites/CMDMC/_layouts/15/DocIdRedir.aspx?ID=U47JMPN4QEAR-1806752177-30177</Url>
      <Description>U47JMPN4QEAR-1806752177-30177</Description>
    </_dlc_DocIdUrl>
  </documentManagement>
</p:properties>
</file>

<file path=customXml/itemProps1.xml><?xml version="1.0" encoding="utf-8"?>
<ds:datastoreItem xmlns:ds="http://schemas.openxmlformats.org/officeDocument/2006/customXml" ds:itemID="{ED414117-2F72-4AB8-94CE-2A8ABABC9EC5}"/>
</file>

<file path=customXml/itemProps2.xml><?xml version="1.0" encoding="utf-8"?>
<ds:datastoreItem xmlns:ds="http://schemas.openxmlformats.org/officeDocument/2006/customXml" ds:itemID="{3D9794F9-BFD3-45C9-8F19-A4CAE7C9A255}"/>
</file>

<file path=customXml/itemProps3.xml><?xml version="1.0" encoding="utf-8"?>
<ds:datastoreItem xmlns:ds="http://schemas.openxmlformats.org/officeDocument/2006/customXml" ds:itemID="{2F2BE16C-08CC-4ACF-ABDB-CB0CF9038418}"/>
</file>

<file path=customXml/itemProps4.xml><?xml version="1.0" encoding="utf-8"?>
<ds:datastoreItem xmlns:ds="http://schemas.openxmlformats.org/officeDocument/2006/customXml" ds:itemID="{6F13BEB9-14BC-4402-B0F0-0A0754EB82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adc346c8-3e4d-4454-97d8-e3ae54c0d5dc</vt:lpwstr>
  </property>
</Properties>
</file>