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3814175B-E732-43A1-BC27-5B403B02C659}"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51" i="3" s="1"/>
  <c r="G57" i="3" s="1"/>
  <c r="G63" i="3" s="1"/>
  <c r="G69" i="3" s="1"/>
  <c r="G46" i="3"/>
  <c r="G48" i="3"/>
  <c r="G54" i="3"/>
  <c r="G60" i="3"/>
  <c r="G66" i="3" s="1"/>
  <c r="L48" i="3"/>
  <c r="L54" i="3" s="1"/>
  <c r="L60" i="3" s="1"/>
  <c r="L66" i="3" s="1"/>
  <c r="G52" i="3"/>
  <c r="G58" i="3" s="1"/>
  <c r="G64" i="3" s="1"/>
  <c r="G70" i="3" s="1"/>
  <c r="F1" i="4"/>
  <c r="B2" i="4"/>
  <c r="B3" i="4"/>
  <c r="B6" i="4"/>
  <c r="B7" i="4"/>
  <c r="B8" i="4"/>
  <c r="B9" i="4"/>
  <c r="E9" i="4"/>
  <c r="N9" i="4" s="1"/>
  <c r="B10" i="4"/>
  <c r="B11" i="4"/>
  <c r="B12" i="4"/>
  <c r="B13" i="4"/>
  <c r="B14" i="4"/>
  <c r="B15" i="4"/>
  <c r="B48" i="4"/>
  <c r="B54" i="4"/>
  <c r="B60" i="4"/>
  <c r="B66" i="4" s="1"/>
  <c r="J27" i="4"/>
  <c r="G42" i="4"/>
  <c r="G48" i="4"/>
  <c r="G54" i="4"/>
  <c r="G60" i="4"/>
  <c r="G43" i="4"/>
  <c r="G49" i="4"/>
  <c r="G55" i="4" s="1"/>
  <c r="G61" i="4" s="1"/>
  <c r="G67" i="4" s="1"/>
  <c r="G44" i="4"/>
  <c r="G45" i="4"/>
  <c r="G51" i="4"/>
  <c r="G46" i="4"/>
  <c r="L48" i="4"/>
  <c r="L54" i="4"/>
  <c r="L60" i="4" s="1"/>
  <c r="L66" i="4" s="1"/>
  <c r="G50" i="4"/>
  <c r="G56" i="4" s="1"/>
  <c r="G62" i="4" s="1"/>
  <c r="G68" i="4" s="1"/>
  <c r="G52" i="4"/>
  <c r="G58" i="4"/>
  <c r="G64" i="4" s="1"/>
  <c r="G70" i="4" s="1"/>
  <c r="G57" i="4"/>
  <c r="G63" i="4" s="1"/>
  <c r="G69" i="4" s="1"/>
  <c r="G66" i="4"/>
  <c r="F1" i="5"/>
  <c r="J5" i="13" s="1"/>
  <c r="B2" i="5"/>
  <c r="B3" i="5"/>
  <c r="B6" i="5"/>
  <c r="B7" i="5"/>
  <c r="B8" i="5"/>
  <c r="B9" i="5"/>
  <c r="B10" i="5"/>
  <c r="B11" i="5"/>
  <c r="B12" i="5"/>
  <c r="B13" i="5"/>
  <c r="B14" i="5"/>
  <c r="B15" i="5"/>
  <c r="B48" i="5"/>
  <c r="B54" i="5"/>
  <c r="B60" i="5"/>
  <c r="B66" i="5"/>
  <c r="J27" i="5"/>
  <c r="G42" i="5"/>
  <c r="G43" i="5"/>
  <c r="G49" i="5"/>
  <c r="G55" i="5"/>
  <c r="G61" i="5"/>
  <c r="G67" i="5" s="1"/>
  <c r="G44" i="5"/>
  <c r="G50" i="5" s="1"/>
  <c r="G56" i="5" s="1"/>
  <c r="G62" i="5" s="1"/>
  <c r="G68" i="5" s="1"/>
  <c r="G45" i="5"/>
  <c r="G51" i="5" s="1"/>
  <c r="G57" i="5" s="1"/>
  <c r="G63" i="5" s="1"/>
  <c r="G69" i="5" s="1"/>
  <c r="G46" i="5"/>
  <c r="G48" i="5"/>
  <c r="G54" i="5" s="1"/>
  <c r="G60" i="5" s="1"/>
  <c r="G66" i="5" s="1"/>
  <c r="M66" i="5" s="1"/>
  <c r="L48" i="5"/>
  <c r="G52" i="5"/>
  <c r="G58" i="5" s="1"/>
  <c r="G64" i="5" s="1"/>
  <c r="G70" i="5" s="1"/>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c r="G62" i="6" s="1"/>
  <c r="G68" i="6" s="1"/>
  <c r="F1" i="7"/>
  <c r="B2" i="7"/>
  <c r="B3" i="7"/>
  <c r="B6" i="7"/>
  <c r="B7" i="7"/>
  <c r="B8" i="7"/>
  <c r="B9" i="7"/>
  <c r="B10" i="7"/>
  <c r="B11" i="7"/>
  <c r="B12" i="7"/>
  <c r="B13" i="7"/>
  <c r="B14" i="7"/>
  <c r="B15" i="7"/>
  <c r="B48" i="7"/>
  <c r="B54" i="7"/>
  <c r="B60" i="7" s="1"/>
  <c r="B66" i="7" s="1"/>
  <c r="J27" i="7"/>
  <c r="G42" i="7"/>
  <c r="G48" i="7" s="1"/>
  <c r="G54" i="7" s="1"/>
  <c r="G60" i="7" s="1"/>
  <c r="G66" i="7" s="1"/>
  <c r="G43" i="7"/>
  <c r="G49" i="7"/>
  <c r="G44" i="7"/>
  <c r="G45" i="7"/>
  <c r="G51" i="7"/>
  <c r="G57" i="7"/>
  <c r="G63" i="7" s="1"/>
  <c r="G69" i="7" s="1"/>
  <c r="G46" i="7"/>
  <c r="L48" i="7"/>
  <c r="L54" i="7" s="1"/>
  <c r="L60" i="7" s="1"/>
  <c r="L66" i="7" s="1"/>
  <c r="G50" i="7"/>
  <c r="G56" i="7"/>
  <c r="G62" i="7"/>
  <c r="G68" i="7"/>
  <c r="G52" i="7"/>
  <c r="G58" i="7"/>
  <c r="G64" i="7" s="1"/>
  <c r="G70" i="7" s="1"/>
  <c r="G55" i="7"/>
  <c r="G61" i="7" s="1"/>
  <c r="G67"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51" i="8" s="1"/>
  <c r="G57" i="8" s="1"/>
  <c r="G63" i="8" s="1"/>
  <c r="G69" i="8" s="1"/>
  <c r="G46" i="8"/>
  <c r="G52" i="8"/>
  <c r="G48" i="8"/>
  <c r="G54" i="8"/>
  <c r="G60" i="8" s="1"/>
  <c r="G66" i="8" s="1"/>
  <c r="L48" i="8"/>
  <c r="G50" i="8"/>
  <c r="G56" i="8" s="1"/>
  <c r="G62" i="8" s="1"/>
  <c r="G68" i="8" s="1"/>
  <c r="L54" i="8"/>
  <c r="L60" i="8"/>
  <c r="L66" i="8" s="1"/>
  <c r="G58" i="8"/>
  <c r="G64" i="8"/>
  <c r="G70"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c r="F27" i="4" l="1"/>
  <c r="M66" i="4"/>
  <c r="F27" i="2"/>
  <c r="M66" i="2"/>
  <c r="M66" i="8"/>
  <c r="F27" i="8"/>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E46" i="3"/>
  <c r="L52" i="3" s="1"/>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C64" i="5"/>
  <c r="E64" i="5" s="1"/>
  <c r="L64" i="5"/>
  <c r="B56" i="8"/>
  <c r="E58" i="8"/>
  <c r="D64" i="8" s="1"/>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L64" i="8" l="1"/>
  <c r="C63" i="3"/>
  <c r="Q8" i="13"/>
  <c r="I7" i="9"/>
  <c r="B64" i="8"/>
  <c r="C64" i="8"/>
  <c r="E64" i="8" s="1"/>
  <c r="E57" i="8"/>
  <c r="L63" i="8" s="1"/>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3" i="3" l="1"/>
  <c r="C69" i="3" s="1"/>
  <c r="D15" i="3" s="1"/>
  <c r="C69" i="7"/>
  <c r="D12" i="7" s="1"/>
  <c r="L70" i="6"/>
  <c r="D63" i="8"/>
  <c r="D70" i="8" s="1"/>
  <c r="F13" i="8" s="1"/>
  <c r="B63" i="8"/>
  <c r="L70" i="8"/>
  <c r="B70" i="3"/>
  <c r="M70" i="3" s="1"/>
  <c r="C70" i="6"/>
  <c r="D13" i="6" s="1"/>
  <c r="L70" i="3"/>
  <c r="Q14" i="3" s="1"/>
  <c r="D70" i="6"/>
  <c r="F13" i="6" s="1"/>
  <c r="C63" i="8"/>
  <c r="L69" i="7"/>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B69" i="6" l="1"/>
  <c r="M69" i="6" s="1"/>
  <c r="F33" i="3"/>
  <c r="D69" i="3"/>
  <c r="E69" i="3" s="1"/>
  <c r="Q15" i="7"/>
  <c r="D15" i="7"/>
  <c r="L69" i="3"/>
  <c r="Q12" i="3" s="1"/>
  <c r="B69" i="3"/>
  <c r="M69" i="3" s="1"/>
  <c r="F34" i="3"/>
  <c r="C69" i="6"/>
  <c r="D12" i="6" s="1"/>
  <c r="Q13" i="8"/>
  <c r="E63" i="8"/>
  <c r="D69" i="8" s="1"/>
  <c r="F15" i="8" s="1"/>
  <c r="Q12" i="7"/>
  <c r="D14" i="6"/>
  <c r="Q13" i="3"/>
  <c r="Q13" i="6"/>
  <c r="Q14" i="6"/>
  <c r="O13" i="6"/>
  <c r="F14" i="6"/>
  <c r="O13" i="3"/>
  <c r="F14" i="3"/>
  <c r="E70" i="6"/>
  <c r="O14" i="6"/>
  <c r="O15" i="7"/>
  <c r="O12" i="7"/>
  <c r="T12" i="7" s="1"/>
  <c r="E69" i="7"/>
  <c r="E70" i="3"/>
  <c r="F12" i="7"/>
  <c r="O14" i="3"/>
  <c r="R14" i="3" s="1"/>
  <c r="S14" i="3" s="1"/>
  <c r="U14" i="3" s="1"/>
  <c r="J14" i="3" s="1"/>
  <c r="M14" i="3" s="1"/>
  <c r="G14" i="3" s="1"/>
  <c r="I15" i="16" s="1"/>
  <c r="D69" i="6"/>
  <c r="F12" i="6" s="1"/>
  <c r="T10" i="3"/>
  <c r="K10" i="4"/>
  <c r="F8" i="7"/>
  <c r="T9" i="4"/>
  <c r="F35" i="6"/>
  <c r="F32" i="6"/>
  <c r="T11" i="4"/>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3" l="1"/>
  <c r="F12" i="3"/>
  <c r="F15" i="3"/>
  <c r="R15" i="7"/>
  <c r="S15" i="7" s="1"/>
  <c r="U15" i="7" s="1"/>
  <c r="J15" i="7" s="1"/>
  <c r="M15" i="7" s="1"/>
  <c r="F12" i="8"/>
  <c r="Q12" i="6"/>
  <c r="U14" i="4"/>
  <c r="J14" i="4" s="1"/>
  <c r="M14" i="4" s="1"/>
  <c r="G14" i="4" s="1"/>
  <c r="G15" i="16" s="1"/>
  <c r="D15" i="6"/>
  <c r="T15" i="7"/>
  <c r="Q15" i="6"/>
  <c r="O15" i="3"/>
  <c r="Q15" i="3"/>
  <c r="O12" i="3"/>
  <c r="R12" i="3" s="1"/>
  <c r="S12" i="3" s="1"/>
  <c r="U12" i="3" s="1"/>
  <c r="J12" i="3" s="1"/>
  <c r="R13" i="8"/>
  <c r="S13" i="8" s="1"/>
  <c r="U13" i="4"/>
  <c r="J13" i="4" s="1"/>
  <c r="L13" i="4" s="1"/>
  <c r="O14" i="16" s="1"/>
  <c r="K15" i="7"/>
  <c r="L15" i="7" s="1"/>
  <c r="S16" i="16" s="1"/>
  <c r="R13" i="3"/>
  <c r="S13" i="3" s="1"/>
  <c r="U13" i="3" s="1"/>
  <c r="J13" i="3" s="1"/>
  <c r="M13" i="3" s="1"/>
  <c r="G13" i="3" s="1"/>
  <c r="C69" i="8"/>
  <c r="E69" i="8" s="1"/>
  <c r="B69" i="8"/>
  <c r="M69" i="8" s="1"/>
  <c r="L69" i="8"/>
  <c r="O15" i="8" s="1"/>
  <c r="O15" i="6"/>
  <c r="R12" i="7"/>
  <c r="S12" i="7" s="1"/>
  <c r="U12" i="7" s="1"/>
  <c r="J12" i="7" s="1"/>
  <c r="M12" i="7" s="1"/>
  <c r="K12" i="7"/>
  <c r="K13" i="3"/>
  <c r="T14" i="6"/>
  <c r="T13" i="6"/>
  <c r="T13" i="3"/>
  <c r="R14" i="6"/>
  <c r="S14" i="6" s="1"/>
  <c r="U14" i="6" s="1"/>
  <c r="J14" i="6" s="1"/>
  <c r="M14" i="6" s="1"/>
  <c r="G14" i="6" s="1"/>
  <c r="M15" i="13" s="1"/>
  <c r="R13" i="6"/>
  <c r="S13" i="6" s="1"/>
  <c r="U13" i="6" s="1"/>
  <c r="J13" i="6" s="1"/>
  <c r="M13" i="6" s="1"/>
  <c r="G13" i="6" s="1"/>
  <c r="M14" i="13" s="1"/>
  <c r="K14" i="6"/>
  <c r="K13" i="6"/>
  <c r="O12" i="6"/>
  <c r="R14" i="8"/>
  <c r="S14" i="8" s="1"/>
  <c r="E69" i="6"/>
  <c r="U10" i="4"/>
  <c r="J10" i="4" s="1"/>
  <c r="M10" i="4" s="1"/>
  <c r="G10" i="4" s="1"/>
  <c r="G11" i="16" s="1"/>
  <c r="U9" i="4"/>
  <c r="J9" i="4" s="1"/>
  <c r="M9" i="4" s="1"/>
  <c r="G9" i="4" s="1"/>
  <c r="G10" i="16" s="1"/>
  <c r="T13" i="8"/>
  <c r="K14" i="3"/>
  <c r="L14" i="3" s="1"/>
  <c r="P15" i="16" s="1"/>
  <c r="T14" i="3"/>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N30" i="3"/>
  <c r="E10" i="9"/>
  <c r="I11" i="13"/>
  <c r="E14" i="9"/>
  <c r="I15"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2" i="6" l="1"/>
  <c r="S12" i="6" s="1"/>
  <c r="U12" i="6" s="1"/>
  <c r="J12" i="6" s="1"/>
  <c r="K15" i="3"/>
  <c r="N30" i="4"/>
  <c r="K12" i="3"/>
  <c r="L14" i="4"/>
  <c r="O15" i="16" s="1"/>
  <c r="M13" i="4"/>
  <c r="G13" i="4" s="1"/>
  <c r="G14" i="16" s="1"/>
  <c r="R15" i="6"/>
  <c r="S15" i="6" s="1"/>
  <c r="U15" i="6" s="1"/>
  <c r="J15" i="6" s="1"/>
  <c r="M15" i="6" s="1"/>
  <c r="G15" i="6" s="1"/>
  <c r="F32" i="8"/>
  <c r="T15" i="3"/>
  <c r="L13" i="3"/>
  <c r="P14" i="16" s="1"/>
  <c r="T12" i="3"/>
  <c r="R15" i="3"/>
  <c r="S15" i="3" s="1"/>
  <c r="U15" i="3" s="1"/>
  <c r="J15" i="3" s="1"/>
  <c r="M15" i="3" s="1"/>
  <c r="G15" i="3" s="1"/>
  <c r="I16" i="16" s="1"/>
  <c r="D15" i="8"/>
  <c r="D12" i="8"/>
  <c r="U13" i="8"/>
  <c r="J13" i="8" s="1"/>
  <c r="M13" i="8" s="1"/>
  <c r="G13" i="8" s="1"/>
  <c r="I13" i="9" s="1"/>
  <c r="U13" i="7"/>
  <c r="J13" i="7" s="1"/>
  <c r="M13" i="7" s="1"/>
  <c r="L12" i="7"/>
  <c r="S13" i="16" s="1"/>
  <c r="T12" i="6"/>
  <c r="T15" i="6"/>
  <c r="K15" i="6"/>
  <c r="F35" i="8"/>
  <c r="Q12" i="8"/>
  <c r="O12" i="8"/>
  <c r="Q15" i="8"/>
  <c r="R15" i="8" s="1"/>
  <c r="S15" i="8" s="1"/>
  <c r="U15" i="8" s="1"/>
  <c r="J15" i="8" s="1"/>
  <c r="G13" i="9"/>
  <c r="L9" i="4"/>
  <c r="O10" i="16" s="1"/>
  <c r="D9" i="9"/>
  <c r="K12" i="6"/>
  <c r="L12" i="6" s="1"/>
  <c r="R13" i="16" s="1"/>
  <c r="G11" i="13"/>
  <c r="U14" i="8"/>
  <c r="J14" i="8" s="1"/>
  <c r="N30" i="8" s="1"/>
  <c r="L13" i="6"/>
  <c r="R14" i="16" s="1"/>
  <c r="D10" i="9"/>
  <c r="L10" i="4"/>
  <c r="O11" i="16" s="1"/>
  <c r="G10" i="13"/>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D13" i="9"/>
  <c r="K9" i="7"/>
  <c r="T14" i="2"/>
  <c r="V12" i="13"/>
  <c r="N11" i="9"/>
  <c r="T15" i="5"/>
  <c r="W14" i="13"/>
  <c r="N14" i="9"/>
  <c r="M9" i="3"/>
  <c r="G9" i="3" s="1"/>
  <c r="I10" i="13" s="1"/>
  <c r="I14" i="13"/>
  <c r="I14" i="16"/>
  <c r="G12" i="13"/>
  <c r="G12" i="16"/>
  <c r="N9" i="9"/>
  <c r="P10" i="16"/>
  <c r="M14" i="7"/>
  <c r="N30" i="7"/>
  <c r="L14" i="7"/>
  <c r="S15" i="16" s="1"/>
  <c r="L8" i="7"/>
  <c r="S9" i="16" s="1"/>
  <c r="O13" i="9"/>
  <c r="O14" i="9"/>
  <c r="V10" i="13"/>
  <c r="V15"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R9" i="8"/>
  <c r="S9" i="8" s="1"/>
  <c r="U9" i="2"/>
  <c r="J9" i="2" s="1"/>
  <c r="L9" i="2" s="1"/>
  <c r="N10" i="16" s="1"/>
  <c r="U11" i="2"/>
  <c r="J11" i="2" s="1"/>
  <c r="M11" i="2" s="1"/>
  <c r="G11" i="2" s="1"/>
  <c r="E12" i="16" s="1"/>
  <c r="M12" i="5"/>
  <c r="U9" i="6"/>
  <c r="J9" i="6" s="1"/>
  <c r="U8" i="8"/>
  <c r="J8" i="8" s="1"/>
  <c r="M12" i="6"/>
  <c r="G12" i="6" s="1"/>
  <c r="M8" i="4"/>
  <c r="G8" i="4" s="1"/>
  <c r="G9" i="16" s="1"/>
  <c r="L8" i="4"/>
  <c r="O9" i="16" s="1"/>
  <c r="R10" i="8"/>
  <c r="S10" i="8" s="1"/>
  <c r="T10" i="8"/>
  <c r="K10" i="8"/>
  <c r="U15" i="4"/>
  <c r="J15" i="4" s="1"/>
  <c r="U10" i="6"/>
  <c r="J10" i="6" s="1"/>
  <c r="K11" i="8"/>
  <c r="T11" i="8"/>
  <c r="R11" i="8"/>
  <c r="S11" i="8" s="1"/>
  <c r="L12" i="3"/>
  <c r="P13" i="16" s="1"/>
  <c r="M12" i="3"/>
  <c r="G12" i="3" s="1"/>
  <c r="I13" i="16" s="1"/>
  <c r="K9" i="8"/>
  <c r="T9" i="8"/>
  <c r="U15" i="13" l="1"/>
  <c r="V14" i="13"/>
  <c r="G14" i="13"/>
  <c r="L15" i="6"/>
  <c r="R16" i="16" s="1"/>
  <c r="N13" i="9"/>
  <c r="L13" i="8"/>
  <c r="T14" i="16" s="1"/>
  <c r="L15" i="3"/>
  <c r="P16" i="16" s="1"/>
  <c r="I16" i="13"/>
  <c r="L13" i="7"/>
  <c r="S14" i="16" s="1"/>
  <c r="E15" i="9"/>
  <c r="Q12" i="9"/>
  <c r="M9" i="9"/>
  <c r="Y13" i="13"/>
  <c r="T15" i="8"/>
  <c r="T12" i="8"/>
  <c r="U11" i="7"/>
  <c r="J11" i="7" s="1"/>
  <c r="M11" i="7" s="1"/>
  <c r="K12" i="8"/>
  <c r="K15" i="8"/>
  <c r="L15" i="8" s="1"/>
  <c r="T16" i="16" s="1"/>
  <c r="K14" i="16"/>
  <c r="R12" i="8"/>
  <c r="S12" i="8" s="1"/>
  <c r="Q14" i="13"/>
  <c r="U10" i="7"/>
  <c r="J10" i="7" s="1"/>
  <c r="M10" i="7" s="1"/>
  <c r="U10" i="13"/>
  <c r="U11" i="13"/>
  <c r="X14" i="13"/>
  <c r="P13" i="9"/>
  <c r="M14" i="8"/>
  <c r="G14" i="8" s="1"/>
  <c r="K15" i="16" s="1"/>
  <c r="L14" i="8"/>
  <c r="T15" i="16" s="1"/>
  <c r="M10" i="9"/>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Z14" i="13" l="1"/>
  <c r="X16" i="13"/>
  <c r="P15" i="9"/>
  <c r="R13" i="9"/>
  <c r="N15" i="9"/>
  <c r="V16" i="13"/>
  <c r="Q13" i="9"/>
  <c r="L11" i="7"/>
  <c r="S12" i="16" s="1"/>
  <c r="Y14" i="13"/>
  <c r="U12" i="8"/>
  <c r="J12" i="8" s="1"/>
  <c r="L12" i="8" s="1"/>
  <c r="L10" i="7"/>
  <c r="S11" i="16" s="1"/>
  <c r="I14" i="9"/>
  <c r="Q15" i="13"/>
  <c r="Z15" i="13"/>
  <c r="R14" i="9"/>
  <c r="P8" i="9"/>
  <c r="X9"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Q11" i="9" l="1"/>
  <c r="Y12" i="13"/>
  <c r="T13" i="16"/>
  <c r="R12" i="9"/>
  <c r="Z13" i="13"/>
  <c r="Q10" i="9"/>
  <c r="M12" i="8"/>
  <c r="G12" i="8" s="1"/>
  <c r="K13" i="16" s="1"/>
  <c r="Y11" i="13"/>
  <c r="R9" i="9"/>
  <c r="Z10" i="13"/>
  <c r="R10" i="9"/>
  <c r="Z11" i="13"/>
  <c r="I11" i="9"/>
  <c r="Q12" i="13"/>
  <c r="I10" i="9"/>
  <c r="Q11" i="13"/>
  <c r="R11" i="9"/>
  <c r="Z12" i="13"/>
  <c r="I12" i="9" l="1"/>
  <c r="Q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<sst xmlns="http://schemas.openxmlformats.org/spreadsheetml/2006/main" count="654" uniqueCount="141">
  <si>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</si>
  <si>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</si>
  <si>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</si>
  <si>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</si>
  <si>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</si>
  <si>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</si>
  <si>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</si>
  <si>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</si>
  <si>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</si>
  <si>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</si>
  <si>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</si>
  <si>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</si>
  <si>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</si>
  <si>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</si>
  <si>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</si>
  <si>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</si>
  <si>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</si>
  <si>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</si>
  <si>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</si>
  <si>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</si>
  <si>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</si>
  <si>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</si>
  <si>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</si>
  <si>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</si>
  <si>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</si>
  <si>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</si>
  <si>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</si>
  <si>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</si>
  <si>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</si>
  <si>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</si>
  <si>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</si>
  <si>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</si>
  <si>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</si>
  <si>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</si>
  <si>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</si>
  <si>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</si>
  <si>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</si>
  <si>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</si>
  <si>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</si>
  <si>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</si>
  <si>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</si>
  <si>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</si>
  <si>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</si>
  <si>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</si>
  <si>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</si>
  <si>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</si>
  <si>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</si>
  <si>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</si>
  <si>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</si>
  <si>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</si>
  <si>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</si>
  <si>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</si>
  <si>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</si>
  <si>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</si>
  <si>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</si>
  <si>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</si>
  <si>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</si>
  <si>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</si>
  <si>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</si>
  <si>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</si>
  <si>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</si>
  <si>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</si>
  <si>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</si>
  <si>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</si>
  <si>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</si>
  <si>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</si>
  <si>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</si>
  <si>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</si>
  <si>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</si>
  <si>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</si>
  <si>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</si>
  <si>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</si>
  <si>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</si>
  <si>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</si>
  <si>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</si>
  <si>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</si>
  <si>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</si>
  <si>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</si>
  <si>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</si>
  <si>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</si>
  <si>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</si>
  <si>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</si>
  <si>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</si>
  <si>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</si>
  <si>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</si>
  <si>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</si>
  <si>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</si>
  <si>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</si>
  <si>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</si>
  <si>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</si>
  <si>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</si>
  <si>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</si>
  <si>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</si>
  <si>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</si>
  <si>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</si>
  <si>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</si>
  <si>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</si>
  <si>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</si>
  <si>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</si>
  <si>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</si>
  <si>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</si>
  <si>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</si>
  <si>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</si>
  <si>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</si>
  <si>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</si>
  <si>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</si>
  <si>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</si>
  <si>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</si>
  <si>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</si>
  <si>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</si>
  <si>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</si>
  <si>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</si>
  <si>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</si>
  <si>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</si>
  <si>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</si>
  <si>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</si>
  <si>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</si>
  <si>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</si>
  <si>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</si>
  <si>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</si>
  <si>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</si>
  <si>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</si>
  <si>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</si>
  <si>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</si>
  <si>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</si>
  <si>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</si>
  <si>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</si>
  <si>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</si>
  <si>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</si>
  <si>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</si>
  <si>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</si>
  <si>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</si>
  <si>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</si>
  <si>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</si>
  <si>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</si>
  <si>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</si>
  <si>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</si>
  <si>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Houghton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</si>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</sst>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Houghton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N=10</c:v>
                </c:pt>
                <c:pt idx="3">
                  <c:v>Petitions, total N=6</c:v>
                </c:pt>
                <c:pt idx="4">
                  <c:v>Detentions, total N=0</c:v>
                </c:pt>
                <c:pt idx="5">
                  <c:v>Referrals, total N=26</c:v>
                </c:pt>
                <c:pt idx="6">
                  <c:v>Arrests, total N=7</c:v>
                </c:pt>
                <c:pt idx="7">
                  <c:v>Population, total N=3000</c:v>
                </c:pt>
              </c:strCache>
            </c:strRef>
          </c:cat>
          <c:val>
            <c:numRef>
              <c:f>'Stacked 100%'!$B$7:$B$14</c:f>
              <c:numCache>
                <c:formatCode>0%</c:formatCode>
                <c:ptCount val="8"/>
                <c:pt idx="0">
                  <c:v>0</c:v>
                </c:pt>
                <c:pt idx="1">
                  <c:v>0</c:v>
                </c:pt>
                <c:pt idx="2">
                  <c:v>0</c:v>
                </c:pt>
                <c:pt idx="3">
                  <c:v>0</c:v>
                </c:pt>
                <c:pt idx="4">
                  <c:v>0</c:v>
                </c:pt>
                <c:pt idx="5">
                  <c:v>0</c:v>
                </c:pt>
                <c:pt idx="6">
                  <c:v>0</c:v>
                </c:pt>
                <c:pt idx="7">
                  <c:v>6.6666666666666671E-3</c:v>
                </c:pt>
              </c:numCache>
            </c:numRef>
          </c:val>
          <c:extLst>
            <c:ext xmlns:c16="http://schemas.microsoft.com/office/drawing/2014/chart" uri="{C3380CC4-5D6E-409C-BE32-E72D297353CC}">
              <c16:uniqueId val="{00000000-9B40-4484-A9F4-CFB7FB1CDBB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N=10</c:v>
                </c:pt>
                <c:pt idx="3">
                  <c:v>Petitions, total N=6</c:v>
                </c:pt>
                <c:pt idx="4">
                  <c:v>Detentions, total N=0</c:v>
                </c:pt>
                <c:pt idx="5">
                  <c:v>Referrals, total N=26</c:v>
                </c:pt>
                <c:pt idx="6">
                  <c:v>Arrests, total N=7</c:v>
                </c:pt>
                <c:pt idx="7">
                  <c:v>Population, total N=3000</c:v>
                </c:pt>
              </c:strCache>
            </c:strRef>
          </c:cat>
          <c:val>
            <c:numRef>
              <c:f>'Stacked 100%'!$C$7:$C$14</c:f>
              <c:numCache>
                <c:formatCode>0%</c:formatCode>
                <c:ptCount val="8"/>
                <c:pt idx="0">
                  <c:v>0</c:v>
                </c:pt>
                <c:pt idx="1">
                  <c:v>0</c:v>
                </c:pt>
                <c:pt idx="2">
                  <c:v>0</c:v>
                </c:pt>
                <c:pt idx="3">
                  <c:v>0</c:v>
                </c:pt>
                <c:pt idx="4">
                  <c:v>0</c:v>
                </c:pt>
                <c:pt idx="5">
                  <c:v>0</c:v>
                </c:pt>
                <c:pt idx="6">
                  <c:v>0</c:v>
                </c:pt>
                <c:pt idx="7">
                  <c:v>1.7666666666666667E-2</c:v>
                </c:pt>
              </c:numCache>
            </c:numRef>
          </c:val>
          <c:extLst>
            <c:ext xmlns:c16="http://schemas.microsoft.com/office/drawing/2014/chart" uri="{C3380CC4-5D6E-409C-BE32-E72D297353CC}">
              <c16:uniqueId val="{00000001-9B40-4484-A9F4-CFB7FB1CDBB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N=10</c:v>
                </c:pt>
                <c:pt idx="3">
                  <c:v>Petitions, total N=6</c:v>
                </c:pt>
                <c:pt idx="4">
                  <c:v>Detentions, total N=0</c:v>
                </c:pt>
                <c:pt idx="5">
                  <c:v>Referrals, total N=26</c:v>
                </c:pt>
                <c:pt idx="6">
                  <c:v>Arrests, total N=7</c:v>
                </c:pt>
                <c:pt idx="7">
                  <c:v>Population, total N=3000</c:v>
                </c:pt>
              </c:strCache>
            </c:strRef>
          </c:cat>
          <c:val>
            <c:numRef>
              <c:f>'Stacked 100%'!$H$7:$H$14</c:f>
              <c:numCache>
                <c:formatCode>0%</c:formatCode>
                <c:ptCount val="8"/>
                <c:pt idx="0">
                  <c:v>0</c:v>
                </c:pt>
                <c:pt idx="1">
                  <c:v>0</c:v>
                </c:pt>
                <c:pt idx="2">
                  <c:v>0</c:v>
                </c:pt>
                <c:pt idx="3">
                  <c:v>0</c:v>
                </c:pt>
                <c:pt idx="4">
                  <c:v>0</c:v>
                </c:pt>
                <c:pt idx="5">
                  <c:v>0</c:v>
                </c:pt>
                <c:pt idx="6">
                  <c:v>0</c:v>
                </c:pt>
                <c:pt idx="7">
                  <c:v>9.2222222222222224E-6</c:v>
                </c:pt>
              </c:numCache>
            </c:numRef>
          </c:val>
          <c:extLst>
            <c:ext xmlns:c16="http://schemas.microsoft.com/office/drawing/2014/chart" uri="{C3380CC4-5D6E-409C-BE32-E72D297353CC}">
              <c16:uniqueId val="{00000002-9B40-4484-A9F4-CFB7FB1CDBB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N=10</c:v>
                </c:pt>
                <c:pt idx="3">
                  <c:v>Petitions, total N=6</c:v>
                </c:pt>
                <c:pt idx="4">
                  <c:v>Detentions, total N=0</c:v>
                </c:pt>
                <c:pt idx="5">
                  <c:v>Referrals, total N=26</c:v>
                </c:pt>
                <c:pt idx="6">
                  <c:v>Arrests, total N=7</c:v>
                </c:pt>
                <c:pt idx="7">
                  <c:v>Population, total N=3000</c:v>
                </c:pt>
              </c:strCache>
            </c:strRef>
          </c:cat>
          <c:val>
            <c:numRef>
              <c:f>'Stacked 100%'!$I$7:$I$14</c:f>
              <c:numCache>
                <c:formatCode>0%</c:formatCode>
                <c:ptCount val="8"/>
                <c:pt idx="0">
                  <c:v>0</c:v>
                </c:pt>
                <c:pt idx="1">
                  <c:v>0</c:v>
                </c:pt>
                <c:pt idx="2">
                  <c:v>0.5</c:v>
                </c:pt>
                <c:pt idx="3">
                  <c:v>0.66666666666666663</c:v>
                </c:pt>
                <c:pt idx="4">
                  <c:v>0</c:v>
                </c:pt>
                <c:pt idx="5">
                  <c:v>0.46153846153846156</c:v>
                </c:pt>
                <c:pt idx="6">
                  <c:v>1</c:v>
                </c:pt>
                <c:pt idx="7">
                  <c:v>0.94799999999999995</c:v>
                </c:pt>
              </c:numCache>
            </c:numRef>
          </c:val>
          <c:extLst>
            <c:ext xmlns:c16="http://schemas.microsoft.com/office/drawing/2014/chart" uri="{C3380CC4-5D6E-409C-BE32-E72D297353CC}">
              <c16:uniqueId val="{00000003-9B40-4484-A9F4-CFB7FB1CDBB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N=10</c:v>
                </c:pt>
                <c:pt idx="3">
                  <c:v>Petitions, total N=6</c:v>
                </c:pt>
                <c:pt idx="4">
                  <c:v>Detentions, total N=0</c:v>
                </c:pt>
                <c:pt idx="5">
                  <c:v>Referrals, total N=26</c:v>
                </c:pt>
                <c:pt idx="6">
                  <c:v>Arrests, total N=7</c:v>
                </c:pt>
                <c:pt idx="7">
                  <c:v>Population, total N=3000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B40-4484-A9F4-CFB7FB1CDBB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3000</v>
      </c>
      <c r="C6" s="11">
        <v>2844</v>
      </c>
      <c r="D6" s="11">
        <v>20</v>
      </c>
      <c r="E6" s="11">
        <v>53</v>
      </c>
      <c r="F6" s="11">
        <v>51</v>
      </c>
      <c r="G6" s="11"/>
      <c r="H6" s="11">
        <v>32</v>
      </c>
      <c r="I6" s="11"/>
      <c r="J6" s="91">
        <f>SUM(D6:I6)</f>
        <v>156</v>
      </c>
      <c r="K6" s="92"/>
    </row>
    <row r="7" spans="1:11" ht="15.75" customHeight="1" thickBot="1" x14ac:dyDescent="0.25">
      <c r="A7" s="10" t="s">
        <v>8</v>
      </c>
      <c r="B7" s="11">
        <f t="shared" ref="B7:B15" si="0">SUM(C7:I7)+K7</f>
        <v>7</v>
      </c>
      <c r="C7" s="11">
        <v>7</v>
      </c>
      <c r="D7" s="11"/>
      <c r="E7" s="11"/>
      <c r="F7" s="11"/>
      <c r="G7" s="11"/>
      <c r="H7" s="11"/>
      <c r="I7" s="11"/>
      <c r="J7" s="91">
        <f t="shared" ref="J7:J15" si="1">SUM(D7:I7)</f>
        <v>0</v>
      </c>
      <c r="K7" s="92"/>
    </row>
    <row r="8" spans="1:11" ht="15.75" customHeight="1" thickBot="1" x14ac:dyDescent="0.25">
      <c r="A8" s="10" t="s">
        <v>9</v>
      </c>
      <c r="B8" s="11">
        <f t="shared" si="0"/>
        <v>26</v>
      </c>
      <c r="C8" s="11">
        <v>12</v>
      </c>
      <c r="D8" s="11"/>
      <c r="E8" s="11"/>
      <c r="F8" s="11"/>
      <c r="G8" s="11"/>
      <c r="H8" s="11"/>
      <c r="I8" s="11"/>
      <c r="J8" s="91">
        <f t="shared" si="1"/>
        <v>0</v>
      </c>
      <c r="K8" s="92">
        <v>14</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6</v>
      </c>
      <c r="C11" s="11">
        <v>4</v>
      </c>
      <c r="D11" s="11"/>
      <c r="E11" s="11"/>
      <c r="F11" s="11"/>
      <c r="G11" s="11"/>
      <c r="H11" s="11"/>
      <c r="I11" s="11"/>
      <c r="J11" s="91">
        <f t="shared" si="1"/>
        <v>0</v>
      </c>
      <c r="K11" s="92">
        <v>2</v>
      </c>
    </row>
    <row r="12" spans="1:11" ht="15.75" customHeight="1" thickBot="1" x14ac:dyDescent="0.25">
      <c r="A12" s="10" t="s">
        <v>13</v>
      </c>
      <c r="B12" s="11">
        <f t="shared" si="0"/>
        <v>10</v>
      </c>
      <c r="C12" s="11">
        <v>5</v>
      </c>
      <c r="D12" s="11"/>
      <c r="E12" s="11"/>
      <c r="F12" s="11"/>
      <c r="G12" s="11"/>
      <c r="H12" s="11"/>
      <c r="I12" s="11"/>
      <c r="J12" s="91">
        <f t="shared" si="1"/>
        <v>0</v>
      </c>
      <c r="K12" s="92">
        <v>5</v>
      </c>
    </row>
    <row r="13" spans="1:11" ht="15.75" customHeight="1" thickBot="1" x14ac:dyDescent="0.25">
      <c r="A13" s="10" t="s">
        <v>133</v>
      </c>
      <c r="B13" s="11">
        <f t="shared" si="0"/>
        <v>10</v>
      </c>
      <c r="C13" s="11">
        <v>4</v>
      </c>
      <c r="D13" s="11"/>
      <c r="E13" s="11"/>
      <c r="F13" s="11"/>
      <c r="G13" s="11"/>
      <c r="H13" s="11"/>
      <c r="I13" s="11"/>
      <c r="J13" s="91">
        <f t="shared" si="1"/>
        <v>0</v>
      </c>
      <c r="K13" s="92">
        <v>6</v>
      </c>
    </row>
    <row r="14" spans="1:11" ht="26.25" customHeight="1" thickBot="1" x14ac:dyDescent="0.25">
      <c r="A14" s="10" t="s">
        <v>123</v>
      </c>
      <c r="B14" s="11">
        <f t="shared" si="0"/>
        <v>1</v>
      </c>
      <c r="C14" s="11"/>
      <c r="D14" s="11"/>
      <c r="E14" s="11"/>
      <c r="F14" s="11"/>
      <c r="G14" s="11"/>
      <c r="H14" s="11"/>
      <c r="I14" s="11"/>
      <c r="J14" s="91">
        <f t="shared" si="1"/>
        <v>0</v>
      </c>
      <c r="K14" s="92">
        <v>1</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No</v>
      </c>
      <c r="E16" s="13" t="str">
        <f t="shared" si="2"/>
        <v>Yes</v>
      </c>
      <c r="F16" s="13" t="str">
        <f t="shared" si="2"/>
        <v>Yes</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Houghton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2844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2.4613220815752461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2837</v>
      </c>
      <c r="R7" s="42">
        <f t="shared" ref="R7:R15" si="5">SUM(N7:Q7)</f>
        <v>2844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12</v>
      </c>
      <c r="D8" s="34">
        <f>IF((AND(C67&gt;0,C8&gt;0)),(C8/C67),0)</f>
        <v>171.42857142857142</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v>
      </c>
      <c r="Q8" s="42">
        <f>(C$67*L67)-C8</f>
        <v>-4.9999999999999991</v>
      </c>
      <c r="R8" s="42">
        <f t="shared" si="5"/>
        <v>7.0500000000000016</v>
      </c>
      <c r="S8" s="30">
        <f t="shared" si="6"/>
        <v>2.5380000000000011</v>
      </c>
      <c r="T8" s="30">
        <f t="shared" si="7"/>
        <v>-20.790000000000003</v>
      </c>
      <c r="U8" s="31">
        <f t="shared" si="8"/>
        <v>-0.12207792207792212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33.333333333333336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8</v>
      </c>
      <c r="R11" s="42">
        <f t="shared" si="5"/>
        <v>12</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125</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-1</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80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1</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2.8439999999999999</v>
      </c>
      <c r="D42" s="56">
        <f>E6/1000</f>
        <v>0</v>
      </c>
      <c r="E42" s="56">
        <f>MAX(C42:D42)</f>
        <v>2.8439999999999999</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0.12</v>
      </c>
      <c r="D44" s="56">
        <f>E8/100</f>
        <v>0</v>
      </c>
      <c r="E44" s="56">
        <f>MAX(C44:D44,0)</f>
        <v>0.12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2.8439999999999999</v>
      </c>
      <c r="D48" s="56">
        <f>D42</f>
        <v>0</v>
      </c>
      <c r="E48" s="56">
        <f>MAX(C48:D48)</f>
        <v>2.8439999999999999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2.8439999999999999</v>
      </c>
      <c r="D54" s="56">
        <f>D48</f>
        <v>0</v>
      </c>
      <c r="E54" s="56">
        <f>MAX(C54:D54)</f>
        <v>2.8439999999999999</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2.8439999999999999</v>
      </c>
      <c r="D60" s="56">
        <f>D54</f>
        <v>0</v>
      </c>
      <c r="E60" s="56">
        <f>MAX(C60:D60)</f>
        <v>2.8439999999999999</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2.8439999999999999</v>
      </c>
      <c r="D66" s="56">
        <f>D60</f>
        <v>0</v>
      </c>
      <c r="E66" s="56">
        <f>MAX(C66:D66)</f>
        <v>2.8439999999999999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Houghton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2844</v>
      </c>
      <c r="D6" s="34"/>
      <c r="E6" s="33">
        <f>'Data Entry'!J6</f>
        <v>156</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2.4613220815752461</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156</v>
      </c>
      <c r="P7" s="42">
        <f t="shared" ref="P7:P15" si="4">C7</f>
        <v>7</v>
      </c>
      <c r="Q7" s="42">
        <f>C6-C7</f>
        <v>2837</v>
      </c>
      <c r="R7" s="42">
        <f t="shared" ref="R7:R15" si="5">SUM(N7:Q7)</f>
        <v>3000</v>
      </c>
      <c r="S7" s="30">
        <f t="shared" ref="S7:S15" si="6">R7*((((N7*Q7)-(O7*P7))^2))</f>
        <v>3577392000</v>
      </c>
      <c r="T7" s="30">
        <f t="shared" ref="T7:T15" si="7">(N7+O7)*(P7+Q7)*(N7+P7)*(O7+Q7)</f>
        <v>9295204464</v>
      </c>
      <c r="U7" s="31">
        <f t="shared" ref="U7:U15" si="8">IF((S7&gt;0),S7/T7,"- -")</f>
        <v>0.38486426133552126</v>
      </c>
    </row>
    <row r="8" spans="2:21" ht="18" customHeight="1" x14ac:dyDescent="0.25">
      <c r="B8" s="32" t="str">
        <f>'Data Entry'!A8</f>
        <v>3. Refer to Juvenile Court</v>
      </c>
      <c r="C8" s="33">
        <f>'Data Entry'!C8</f>
        <v>12</v>
      </c>
      <c r="D8" s="34">
        <f>IF((AND(C67&gt;0,C8&gt;0)),(C8/C67),0)</f>
        <v>171.42857142857142</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12</v>
      </c>
      <c r="Q8" s="42">
        <f>(C$67*L67)-C8</f>
        <v>-4.9999999999999991</v>
      </c>
      <c r="R8" s="42">
        <f t="shared" si="5"/>
        <v>7.0500000000000016</v>
      </c>
      <c r="S8" s="30">
        <f t="shared" si="6"/>
        <v>2.5380000000000011</v>
      </c>
      <c r="T8" s="30">
        <f t="shared" si="7"/>
        <v>-20.790000000000003</v>
      </c>
      <c r="U8" s="31">
        <f t="shared" si="8"/>
        <v>-0.12207792207792212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33.333333333333336</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8</v>
      </c>
      <c r="R11" s="42">
        <f t="shared" si="5"/>
        <v>12</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125</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-1</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80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1</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2.8439999999999999</v>
      </c>
      <c r="D42" s="56">
        <f>E6/1000</f>
        <v>0.156</v>
      </c>
      <c r="E42" s="56">
        <f>MAX(C42:D42)</f>
        <v>2.8439999999999999</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0.12</v>
      </c>
      <c r="D44" s="56">
        <f>E8/100</f>
        <v>0</v>
      </c>
      <c r="E44" s="56">
        <f>MAX(C44:D44,0)</f>
        <v>0.12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2.8439999999999999</v>
      </c>
      <c r="D48" s="56">
        <f>D42</f>
        <v>0.156</v>
      </c>
      <c r="E48" s="56">
        <f>MAX(C48:D48)</f>
        <v>2.8439999999999999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2.8439999999999999</v>
      </c>
      <c r="D54" s="56">
        <f>D48</f>
        <v>0.156</v>
      </c>
      <c r="E54" s="56">
        <f>MAX(C54:D54)</f>
        <v>2.8439999999999999</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2.8439999999999999</v>
      </c>
      <c r="D60" s="56">
        <f>D54</f>
        <v>0.156</v>
      </c>
      <c r="E60" s="56">
        <f>MAX(C60:D60)</f>
        <v>2.8439999999999999</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2.8439999999999999</v>
      </c>
      <c r="D66" s="56">
        <f>D60</f>
        <v>0.156</v>
      </c>
      <c r="E66" s="56">
        <f>MAX(C66:D66)</f>
        <v>2.8439999999999999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Houghton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139</v>
      </c>
      <c r="M7" s="1">
        <f>Hispanic!L7</f>
        <v>40</v>
      </c>
      <c r="N7" s="1">
        <f>Asian!L7</f>
        <v>40</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139</v>
      </c>
      <c r="M8" s="1">
        <f>Hispanic!L8</f>
        <v>40</v>
      </c>
      <c r="N8" s="1">
        <f>Asian!L8</f>
        <v>40</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No</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3000</v>
      </c>
      <c r="D3" s="57">
        <f>'Data Entry'!C6</f>
        <v>2844</v>
      </c>
      <c r="E3" s="57">
        <f>'Data Entry'!D6</f>
        <v>20</v>
      </c>
      <c r="F3" s="57">
        <f>'Data Entry'!E6</f>
        <v>53</v>
      </c>
      <c r="G3" s="57">
        <f>'Data Entry'!F6</f>
        <v>51</v>
      </c>
      <c r="H3" s="57">
        <f>'Data Entry'!G6</f>
        <v>0</v>
      </c>
      <c r="I3" s="57">
        <f>'Data Entry'!H6</f>
        <v>32</v>
      </c>
      <c r="J3" s="57">
        <f>'Data Entry'!I6</f>
        <v>0</v>
      </c>
      <c r="K3" s="57">
        <f>'Data Entry'!J6</f>
        <v>156</v>
      </c>
    </row>
    <row r="4" spans="2:11" ht="15" customHeight="1" x14ac:dyDescent="0.25">
      <c r="B4" s="16" t="s">
        <v>8</v>
      </c>
      <c r="C4" s="1">
        <f>IF((C$3&gt;0),(1000*('Data Entry'!B7/'Data Entry'!B$6)), 0)</f>
        <v>2.3333333333333335</v>
      </c>
      <c r="D4" s="1">
        <f>IF((D$3&gt;0),(1000*('Data Entry'!C7/'Data Entry'!C$6)), 0)</f>
        <v>2.4613220815752461</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8.6666666666666661</v>
      </c>
      <c r="D5" s="1">
        <f>IF((D$3&gt;0),(1000*('Data Entry'!C8/'Data Entry'!C$6)), 0)</f>
        <v>4.2194092827004219</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2</v>
      </c>
      <c r="D8" s="1">
        <f>IF((D$3&gt;0),(1000*('Data Entry'!C11/'Data Entry'!C$6)), 0)</f>
        <v>1.4064697609001406</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3.3333333333333335</v>
      </c>
      <c r="D9" s="1">
        <f>IF((D$3&gt;0),(1000*('Data Entry'!C12/'Data Entry'!C$6)), 0)</f>
        <v>1.7580872011251758</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3.3333333333333335</v>
      </c>
      <c r="D10" s="1">
        <f>IF((D$3&gt;0),(1000*('Data Entry'!C13/'Data Entry'!C$6)), 0)</f>
        <v>1.4064697609001406</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0.33333333333333331</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Houghton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No</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Houghton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2844</v>
      </c>
      <c r="D7" s="105">
        <f>'Data Entry'!D6</f>
        <v>20</v>
      </c>
      <c r="E7" s="106"/>
      <c r="F7" s="107">
        <f>'Data Entry'!E6</f>
        <v>53</v>
      </c>
      <c r="G7" s="106"/>
      <c r="H7" s="107">
        <f>'Data Entry'!F6</f>
        <v>51</v>
      </c>
      <c r="I7" s="106"/>
      <c r="J7" s="107">
        <f>'Data Entry'!G6</f>
        <v>0</v>
      </c>
      <c r="K7" s="106"/>
      <c r="L7" s="107">
        <f>'Data Entry'!H6</f>
        <v>32</v>
      </c>
      <c r="M7" s="106"/>
      <c r="N7" s="107">
        <f>'Data Entry'!I6</f>
        <v>0</v>
      </c>
      <c r="O7" s="106"/>
      <c r="P7" s="107">
        <f>'Data Entry'!J6</f>
        <v>156</v>
      </c>
      <c r="Q7" s="108"/>
    </row>
    <row r="8" spans="2:26" s="1" customFormat="1" ht="15" customHeight="1" x14ac:dyDescent="0.3">
      <c r="B8" s="149" t="s">
        <v>8</v>
      </c>
      <c r="C8" s="104">
        <f>'Data Entry'!C7</f>
        <v>7</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139</v>
      </c>
      <c r="U8" s="1">
        <f>Hispanic!L7</f>
        <v>40</v>
      </c>
      <c r="V8" s="1">
        <f>Asian!L7</f>
        <v>40</v>
      </c>
      <c r="W8" s="1" t="e">
        <f>Hawaiian!L7</f>
        <v>#VALUE!</v>
      </c>
      <c r="X8" s="1">
        <f>'Am Indian'!L7</f>
        <v>40</v>
      </c>
      <c r="Y8" s="1" t="e">
        <f>'Other - Mixed'!L7</f>
        <v>#VALUE!</v>
      </c>
      <c r="Z8" s="1">
        <f>'All Minorities'!L7</f>
        <v>40</v>
      </c>
    </row>
    <row r="9" spans="2:26" s="1" customFormat="1" ht="15" customHeight="1" x14ac:dyDescent="0.3">
      <c r="B9" s="149" t="s">
        <v>134</v>
      </c>
      <c r="C9" s="104">
        <f>'Data Entry'!C8</f>
        <v>12</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f>'Black or African-American'!L8</f>
        <v>139</v>
      </c>
      <c r="U9" s="1">
        <f>Hispanic!L8</f>
        <v>40</v>
      </c>
      <c r="V9" s="1">
        <f>Asian!L8</f>
        <v>40</v>
      </c>
      <c r="W9" s="1">
        <f>Hawaiian!L8</f>
        <v>139</v>
      </c>
      <c r="X9" s="1">
        <f>'Am Indian'!L8</f>
        <v>40</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4</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5</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4</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No</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Houghton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Houghton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18.23076923076923</v>
      </c>
    </row>
    <row r="8" spans="1:12" ht="25.5" customHeight="1" x14ac:dyDescent="0.2">
      <c r="A8" s="158" t="str">
        <f>CONCATENATE("Confinement, total N=", 'Data Entry'!B14)</f>
        <v>Confinement, total N=1</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v>
      </c>
      <c r="K8" s="97" t="str">
        <f>A8</f>
        <v>Confinement, total N=1</v>
      </c>
      <c r="L8">
        <f>I14/(SUM(B14:G14))</f>
        <v>18.23076923076923</v>
      </c>
    </row>
    <row r="9" spans="1:12" x14ac:dyDescent="0.2">
      <c r="A9" s="132" t="str">
        <f>CONCATENATE("Delinquent Findings, total N=", 'Data Entry'!B12)</f>
        <v>Delinquent Findings, total N=10</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0.5</v>
      </c>
      <c r="K9" s="97" t="str">
        <f t="shared" si="0"/>
        <v>Delinquent Findings, total N=10</v>
      </c>
      <c r="L9">
        <f>I14/(SUM(B14:G14))</f>
        <v>18.23076923076923</v>
      </c>
    </row>
    <row r="10" spans="1:12" x14ac:dyDescent="0.2">
      <c r="A10" s="132" t="str">
        <f>CONCATENATE("Petitions, total N=", 'Data Entry'!B11)</f>
        <v>Petitions, total N=6</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0.66666666666666663</v>
      </c>
      <c r="K10" s="97" t="str">
        <f t="shared" si="0"/>
        <v>Petitions, total N=6</v>
      </c>
      <c r="L10">
        <f>I14/(SUM(B14:G14))</f>
        <v>18.23076923076923</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18.23076923076923</v>
      </c>
    </row>
    <row r="12" spans="1:12" x14ac:dyDescent="0.2">
      <c r="A12" s="132" t="str">
        <f>CONCATENATE("Referrals, total N=", 'Data Entry'!B8)</f>
        <v>Referrals, total N=26</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0.46153846153846156</v>
      </c>
      <c r="K12" s="97" t="str">
        <f t="shared" si="0"/>
        <v>Referrals, total N=26</v>
      </c>
      <c r="L12">
        <f>I14/(SUM(B14:G14))</f>
        <v>18.23076923076923</v>
      </c>
    </row>
    <row r="13" spans="1:12" x14ac:dyDescent="0.2">
      <c r="A13" s="132" t="str">
        <f>CONCATENATE("Arrests, total N=", 'Data Entry'!B7)</f>
        <v>Arrests, total N=7</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N=7</v>
      </c>
      <c r="L13">
        <f>I14/(SUM(B14:G14))</f>
        <v>18.23076923076923</v>
      </c>
    </row>
    <row r="14" spans="1:12" x14ac:dyDescent="0.2">
      <c r="A14" s="132" t="str">
        <f>CONCATENATE("Population, total N=", 'Data Entry'!B6)</f>
        <v>Population, total N=3000</v>
      </c>
      <c r="B14" s="157">
        <f>'Data Entry'!D6/'Data Entry'!B6</f>
        <v>6.6666666666666671E-3</v>
      </c>
      <c r="C14" s="157">
        <f>'Data Entry'!E6/'Data Entry'!B6</f>
        <v>1.7666666666666667E-2</v>
      </c>
      <c r="D14" s="157">
        <f>'Data Entry'!F6/'Data Entry'!B6</f>
        <v>1.7000000000000001E-2</v>
      </c>
      <c r="E14" s="157">
        <f>'Data Entry'!G6/'Data Entry'!B6</f>
        <v>0</v>
      </c>
      <c r="F14" s="157">
        <f>'Data Entry'!H6/'Data Entry'!B6</f>
        <v>1.0666666666666666E-2</v>
      </c>
      <c r="G14" s="157">
        <f>'Data Entry'!I6/'Data Entry'!B6</f>
        <v>0</v>
      </c>
      <c r="H14" s="157">
        <f>SUM(D14:G14)/'Data Entry'!B6</f>
        <v>9.2222222222222224E-6</v>
      </c>
      <c r="I14" s="157">
        <f>'Data Entry'!C6/'Data Entry'!B6</f>
        <v>0.94799999999999995</v>
      </c>
      <c r="K14" s="97" t="str">
        <f t="shared" si="0"/>
        <v>Population, total N=3000</v>
      </c>
      <c r="L14">
        <f>I14/(SUM(B14:G14))</f>
        <v>18.23076923076923</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Houghton</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2844</v>
      </c>
      <c r="D7" s="105">
        <f>'Data Entry'!D6</f>
        <v>20</v>
      </c>
      <c r="E7" s="106"/>
      <c r="F7" s="107">
        <f>'Data Entry'!E6</f>
        <v>53</v>
      </c>
      <c r="G7" s="106"/>
      <c r="H7" s="107">
        <f>'Data Entry'!F6</f>
        <v>51</v>
      </c>
      <c r="I7" s="106"/>
      <c r="J7" s="107">
        <f>'Data Entry'!J6</f>
        <v>156</v>
      </c>
      <c r="K7" s="108"/>
    </row>
    <row r="8" spans="2:30" s="1" customFormat="1" ht="15" customHeight="1" x14ac:dyDescent="0.3">
      <c r="B8" s="125" t="s">
        <v>8</v>
      </c>
      <c r="C8" s="104">
        <f>'Data Entry'!C7</f>
        <v>7</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139</v>
      </c>
      <c r="O8" s="1">
        <f>Hispanic!L7</f>
        <v>40</v>
      </c>
      <c r="P8" s="1">
        <f>Asian!L7</f>
        <v>40</v>
      </c>
      <c r="Q8" s="1" t="e">
        <f>Hawaiian!L7</f>
        <v>#VALUE!</v>
      </c>
      <c r="R8" s="1">
        <f>'Am Indian'!L7</f>
        <v>40</v>
      </c>
      <c r="S8" s="1" t="e">
        <f>'Other - Mixed'!L7</f>
        <v>#VALUE!</v>
      </c>
      <c r="T8" s="1">
        <f>'All Minorities'!L7</f>
        <v>40</v>
      </c>
    </row>
    <row r="9" spans="2:30" s="1" customFormat="1" ht="15" customHeight="1" x14ac:dyDescent="0.3">
      <c r="B9" s="125" t="s">
        <v>134</v>
      </c>
      <c r="C9" s="104">
        <f>'Data Entry'!C8</f>
        <v>12</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f>'Black or African-American'!L8</f>
        <v>139</v>
      </c>
      <c r="O9" s="1">
        <f>Hispanic!L8</f>
        <v>40</v>
      </c>
      <c r="P9" s="1">
        <f>Asian!L8</f>
        <v>40</v>
      </c>
      <c r="Q9" s="1">
        <f>Hawaiian!L8</f>
        <v>139</v>
      </c>
      <c r="R9" s="1">
        <f>'Am Indian'!L8</f>
        <v>40</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4</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5</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4</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No</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Houghton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2844</v>
      </c>
      <c r="D6" s="34"/>
      <c r="E6" s="33">
        <f>'Data Entry'!D6</f>
        <v>20</v>
      </c>
      <c r="F6" s="34"/>
      <c r="G6" s="35"/>
      <c r="H6" s="36"/>
      <c r="I6" s="37"/>
      <c r="J6" s="38"/>
      <c r="K6" s="37"/>
      <c r="L6" s="1">
        <f>IF( ('Data Entry'!D6&gt;('Data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2.4613220815752461</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139</v>
      </c>
      <c r="M7" s="1" t="b">
        <f t="shared" ref="M7:M15" si="0">(ISNUMBER(J7))</f>
        <v>1</v>
      </c>
      <c r="N7" s="42">
        <f t="shared" ref="N7:N15" si="1">E7</f>
        <v>0</v>
      </c>
      <c r="O7" s="42">
        <f>E6-E7</f>
        <v>20</v>
      </c>
      <c r="P7" s="42">
        <f t="shared" ref="P7:P15" si="2">C7</f>
        <v>7</v>
      </c>
      <c r="Q7" s="42">
        <f>C6-C7</f>
        <v>2837</v>
      </c>
      <c r="R7" s="42">
        <f t="shared" ref="R7:R15" si="3">SUM(N7:Q7)</f>
        <v>2864</v>
      </c>
      <c r="S7" s="30">
        <f t="shared" ref="S7:S15" si="4">R7*((((N7*Q7)-(O7*P7))^2))</f>
        <v>56134400</v>
      </c>
      <c r="T7" s="30">
        <f t="shared" ref="T7:T15" si="5">(N7+O7)*(P7+Q7)*(N7+P7)*(O7+Q7)</f>
        <v>1137543120</v>
      </c>
      <c r="U7" s="31">
        <f t="shared" ref="U7:U15" si="6">IF((S7&gt;0),S7/T7,"- -")</f>
        <v>4.9347052444042735E-2</v>
      </c>
    </row>
    <row r="8" spans="2:21" ht="18" customHeight="1" x14ac:dyDescent="0.25">
      <c r="B8" s="32" t="str">
        <f>'Data Entry'!A8</f>
        <v>3. Refer to Juvenile Court</v>
      </c>
      <c r="C8" s="33">
        <f>'Data Entry'!C8</f>
        <v>12</v>
      </c>
      <c r="D8" s="34">
        <f>IF((AND(C67&gt;0,C8&gt;0)),(C8/C67),0)</f>
        <v>171.42857142857142</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139</v>
      </c>
      <c r="M8" s="1" t="b">
        <f t="shared" si="0"/>
        <v>1</v>
      </c>
      <c r="N8" s="42">
        <f t="shared" si="1"/>
        <v>0</v>
      </c>
      <c r="O8" s="42">
        <f>((D67*L67)-E8)+0.05</f>
        <v>0.05</v>
      </c>
      <c r="P8" s="42">
        <f t="shared" si="2"/>
        <v>12</v>
      </c>
      <c r="Q8" s="42">
        <f>(C$67*L67)-C8</f>
        <v>-4.9999999999999991</v>
      </c>
      <c r="R8" s="42">
        <f t="shared" si="3"/>
        <v>7.0500000000000016</v>
      </c>
      <c r="S8" s="30">
        <f t="shared" si="4"/>
        <v>2.5380000000000011</v>
      </c>
      <c r="T8" s="30">
        <f t="shared" si="5"/>
        <v>-20.790000000000003</v>
      </c>
      <c r="U8" s="31">
        <f t="shared" si="6"/>
        <v>-0.12207792207792212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12</v>
      </c>
      <c r="R9" s="42">
        <f t="shared" si="3"/>
        <v>12</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12</v>
      </c>
      <c r="R10" s="42">
        <f t="shared" si="3"/>
        <v>12</v>
      </c>
      <c r="S10" s="30">
        <f t="shared" si="4"/>
        <v>0</v>
      </c>
      <c r="T10" s="30">
        <f t="shared" si="5"/>
        <v>0</v>
      </c>
      <c r="U10" s="31" t="str">
        <f t="shared" si="6"/>
        <v>- -</v>
      </c>
    </row>
    <row r="11" spans="2:21" ht="18" customHeight="1" x14ac:dyDescent="0.25">
      <c r="B11" s="32" t="str">
        <f>'Data Entry'!A11</f>
        <v>6. Cases Petitioned (Charge Filed)</v>
      </c>
      <c r="C11" s="33">
        <f>'Data Entry'!C11</f>
        <v>4</v>
      </c>
      <c r="D11" s="34">
        <f>IF(((AND(C68&gt;0,C11&gt;0))),(C11/(C68)),0)</f>
        <v>33.333333333333336</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4</v>
      </c>
      <c r="Q11" s="42">
        <f>(C$68*L68)-C11</f>
        <v>8</v>
      </c>
      <c r="R11" s="42">
        <f t="shared" si="3"/>
        <v>12</v>
      </c>
      <c r="S11" s="30">
        <f t="shared" si="4"/>
        <v>0</v>
      </c>
      <c r="T11" s="30">
        <f t="shared" si="5"/>
        <v>0</v>
      </c>
      <c r="U11" s="31" t="str">
        <f t="shared" si="6"/>
        <v>- -</v>
      </c>
    </row>
    <row r="12" spans="2:21" ht="18" customHeight="1" x14ac:dyDescent="0.25">
      <c r="B12" s="32" t="str">
        <f>'Data Entry'!A12</f>
        <v>7. Cases Resulting in Delinquent Findings</v>
      </c>
      <c r="C12" s="33">
        <f>'Data Entry'!C12</f>
        <v>5</v>
      </c>
      <c r="D12" s="34">
        <f>IF(((AND(C69&gt;0,C12&gt;0))),(C12/(C69)),0)</f>
        <v>125</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5</v>
      </c>
      <c r="Q12" s="42">
        <f>(C69*L69)-C12</f>
        <v>-1</v>
      </c>
      <c r="R12" s="42">
        <f t="shared" si="3"/>
        <v>4</v>
      </c>
      <c r="S12" s="30">
        <f t="shared" si="4"/>
        <v>0</v>
      </c>
      <c r="T12" s="30">
        <f t="shared" si="5"/>
        <v>0</v>
      </c>
      <c r="U12" s="31" t="str">
        <f t="shared" si="6"/>
        <v>- -</v>
      </c>
    </row>
    <row r="13" spans="2:21" ht="18" customHeight="1" x14ac:dyDescent="0.25">
      <c r="B13" s="32" t="str">
        <f>'Data Entry'!A13</f>
        <v>8. Cases Resulting in Probation Placement</v>
      </c>
      <c r="C13" s="33">
        <f>'Data Entry'!C13</f>
        <v>4</v>
      </c>
      <c r="D13" s="34">
        <f>IF(((AND(C70&gt;0,C13&gt;0))),(C13/(C70)),0)</f>
        <v>80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4</v>
      </c>
      <c r="Q13" s="42">
        <f>(C70*L70)-C13</f>
        <v>1</v>
      </c>
      <c r="R13" s="42">
        <f t="shared" si="3"/>
        <v>5</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5</v>
      </c>
      <c r="R14" s="42">
        <f t="shared" si="3"/>
        <v>5</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4</v>
      </c>
      <c r="R15" s="42">
        <f t="shared" si="3"/>
        <v>4</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2.8439999999999999</v>
      </c>
      <c r="D42" s="56">
        <f>E6/1000</f>
        <v>0.02</v>
      </c>
      <c r="E42" s="56">
        <f>MAX(C42:D42)</f>
        <v>2.8439999999999999</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0.12</v>
      </c>
      <c r="D44" s="56">
        <f>E8/100</f>
        <v>0</v>
      </c>
      <c r="E44" s="56">
        <f>MAX(C44:D44,0)</f>
        <v>0.12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2.8439999999999999</v>
      </c>
      <c r="D48" s="56">
        <f>D42</f>
        <v>0.02</v>
      </c>
      <c r="E48" s="56">
        <f>MAX(C48:D48)</f>
        <v>2.8439999999999999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2.8439999999999999</v>
      </c>
      <c r="D54" s="56">
        <f>D48</f>
        <v>0.02</v>
      </c>
      <c r="E54" s="56">
        <f>MAX(C54:D54)</f>
        <v>2.8439999999999999</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2.8439999999999999</v>
      </c>
      <c r="D60" s="56">
        <f>D54</f>
        <v>0.02</v>
      </c>
      <c r="E60" s="56">
        <f>MAX(C60:D60)</f>
        <v>2.8439999999999999</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2.8439999999999999</v>
      </c>
      <c r="D66" s="56">
        <f>D60</f>
        <v>0.02</v>
      </c>
      <c r="E66" s="56">
        <f>MAX(C66:D66)</f>
        <v>2.8439999999999999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Houghton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2844</v>
      </c>
      <c r="D6" s="34"/>
      <c r="E6" s="33">
        <f>'Data Entry'!F6</f>
        <v>51</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2.4613220815752461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51</v>
      </c>
      <c r="P7" s="42">
        <f t="shared" ref="P7:P15" si="4">C7</f>
        <v>7</v>
      </c>
      <c r="Q7" s="42">
        <f>C6-C7</f>
        <v>2837</v>
      </c>
      <c r="R7" s="42">
        <f t="shared" ref="R7:R15" si="5">SUM(N7:Q7)</f>
        <v>2895</v>
      </c>
      <c r="S7" s="30">
        <f t="shared" ref="S7:S15" si="6">R7*((((N7*Q7)-(O7*P7))^2))</f>
        <v>368964855</v>
      </c>
      <c r="T7" s="30">
        <f t="shared" ref="T7:T15" si="7">(N7+O7)*(P7+Q7)*(N7+P7)*(O7+Q7)</f>
        <v>2932209504</v>
      </c>
      <c r="U7" s="31">
        <f t="shared" ref="U7:U15" si="8">IF((S7&gt;0),S7/T7,"- -")</f>
        <v>0.12583168238718048</v>
      </c>
    </row>
    <row r="8" spans="2:21" ht="18" customHeight="1" x14ac:dyDescent="0.25">
      <c r="B8" s="32" t="str">
        <f>'Data Entry'!A8</f>
        <v>3. Refer to Juvenile Court</v>
      </c>
      <c r="C8" s="33">
        <f>'Data Entry'!C8</f>
        <v>12</v>
      </c>
      <c r="D8" s="34">
        <f>IF((AND(C67&gt;0,C8&gt;0)),(C8/C67),0)</f>
        <v>171.42857142857142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12</v>
      </c>
      <c r="Q8" s="42">
        <f>(C$67*L67)-C8</f>
        <v>-4.9999999999999991</v>
      </c>
      <c r="R8" s="42">
        <f t="shared" si="5"/>
        <v>7.0500000000000016</v>
      </c>
      <c r="S8" s="30">
        <f t="shared" si="6"/>
        <v>2.5380000000000011</v>
      </c>
      <c r="T8" s="30">
        <f t="shared" si="7"/>
        <v>-20.790000000000003</v>
      </c>
      <c r="U8" s="31">
        <f t="shared" si="8"/>
        <v>-0.12207792207792212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33.333333333333336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8</v>
      </c>
      <c r="R11" s="42">
        <f t="shared" si="5"/>
        <v>12</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125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-1</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80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1</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2.8439999999999999</v>
      </c>
      <c r="D42" s="56">
        <f>E6/1000</f>
        <v>5.0999999999999997E-2</v>
      </c>
      <c r="E42" s="56">
        <f>MAX(C42:D42)</f>
        <v>2.8439999999999999</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0.12</v>
      </c>
      <c r="D44" s="56">
        <f>E8/100</f>
        <v>0</v>
      </c>
      <c r="E44" s="56">
        <f>MAX(C44:D44,0)</f>
        <v>0.12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2.8439999999999999</v>
      </c>
      <c r="D48" s="56">
        <f>D42</f>
        <v>5.0999999999999997E-2</v>
      </c>
      <c r="E48" s="56">
        <f>MAX(C48:D48)</f>
        <v>2.8439999999999999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2.8439999999999999</v>
      </c>
      <c r="D54" s="56">
        <f>D48</f>
        <v>5.0999999999999997E-2</v>
      </c>
      <c r="E54" s="56">
        <f>MAX(C54:D54)</f>
        <v>2.8439999999999999</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2.8439999999999999</v>
      </c>
      <c r="D60" s="56">
        <f>D54</f>
        <v>5.0999999999999997E-2</v>
      </c>
      <c r="E60" s="56">
        <f>MAX(C60:D60)</f>
        <v>2.8439999999999999</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2.8439999999999999</v>
      </c>
      <c r="D66" s="56">
        <f>D60</f>
        <v>5.0999999999999997E-2</v>
      </c>
      <c r="E66" s="56">
        <f>MAX(C66:D66)</f>
        <v>2.8439999999999999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Houghton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2844</v>
      </c>
      <c r="D6" s="34"/>
      <c r="E6" s="33">
        <f>'Data Entry'!E6</f>
        <v>53</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2.4613220815752461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53</v>
      </c>
      <c r="P7" s="42">
        <f t="shared" ref="P7:P15" si="4">C7</f>
        <v>7</v>
      </c>
      <c r="Q7" s="42">
        <f>C6-C7</f>
        <v>2837</v>
      </c>
      <c r="R7" s="42">
        <f t="shared" ref="R7:R15" si="5">SUM(N7:Q7)</f>
        <v>2897</v>
      </c>
      <c r="S7" s="30">
        <f t="shared" ref="S7:S15" si="6">R7*((((N7*Q7)-(O7*P7))^2))</f>
        <v>398745977</v>
      </c>
      <c r="T7" s="30">
        <f t="shared" ref="T7:T15" si="7">(N7+O7)*(P7+Q7)*(N7+P7)*(O7+Q7)</f>
        <v>3049308360</v>
      </c>
      <c r="U7" s="31">
        <f t="shared" ref="U7:U15" si="8">IF((S7&gt;0),S7/T7,"- -")</f>
        <v>0.13076603935195324</v>
      </c>
    </row>
    <row r="8" spans="2:21" ht="18" customHeight="1" x14ac:dyDescent="0.25">
      <c r="B8" s="32" t="str">
        <f>'Data Entry'!A8</f>
        <v>3. Refer to Juvenile Court</v>
      </c>
      <c r="C8" s="33">
        <f>'Data Entry'!C8</f>
        <v>12</v>
      </c>
      <c r="D8" s="34">
        <f>IF((AND(C67&gt;0,C8&gt;0)),(C8/C67),0)</f>
        <v>171.42857142857142</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12</v>
      </c>
      <c r="Q8" s="42">
        <f>(C$67*L67)-C8</f>
        <v>-4.9999999999999991</v>
      </c>
      <c r="R8" s="42">
        <f t="shared" si="5"/>
        <v>7.0500000000000016</v>
      </c>
      <c r="S8" s="30">
        <f t="shared" si="6"/>
        <v>2.5380000000000011</v>
      </c>
      <c r="T8" s="30">
        <f t="shared" si="7"/>
        <v>-20.790000000000003</v>
      </c>
      <c r="U8" s="31">
        <f t="shared" si="8"/>
        <v>-0.12207792207792212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33.333333333333336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8</v>
      </c>
      <c r="R11" s="42">
        <f t="shared" si="5"/>
        <v>12</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125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-1</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80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1</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2.8439999999999999</v>
      </c>
      <c r="D42" s="56">
        <f>E6/1000</f>
        <v>5.2999999999999999E-2</v>
      </c>
      <c r="E42" s="56">
        <f>MAX(C42:D42)</f>
        <v>2.8439999999999999</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0.12</v>
      </c>
      <c r="D44" s="56">
        <f>E8/100</f>
        <v>0</v>
      </c>
      <c r="E44" s="56">
        <f>MAX(C44:D44,0)</f>
        <v>0.12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2.8439999999999999</v>
      </c>
      <c r="D48" s="56">
        <f>D42</f>
        <v>5.2999999999999999E-2</v>
      </c>
      <c r="E48" s="56">
        <f>MAX(C48:D48)</f>
        <v>2.8439999999999999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2.8439999999999999</v>
      </c>
      <c r="D54" s="56">
        <f>D48</f>
        <v>5.2999999999999999E-2</v>
      </c>
      <c r="E54" s="56">
        <f>MAX(C54:D54)</f>
        <v>2.8439999999999999</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2.8439999999999999</v>
      </c>
      <c r="D60" s="56">
        <f>D54</f>
        <v>5.2999999999999999E-2</v>
      </c>
      <c r="E60" s="56">
        <f>MAX(C60:D60)</f>
        <v>2.8439999999999999</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2.8439999999999999</v>
      </c>
      <c r="D66" s="56">
        <f>D60</f>
        <v>5.2999999999999999E-2</v>
      </c>
      <c r="E66" s="56">
        <f>MAX(C66:D66)</f>
        <v>2.8439999999999999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Houghton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2844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2.4613220815752461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2837</v>
      </c>
      <c r="R7" s="42">
        <f t="shared" ref="R7:R15" si="5">SUM(N7:Q7)</f>
        <v>2844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12</v>
      </c>
      <c r="D8" s="34">
        <f>IF((AND(C67&gt;0,C8&gt;0)),(C8/C67),0)</f>
        <v>171.42857142857142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v>
      </c>
      <c r="Q8" s="42">
        <f>(C$67*L67)-C8</f>
        <v>-4.9999999999999991</v>
      </c>
      <c r="R8" s="42">
        <f t="shared" si="5"/>
        <v>7.0500000000000016</v>
      </c>
      <c r="S8" s="30">
        <f t="shared" si="6"/>
        <v>2.5380000000000011</v>
      </c>
      <c r="T8" s="30">
        <f t="shared" si="7"/>
        <v>-20.790000000000003</v>
      </c>
      <c r="U8" s="31">
        <f t="shared" si="8"/>
        <v>-0.12207792207792212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33.333333333333336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8</v>
      </c>
      <c r="R11" s="42">
        <f t="shared" si="5"/>
        <v>12</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125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-1</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80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1</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2.8439999999999999</v>
      </c>
      <c r="D42" s="56">
        <f>E6/1000</f>
        <v>0</v>
      </c>
      <c r="E42" s="56">
        <f>MAX(C42:D42)</f>
        <v>2.8439999999999999</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0.12</v>
      </c>
      <c r="D44" s="56">
        <f>E8/100</f>
        <v>0</v>
      </c>
      <c r="E44" s="56">
        <f>MAX(C44:D44,0)</f>
        <v>0.12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2.8439999999999999</v>
      </c>
      <c r="D48" s="56">
        <f>D42</f>
        <v>0</v>
      </c>
      <c r="E48" s="56">
        <f>MAX(C48:D48)</f>
        <v>2.8439999999999999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2.8439999999999999</v>
      </c>
      <c r="D54" s="56">
        <f>D48</f>
        <v>0</v>
      </c>
      <c r="E54" s="56">
        <f>MAX(C54:D54)</f>
        <v>2.8439999999999999</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2.8439999999999999</v>
      </c>
      <c r="D60" s="56">
        <f>D54</f>
        <v>0</v>
      </c>
      <c r="E60" s="56">
        <f>MAX(C60:D60)</f>
        <v>2.8439999999999999</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2.8439999999999999</v>
      </c>
      <c r="D66" s="56">
        <f>D60</f>
        <v>0</v>
      </c>
      <c r="E66" s="56">
        <f>MAX(C66:D66)</f>
        <v>2.8439999999999999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Houghton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2844</v>
      </c>
      <c r="D6" s="34"/>
      <c r="E6" s="33">
        <f>'Data Entry'!H6</f>
        <v>32</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2.4613220815752461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32</v>
      </c>
      <c r="P7" s="42">
        <f t="shared" ref="P7:P15" si="4">C7</f>
        <v>7</v>
      </c>
      <c r="Q7" s="42">
        <f>C6-C7</f>
        <v>2837</v>
      </c>
      <c r="R7" s="42">
        <f t="shared" ref="R7:R15" si="5">SUM(N7:Q7)</f>
        <v>2876</v>
      </c>
      <c r="S7" s="30">
        <f t="shared" ref="S7:S15" si="6">R7*((((N7*Q7)-(O7*P7))^2))</f>
        <v>144306176</v>
      </c>
      <c r="T7" s="30">
        <f t="shared" ref="T7:T15" si="7">(N7+O7)*(P7+Q7)*(N7+P7)*(O7+Q7)</f>
        <v>1827713664</v>
      </c>
      <c r="U7" s="31">
        <f t="shared" ref="U7:U15" si="8">IF((S7&gt;0),S7/T7,"- -")</f>
        <v>7.8954476755501241E-2</v>
      </c>
    </row>
    <row r="8" spans="2:21" ht="18" customHeight="1" x14ac:dyDescent="0.25">
      <c r="B8" s="32" t="str">
        <f>'Data Entry'!A8</f>
        <v>3. Refer to Juvenile Court</v>
      </c>
      <c r="C8" s="33">
        <f>'Data Entry'!C8</f>
        <v>12</v>
      </c>
      <c r="D8" s="34">
        <f>IF((AND(C67&gt;0,C8&gt;0)),(C8/C67),0)</f>
        <v>171.42857142857142</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12</v>
      </c>
      <c r="Q8" s="42">
        <f>(C$67*L67)-C8</f>
        <v>-4.9999999999999991</v>
      </c>
      <c r="R8" s="42">
        <f t="shared" si="5"/>
        <v>7.0500000000000016</v>
      </c>
      <c r="S8" s="30">
        <f t="shared" si="6"/>
        <v>2.5380000000000011</v>
      </c>
      <c r="T8" s="30">
        <f t="shared" si="7"/>
        <v>-20.790000000000003</v>
      </c>
      <c r="U8" s="31">
        <f t="shared" si="8"/>
        <v>-0.12207792207792212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33.333333333333336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8</v>
      </c>
      <c r="R11" s="42">
        <f t="shared" si="5"/>
        <v>12</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125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-1</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80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1</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2.8439999999999999</v>
      </c>
      <c r="D42" s="56">
        <f>E6/1000</f>
        <v>3.2000000000000001E-2</v>
      </c>
      <c r="E42" s="56">
        <f>MAX(C42:D42)</f>
        <v>2.8439999999999999</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0.12</v>
      </c>
      <c r="D44" s="56">
        <f>E8/100</f>
        <v>0</v>
      </c>
      <c r="E44" s="56">
        <f>MAX(C44:D44,0)</f>
        <v>0.12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2.8439999999999999</v>
      </c>
      <c r="D48" s="56">
        <f>D42</f>
        <v>3.2000000000000001E-2</v>
      </c>
      <c r="E48" s="56">
        <f>MAX(C48:D48)</f>
        <v>2.8439999999999999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2.8439999999999999</v>
      </c>
      <c r="D54" s="56">
        <f>D48</f>
        <v>3.2000000000000001E-2</v>
      </c>
      <c r="E54" s="56">
        <f>MAX(C54:D54)</f>
        <v>2.8439999999999999</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2.8439999999999999</v>
      </c>
      <c r="D60" s="56">
        <f>D54</f>
        <v>3.2000000000000001E-2</v>
      </c>
      <c r="E60" s="56">
        <f>MAX(C60:D60)</f>
        <v>2.8439999999999999</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2.8439999999999999</v>
      </c>
      <c r="D66" s="56">
        <f>D60</f>
        <v>3.2000000000000001E-2</v>
      </c>
      <c r="E66" s="56">
        <f>MAX(C66:D66)</f>
        <v>2.8439999999999999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U47JMPN4QEAR-1806752177-30176</_dlc_DocId>
    <_dlc_DocIdUrl xmlns="ac3811b5-0f3e-49e2-ba69-f2ffa0c782af">
      <Url>https://michiganphi.sharepoint.com/sites/CMDMC/_layouts/15/DocIdRedir.aspx?ID=U47JMPN4QEAR-1806752177-30176</Url>
      <Description>U47JMPN4QEAR-1806752177-30176</Description>
    </_dlc_DocIdUrl>
  </documentManagement>
</p:properties>
</file>

<file path=customXml/itemProps1.xml><?xml version="1.0" encoding="utf-8"?>
<ds:datastoreItem xmlns:ds="http://schemas.openxmlformats.org/officeDocument/2006/customXml" ds:itemID="{69D8AFA2-D3FD-4C5F-BDF3-D637013A2280}"/>
</file>

<file path=customXml/itemProps2.xml><?xml version="1.0" encoding="utf-8"?>
<ds:datastoreItem xmlns:ds="http://schemas.openxmlformats.org/officeDocument/2006/customXml" ds:itemID="{8C6C24BA-9ED9-4F1D-A8D7-5D2C8F999293}"/>
</file>

<file path=customXml/itemProps3.xml><?xml version="1.0" encoding="utf-8"?>
<ds:datastoreItem xmlns:ds="http://schemas.openxmlformats.org/officeDocument/2006/customXml" ds:itemID="{BC90CDD1-445A-4663-B32D-79E7AC4B43E3}"/>
</file>

<file path=customXml/itemProps4.xml><?xml version="1.0" encoding="utf-8"?>
<ds:datastoreItem xmlns:ds="http://schemas.openxmlformats.org/officeDocument/2006/customXml" ds:itemID="{67F2A5DA-804A-4CF3-B90D-F11A4FC5F6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e59907fd-a4ce-4509-a86d-84d478a0552e</vt:lpwstr>
  </property>
</Properties>
</file>