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DE175F69-5BBE-48B2-BCDB-DAC2208899F3}"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52" i="3" s="1"/>
  <c r="G58" i="3" s="1"/>
  <c r="G64" i="3" s="1"/>
  <c r="G70" i="3" s="1"/>
  <c r="G48" i="3"/>
  <c r="G54" i="3"/>
  <c r="G60" i="3" s="1"/>
  <c r="G66" i="3" s="1"/>
  <c r="L48" i="3"/>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M66" i="3"/>
  <c r="F27" i="3"/>
  <c r="F27" i="5"/>
  <c r="M66" i="5"/>
  <c r="F27" i="2"/>
  <c r="M66" i="2"/>
  <c r="M66" i="8"/>
  <c r="F27" i="8"/>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L64" i="3" s="1"/>
  <c r="E55" i="5"/>
  <c r="D61" i="5" s="1"/>
  <c r="B62" i="4"/>
  <c r="L62" i="4"/>
  <c r="C62" i="4"/>
  <c r="C62" i="3"/>
  <c r="D57" i="3"/>
  <c r="L7" i="9"/>
  <c r="B62" i="3"/>
  <c r="E58" i="6"/>
  <c r="D62" i="4"/>
  <c r="L57" i="7"/>
  <c r="D62" i="3"/>
  <c r="D57" i="7"/>
  <c r="E57" i="7" s="1"/>
  <c r="C57" i="2"/>
  <c r="D57" i="2"/>
  <c r="L57" i="2"/>
  <c r="B57" i="2"/>
  <c r="L56" i="8"/>
  <c r="B56" i="8"/>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57" i="8" l="1"/>
  <c r="D64" i="5"/>
  <c r="C64" i="5"/>
  <c r="B57" i="8"/>
  <c r="B64" i="8" s="1"/>
  <c r="B64" i="5"/>
  <c r="L64" i="5"/>
  <c r="B55" i="8"/>
  <c r="D56" i="8"/>
  <c r="E56" i="8" s="1"/>
  <c r="B64" i="4"/>
  <c r="G7" i="8"/>
  <c r="K8" i="16" s="1"/>
  <c r="L7" i="8"/>
  <c r="T8" i="16" s="1"/>
  <c r="E57" i="3"/>
  <c r="L63" i="3" s="1"/>
  <c r="D57" i="8"/>
  <c r="E57" i="8" s="1"/>
  <c r="L64" i="4"/>
  <c r="C64" i="3"/>
  <c r="D55" i="8"/>
  <c r="E55" i="8" s="1"/>
  <c r="D61" i="8" s="1"/>
  <c r="L55" i="8"/>
  <c r="C64" i="4"/>
  <c r="E64" i="4" s="1"/>
  <c r="D64" i="6"/>
  <c r="B64" i="3"/>
  <c r="L62" i="5"/>
  <c r="D62" i="5"/>
  <c r="E62" i="5" s="1"/>
  <c r="E57" i="6"/>
  <c r="B63" i="6" s="1"/>
  <c r="B62" i="5"/>
  <c r="D64" i="8"/>
  <c r="L64" i="6"/>
  <c r="L64" i="8"/>
  <c r="E57" i="2"/>
  <c r="C63" i="2" s="1"/>
  <c r="L61" i="5"/>
  <c r="D64" i="3"/>
  <c r="C64" i="6"/>
  <c r="C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Q8" i="13"/>
  <c r="I7" i="9"/>
  <c r="B63" i="8"/>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69" i="7" l="1"/>
  <c r="C69" i="7"/>
  <c r="D12" i="7" s="1"/>
  <c r="E63" i="3"/>
  <c r="C69" i="3" s="1"/>
  <c r="D12" i="3" s="1"/>
  <c r="B70" i="3"/>
  <c r="M70" i="3"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B69" i="6"/>
  <c r="M69" i="6" s="1"/>
  <c r="O13" i="6"/>
  <c r="F14" i="6"/>
  <c r="D69" i="3"/>
  <c r="E69" i="3" s="1"/>
  <c r="L69" i="3"/>
  <c r="Q12" i="3" s="1"/>
  <c r="F34" i="3"/>
  <c r="B69" i="3"/>
  <c r="M69" i="3" s="1"/>
  <c r="D15" i="7"/>
  <c r="Q15" i="7"/>
  <c r="Q12" i="7"/>
  <c r="F33" i="3"/>
  <c r="E69" i="7"/>
  <c r="E70" i="6"/>
  <c r="D13" i="3"/>
  <c r="E70" i="3"/>
  <c r="D13" i="6"/>
  <c r="F14" i="3"/>
  <c r="O14" i="6"/>
  <c r="O13" i="3"/>
  <c r="C69" i="6"/>
  <c r="D12" i="6" s="1"/>
  <c r="Q14" i="3"/>
  <c r="F12" i="7"/>
  <c r="O12" i="7"/>
  <c r="D14" i="6"/>
  <c r="O15" i="7"/>
  <c r="Q13" i="3"/>
  <c r="Q13" i="6"/>
  <c r="Q14" i="6"/>
  <c r="O14" i="3"/>
  <c r="R14" i="3" s="1"/>
  <c r="S14" i="3" s="1"/>
  <c r="U14" i="3" s="1"/>
  <c r="J14" i="3" s="1"/>
  <c r="M14" i="3" s="1"/>
  <c r="G14" i="3" s="1"/>
  <c r="I15" i="16" s="1"/>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6" l="1"/>
  <c r="F15" i="3"/>
  <c r="F35" i="6"/>
  <c r="F32" i="6"/>
  <c r="Q15" i="3"/>
  <c r="K15" i="3" s="1"/>
  <c r="T15" i="7"/>
  <c r="O12" i="3"/>
  <c r="R12" i="3" s="1"/>
  <c r="S12" i="3" s="1"/>
  <c r="U12" i="3" s="1"/>
  <c r="J12" i="3" s="1"/>
  <c r="F12" i="3"/>
  <c r="O15" i="3"/>
  <c r="R13" i="6"/>
  <c r="S13" i="6" s="1"/>
  <c r="U13" i="6" s="1"/>
  <c r="J13" i="6" s="1"/>
  <c r="M13" i="6" s="1"/>
  <c r="G13" i="6" s="1"/>
  <c r="M14" i="13" s="1"/>
  <c r="R15" i="7"/>
  <c r="S15" i="7" s="1"/>
  <c r="U15" i="7" s="1"/>
  <c r="J15" i="7" s="1"/>
  <c r="M15" i="7" s="1"/>
  <c r="K13" i="6"/>
  <c r="F32" i="3"/>
  <c r="T12" i="7"/>
  <c r="F35" i="3"/>
  <c r="R12" i="7"/>
  <c r="S12" i="7" s="1"/>
  <c r="U12" i="7" s="1"/>
  <c r="J12" i="7" s="1"/>
  <c r="K12" i="7"/>
  <c r="R14" i="6"/>
  <c r="S14" i="6" s="1"/>
  <c r="U14" i="6" s="1"/>
  <c r="J14" i="6" s="1"/>
  <c r="M14" i="6" s="1"/>
  <c r="G14" i="6" s="1"/>
  <c r="M15" i="13" s="1"/>
  <c r="T13" i="8"/>
  <c r="T14" i="6"/>
  <c r="K14" i="6"/>
  <c r="D15" i="6"/>
  <c r="K13" i="3"/>
  <c r="R14" i="8"/>
  <c r="S14" i="8" s="1"/>
  <c r="O12" i="6"/>
  <c r="E69" i="6"/>
  <c r="T13" i="3"/>
  <c r="K14" i="3"/>
  <c r="L14" i="3" s="1"/>
  <c r="P15" i="16" s="1"/>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G13" i="9" l="1"/>
  <c r="T15" i="3"/>
  <c r="T12" i="3"/>
  <c r="L15" i="7"/>
  <c r="S16" i="16" s="1"/>
  <c r="L13" i="6"/>
  <c r="R14" i="16" s="1"/>
  <c r="L12" i="7"/>
  <c r="S13" i="16" s="1"/>
  <c r="M12" i="7"/>
  <c r="L13" i="3"/>
  <c r="P14" i="16" s="1"/>
  <c r="T12" i="6"/>
  <c r="R12" i="6"/>
  <c r="S12" i="6" s="1"/>
  <c r="U12" i="6" s="1"/>
  <c r="J12" i="6" s="1"/>
  <c r="M12" i="6" s="1"/>
  <c r="G12" i="6" s="1"/>
  <c r="K12" i="6"/>
  <c r="K15" i="6"/>
  <c r="U14" i="8"/>
  <c r="J14" i="8" s="1"/>
  <c r="N30" i="8" s="1"/>
  <c r="R15" i="6"/>
  <c r="S15" i="6" s="1"/>
  <c r="U15" i="6" s="1"/>
  <c r="J15" i="6" s="1"/>
  <c r="M15" i="6" s="1"/>
  <c r="G15" i="6" s="1"/>
  <c r="T15" i="6"/>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X14"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Z14" i="13"/>
  <c r="V15"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Y13" i="13" l="1"/>
  <c r="P13" i="9"/>
  <c r="Q12" i="9"/>
  <c r="V14" i="13"/>
  <c r="N13" i="9"/>
  <c r="L15" i="6"/>
  <c r="R16" i="16" s="1"/>
  <c r="M14" i="8"/>
  <c r="G14" i="8" s="1"/>
  <c r="K15" i="16" s="1"/>
  <c r="L14" i="8"/>
  <c r="T15" i="16" s="1"/>
  <c r="L12" i="6"/>
  <c r="R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2" i="9" l="1"/>
  <c r="X13" i="13"/>
  <c r="P15" i="9"/>
  <c r="Q15" i="13"/>
  <c r="I14" i="9"/>
  <c r="X16" i="13"/>
  <c r="R14" i="9"/>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<sst xmlns="http://schemas.openxmlformats.org/spreadsheetml/2006/main" count="654" uniqueCount="141">
  <si>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</si>
  <si>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</si>
  <si>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</si>
  <si>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</si>
  <si>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</si>
  <si>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</si>
  <si>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</si>
  <si>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</si>
  <si>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</si>
  <si>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</si>
  <si>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</si>
  <si>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</si>
  <si>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</si>
  <si>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</si>
  <si>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</si>
  <si>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</si>
  <si>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</si>
  <si>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</si>
  <si>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</si>
  <si>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</si>
  <si>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</si>
  <si>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</si>
  <si>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</si>
  <si>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</si>
  <si>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</si>
  <si>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</si>
  <si>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</si>
  <si>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</si>
  <si>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</si>
  <si>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</si>
  <si>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</si>
  <si>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</si>
  <si>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</si>
  <si>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</si>
  <si>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</si>
  <si>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</si>
  <si>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</si>
  <si>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</si>
  <si>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</si>
  <si>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</si>
  <si>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</si>
  <si>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</si>
  <si>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</si>
  <si>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</si>
  <si>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</si>
  <si>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</si>
  <si>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</si>
  <si>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</si>
  <si>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</si>
  <si>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</si>
  <si>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</si>
  <si>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</si>
  <si>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</si>
  <si>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</si>
  <si>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</si>
  <si>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</si>
  <si>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</si>
  <si>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</si>
  <si>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</si>
  <si>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</si>
  <si>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</si>
  <si>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</si>
  <si>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</si>
  <si>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</si>
  <si>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</si>
  <si>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</si>
  <si>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</si>
  <si>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</si>
  <si>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</si>
  <si>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</si>
  <si>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</si>
  <si>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</si>
  <si>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</si>
  <si>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</si>
  <si>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</si>
  <si>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</si>
  <si>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</si>
  <si>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</si>
  <si>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</si>
  <si>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</si>
  <si>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</si>
  <si>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</si>
  <si>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</si>
  <si>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</si>
  <si>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</si>
  <si>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</si>
  <si>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</si>
  <si>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</si>
  <si>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</si>
  <si>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</si>
  <si>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</si>
  <si>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</si>
  <si>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</si>
  <si>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</si>
  <si>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</si>
  <si>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</si>
  <si>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</si>
  <si>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</si>
  <si>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</si>
  <si>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</si>
  <si>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</si>
  <si>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</si>
  <si>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</si>
  <si>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</si>
  <si>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</si>
  <si>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</si>
  <si>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</si>
  <si>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</si>
  <si>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</si>
  <si>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</si>
  <si>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</si>
  <si>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</si>
  <si>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</si>
  <si>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</si>
  <si>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</si>
  <si>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</si>
  <si>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</si>
  <si>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</si>
  <si>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</si>
  <si>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</si>
  <si>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</si>
  <si>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</si>
  <si>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</si>
  <si>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</si>
  <si>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</si>
  <si>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</si>
  <si>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</si>
  <si>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</si>
  <si>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</si>
  <si>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</si>
  <si>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</si>
  <si>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</si>
  <si>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</si>
  <si>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</si>
  <si>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</si>
  <si>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</si>
  <si>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</si>
  <si>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Hillsdale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</si>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</sst>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Hillsdale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N=18</c:v>
                </c:pt>
                <c:pt idx="7">
                  <c:v>Population, total N=3956</c:v>
                </c:pt>
              </c:strCache>
            </c:strRef>
          </c:cat>
          <c:val>
            <c:numRef>
              <c:f>'Stacked 100%'!$B$7:$B$14</c:f>
              <c:numCache>
                <c:formatCode>0%</c:formatCode>
                <c:ptCount val="8"/>
                <c:pt idx="0">
                  <c:v>0</c:v>
                </c:pt>
                <c:pt idx="1">
                  <c:v>0</c:v>
                </c:pt>
                <c:pt idx="2">
                  <c:v>0</c:v>
                </c:pt>
                <c:pt idx="3">
                  <c:v>0</c:v>
                </c:pt>
                <c:pt idx="4">
                  <c:v>0</c:v>
                </c:pt>
                <c:pt idx="5">
                  <c:v>0</c:v>
                </c:pt>
                <c:pt idx="6">
                  <c:v>0</c:v>
                </c:pt>
                <c:pt idx="7">
                  <c:v>2.0475227502527806E-2</c:v>
                </c:pt>
              </c:numCache>
            </c:numRef>
          </c:val>
          <c:extLst>
            <c:ext xmlns:c16="http://schemas.microsoft.com/office/drawing/2014/chart" uri="{C3380CC4-5D6E-409C-BE32-E72D297353CC}">
              <c16:uniqueId val="{00000000-E093-4D84-B532-EEA2C213896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N=18</c:v>
                </c:pt>
                <c:pt idx="7">
                  <c:v>Population, total N=3956</c:v>
                </c:pt>
              </c:strCache>
            </c:strRef>
          </c:cat>
          <c:val>
            <c:numRef>
              <c:f>'Stacked 100%'!$C$7:$C$14</c:f>
              <c:numCache>
                <c:formatCode>0%</c:formatCode>
                <c:ptCount val="8"/>
                <c:pt idx="0">
                  <c:v>0</c:v>
                </c:pt>
                <c:pt idx="1">
                  <c:v>0</c:v>
                </c:pt>
                <c:pt idx="2">
                  <c:v>0</c:v>
                </c:pt>
                <c:pt idx="3">
                  <c:v>0</c:v>
                </c:pt>
                <c:pt idx="4">
                  <c:v>0</c:v>
                </c:pt>
                <c:pt idx="5">
                  <c:v>0</c:v>
                </c:pt>
                <c:pt idx="6">
                  <c:v>0</c:v>
                </c:pt>
                <c:pt idx="7">
                  <c:v>4.499494438827098E-2</c:v>
                </c:pt>
              </c:numCache>
            </c:numRef>
          </c:val>
          <c:extLst>
            <c:ext xmlns:c16="http://schemas.microsoft.com/office/drawing/2014/chart" uri="{C3380CC4-5D6E-409C-BE32-E72D297353CC}">
              <c16:uniqueId val="{00000001-E093-4D84-B532-EEA2C213896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N=18</c:v>
                </c:pt>
                <c:pt idx="7">
                  <c:v>Population, total N=3956</c:v>
                </c:pt>
              </c:strCache>
            </c:strRef>
          </c:cat>
          <c:val>
            <c:numRef>
              <c:f>'Stacked 100%'!$H$7:$H$14</c:f>
              <c:numCache>
                <c:formatCode>0%</c:formatCode>
                <c:ptCount val="8"/>
                <c:pt idx="0">
                  <c:v>0</c:v>
                </c:pt>
                <c:pt idx="1">
                  <c:v>0</c:v>
                </c:pt>
                <c:pt idx="2">
                  <c:v>0</c:v>
                </c:pt>
                <c:pt idx="3">
                  <c:v>0</c:v>
                </c:pt>
                <c:pt idx="4">
                  <c:v>0</c:v>
                </c:pt>
                <c:pt idx="5">
                  <c:v>0</c:v>
                </c:pt>
                <c:pt idx="6">
                  <c:v>0</c:v>
                </c:pt>
                <c:pt idx="7">
                  <c:v>3.4504933438705435E-6</c:v>
                </c:pt>
              </c:numCache>
            </c:numRef>
          </c:val>
          <c:extLst>
            <c:ext xmlns:c16="http://schemas.microsoft.com/office/drawing/2014/chart" uri="{C3380CC4-5D6E-409C-BE32-E72D297353CC}">
              <c16:uniqueId val="{00000002-E093-4D84-B532-EEA2C213896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N=18</c:v>
                </c:pt>
                <c:pt idx="7">
                  <c:v>Population, total N=3956</c:v>
                </c:pt>
              </c:strCache>
            </c:strRef>
          </c:cat>
          <c:val>
            <c:numRef>
              <c:f>'Stacked 100%'!$I$7:$I$14</c:f>
              <c:numCache>
                <c:formatCode>0%</c:formatCode>
                <c:ptCount val="8"/>
                <c:pt idx="0">
                  <c:v>0</c:v>
                </c:pt>
                <c:pt idx="1">
                  <c:v>0</c:v>
                </c:pt>
                <c:pt idx="2">
                  <c:v>0</c:v>
                </c:pt>
                <c:pt idx="3">
                  <c:v>0</c:v>
                </c:pt>
                <c:pt idx="4">
                  <c:v>0</c:v>
                </c:pt>
                <c:pt idx="5">
                  <c:v>0</c:v>
                </c:pt>
                <c:pt idx="6">
                  <c:v>1</c:v>
                </c:pt>
                <c:pt idx="7">
                  <c:v>0.92087967644084934</c:v>
                </c:pt>
              </c:numCache>
            </c:numRef>
          </c:val>
          <c:extLst>
            <c:ext xmlns:c16="http://schemas.microsoft.com/office/drawing/2014/chart" uri="{C3380CC4-5D6E-409C-BE32-E72D297353CC}">
              <c16:uniqueId val="{00000003-E093-4D84-B532-EEA2C213896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N=18</c:v>
                </c:pt>
                <c:pt idx="7">
                  <c:v>Population, total N=3956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093-4D84-B532-EEA2C213896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3956</v>
      </c>
      <c r="C6" s="11">
        <v>3643</v>
      </c>
      <c r="D6" s="11">
        <v>81</v>
      </c>
      <c r="E6" s="11">
        <v>178</v>
      </c>
      <c r="F6" s="11">
        <v>26</v>
      </c>
      <c r="G6" s="11"/>
      <c r="H6" s="11">
        <v>28</v>
      </c>
      <c r="I6" s="11"/>
      <c r="J6" s="91">
        <f>SUM(D6:I6)</f>
        <v>313</v>
      </c>
      <c r="K6" s="92"/>
    </row>
    <row r="7" spans="1:11" ht="15.75" customHeight="1" thickBot="1" x14ac:dyDescent="0.25">
      <c r="A7" s="10" t="s">
        <v>8</v>
      </c>
      <c r="B7" s="11">
        <f t="shared" ref="B7:B15" si="0">SUM(C7:I7)+K7</f>
        <v>18</v>
      </c>
      <c r="C7" s="11">
        <v>18</v>
      </c>
      <c r="D7" s="11"/>
      <c r="E7" s="11"/>
      <c r="F7" s="11"/>
      <c r="G7" s="11"/>
      <c r="H7" s="11"/>
      <c r="I7" s="11"/>
      <c r="J7" s="91">
        <f t="shared" ref="J7:J15" si="1">SUM(D7:I7)</f>
        <v>0</v>
      </c>
      <c r="K7" s="92"/>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Hillsdale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3643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18</v>
      </c>
      <c r="D7" s="34">
        <f>IF((AND(C66&gt;0,C7&gt;0)),(C7/C66),0)</f>
        <v>4.9409827065605274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18</v>
      </c>
      <c r="Q7" s="42">
        <f>C6-C7</f>
        <v>3625</v>
      </c>
      <c r="R7" s="42">
        <f t="shared" ref="R7:R15" si="5">SUM(N7:Q7)</f>
        <v>3643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3.6429999999999998</v>
      </c>
      <c r="D42" s="56">
        <f>E6/1000</f>
        <v>0</v>
      </c>
      <c r="E42" s="56">
        <f>MAX(C42:D42)</f>
        <v>3.6429999999999998</v>
      </c>
      <c r="G42" s="1" t="str">
        <f>B42</f>
        <v>per 1000 youth</v>
      </c>
      <c r="L42" s="57">
        <v>1000</v>
      </c>
      <c r="M42" s="57"/>
      <c r="R42" s="49"/>
    </row>
    <row r="43" spans="2:18" ht="15" hidden="1" customHeight="1" x14ac:dyDescent="0.25">
      <c r="B43" s="49" t="s">
        <v>87</v>
      </c>
      <c r="C43" s="56">
        <f>C7/100</f>
        <v>0.18</v>
      </c>
      <c r="D43" s="56">
        <f>E7/100</f>
        <v>0</v>
      </c>
      <c r="E43" s="56">
        <f>MAX(C43:D43,0)</f>
        <v>0.18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3.6429999999999998</v>
      </c>
      <c r="D48" s="56">
        <f>D42</f>
        <v>0</v>
      </c>
      <c r="E48" s="56">
        <f>MAX(C48:D48)</f>
        <v>3.6429999999999998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3.6429999999999998</v>
      </c>
      <c r="D54" s="56">
        <f>D48</f>
        <v>0</v>
      </c>
      <c r="E54" s="56">
        <f>MAX(C54:D54)</f>
        <v>3.6429999999999998</v>
      </c>
      <c r="G54" s="1" t="str">
        <f>G48</f>
        <v>per 1000 youth</v>
      </c>
      <c r="L54" s="58">
        <f>L48</f>
        <v>1000</v>
      </c>
      <c r="M54" s="58"/>
    </row>
    <row r="55" spans="2:18" ht="15" hidden="1" customHeight="1" x14ac:dyDescent="0.25">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x14ac:dyDescent="0.25">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x14ac:dyDescent="0.25">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3.6429999999999998</v>
      </c>
      <c r="D60" s="56">
        <f>D54</f>
        <v>0</v>
      </c>
      <c r="E60" s="56">
        <f>MAX(C60:D60)</f>
        <v>3.6429999999999998</v>
      </c>
      <c r="G60" s="1" t="str">
        <f>G54</f>
        <v>per 1000 youth</v>
      </c>
      <c r="L60" s="58">
        <f>L54</f>
        <v>1000</v>
      </c>
      <c r="M60" s="58"/>
    </row>
    <row r="61" spans="2:18" ht="15" hidden="1" customHeight="1" x14ac:dyDescent="0.25">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x14ac:dyDescent="0.25">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x14ac:dyDescent="0.25">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x14ac:dyDescent="0.25">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3.6429999999999998</v>
      </c>
      <c r="D66" s="56">
        <f>D60</f>
        <v>0</v>
      </c>
      <c r="E66" s="56">
        <f>MAX(C66:D66)</f>
        <v>3.6429999999999998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x14ac:dyDescent="0.25">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x14ac:dyDescent="0.25">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x14ac:dyDescent="0.25">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Hillsdale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3643</v>
      </c>
      <c r="D6" s="34"/>
      <c r="E6" s="33">
        <f>'Data Entry'!J6</f>
        <v>313</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18</v>
      </c>
      <c r="D7" s="34">
        <f>IF((AND(C66&gt;0,C7&gt;0)),(C7/C66),0)</f>
        <v>4.9409827065605274</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313</v>
      </c>
      <c r="P7" s="42">
        <f t="shared" ref="P7:P15" si="4">C7</f>
        <v>18</v>
      </c>
      <c r="Q7" s="42">
        <f>C6-C7</f>
        <v>3625</v>
      </c>
      <c r="R7" s="42">
        <f t="shared" ref="R7:R15" si="5">SUM(N7:Q7)</f>
        <v>3956</v>
      </c>
      <c r="S7" s="30">
        <f t="shared" ref="S7:S15" si="6">R7*((((N7*Q7)-(O7*P7))^2))</f>
        <v>125571177936</v>
      </c>
      <c r="T7" s="30">
        <f t="shared" ref="T7:T15" si="7">(N7+O7)*(P7+Q7)*(N7+P7)*(O7+Q7)</f>
        <v>80826118956</v>
      </c>
      <c r="U7" s="31">
        <f t="shared" ref="U7:U15" si="8">IF((S7&gt;0),S7/T7,"- -")</f>
        <v>1.5535965299083363</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3.6429999999999998</v>
      </c>
      <c r="D42" s="56">
        <f>E6/1000</f>
        <v>0.313</v>
      </c>
      <c r="E42" s="56">
        <f>MAX(C42:D42)</f>
        <v>3.6429999999999998</v>
      </c>
      <c r="G42" s="1" t="str">
        <f>B42</f>
        <v>per 1000 youth</v>
      </c>
      <c r="L42" s="57">
        <v>1000</v>
      </c>
      <c r="M42" s="57"/>
      <c r="R42" s="49"/>
    </row>
    <row r="43" spans="2:18" ht="15" hidden="1" customHeight="1" x14ac:dyDescent="0.25">
      <c r="B43" s="49" t="s">
        <v>87</v>
      </c>
      <c r="C43" s="56">
        <f>C7/100</f>
        <v>0.18</v>
      </c>
      <c r="D43" s="56">
        <f>E7/100</f>
        <v>0</v>
      </c>
      <c r="E43" s="56">
        <f>MAX(C43:D43,0)</f>
        <v>0.18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3.6429999999999998</v>
      </c>
      <c r="D48" s="56">
        <f>D42</f>
        <v>0.313</v>
      </c>
      <c r="E48" s="56">
        <f>MAX(C48:D48)</f>
        <v>3.6429999999999998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3.6429999999999998</v>
      </c>
      <c r="D54" s="56">
        <f>D48</f>
        <v>0.313</v>
      </c>
      <c r="E54" s="56">
        <f>MAX(C54:D54)</f>
        <v>3.6429999999999998</v>
      </c>
      <c r="G54" s="1" t="str">
        <f>G48</f>
        <v>per 1000 youth</v>
      </c>
      <c r="L54" s="58">
        <f>L48</f>
        <v>1000</v>
      </c>
      <c r="M54" s="58"/>
    </row>
    <row r="55" spans="2:18" ht="15" hidden="1" customHeight="1" x14ac:dyDescent="0.25">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x14ac:dyDescent="0.25">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x14ac:dyDescent="0.25">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3.6429999999999998</v>
      </c>
      <c r="D60" s="56">
        <f>D54</f>
        <v>0.313</v>
      </c>
      <c r="E60" s="56">
        <f>MAX(C60:D60)</f>
        <v>3.6429999999999998</v>
      </c>
      <c r="G60" s="1" t="str">
        <f>G54</f>
        <v>per 1000 youth</v>
      </c>
      <c r="L60" s="58">
        <f>L54</f>
        <v>1000</v>
      </c>
      <c r="M60" s="58"/>
    </row>
    <row r="61" spans="2:18" ht="15" hidden="1" customHeight="1" x14ac:dyDescent="0.25">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x14ac:dyDescent="0.25">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x14ac:dyDescent="0.25">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x14ac:dyDescent="0.25">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3.6429999999999998</v>
      </c>
      <c r="D66" s="56">
        <f>D60</f>
        <v>0.313</v>
      </c>
      <c r="E66" s="56">
        <f>MAX(C66:D66)</f>
        <v>3.6429999999999998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x14ac:dyDescent="0.25">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x14ac:dyDescent="0.25">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x14ac:dyDescent="0.25">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Hillsdale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3956</v>
      </c>
      <c r="D3" s="57">
        <f>'Data Entry'!C6</f>
        <v>3643</v>
      </c>
      <c r="E3" s="57">
        <f>'Data Entry'!D6</f>
        <v>81</v>
      </c>
      <c r="F3" s="57">
        <f>'Data Entry'!E6</f>
        <v>178</v>
      </c>
      <c r="G3" s="57">
        <f>'Data Entry'!F6</f>
        <v>26</v>
      </c>
      <c r="H3" s="57">
        <f>'Data Entry'!G6</f>
        <v>0</v>
      </c>
      <c r="I3" s="57">
        <f>'Data Entry'!H6</f>
        <v>28</v>
      </c>
      <c r="J3" s="57">
        <f>'Data Entry'!I6</f>
        <v>0</v>
      </c>
      <c r="K3" s="57">
        <f>'Data Entry'!J6</f>
        <v>313</v>
      </c>
    </row>
    <row r="4" spans="2:11" ht="15" customHeight="1" x14ac:dyDescent="0.25">
      <c r="B4" s="16" t="s">
        <v>8</v>
      </c>
      <c r="C4" s="1">
        <f>IF((C$3&gt;0),(1000*('Data Entry'!B7/'Data Entry'!B$6)), 0)</f>
        <v>4.5500505561172906</v>
      </c>
      <c r="D4" s="1">
        <f>IF((D$3&gt;0),(1000*('Data Entry'!C7/'Data Entry'!C$6)), 0)</f>
        <v>4.9409827065605274</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Hillsdale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Hillsdale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3643</v>
      </c>
      <c r="D7" s="105">
        <f>'Data Entry'!D6</f>
        <v>81</v>
      </c>
      <c r="E7" s="106"/>
      <c r="F7" s="107">
        <f>'Data Entry'!E6</f>
        <v>178</v>
      </c>
      <c r="G7" s="106"/>
      <c r="H7" s="107">
        <f>'Data Entry'!F6</f>
        <v>26</v>
      </c>
      <c r="I7" s="106"/>
      <c r="J7" s="107">
        <f>'Data Entry'!G6</f>
        <v>0</v>
      </c>
      <c r="K7" s="106"/>
      <c r="L7" s="107">
        <f>'Data Entry'!H6</f>
        <v>28</v>
      </c>
      <c r="M7" s="106"/>
      <c r="N7" s="107">
        <f>'Data Entry'!I6</f>
        <v>0</v>
      </c>
      <c r="O7" s="106"/>
      <c r="P7" s="107">
        <f>'Data Entry'!J6</f>
        <v>313</v>
      </c>
      <c r="Q7" s="108"/>
    </row>
    <row r="8" spans="2:26" s="1" customFormat="1" ht="15" customHeight="1" x14ac:dyDescent="0.3">
      <c r="B8" s="149" t="s">
        <v>8</v>
      </c>
      <c r="C8" s="104">
        <f>'Data Entry'!C7</f>
        <v>18</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Hillsdale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Hillsdale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11.638977635782746</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11.638977635782746</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11.638977635782746</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11.638977635782746</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11.638977635782746</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11.638977635782746</v>
      </c>
    </row>
    <row r="13" spans="1:12" x14ac:dyDescent="0.2">
      <c r="A13" s="132" t="str">
        <f>CONCATENATE("Arrests, total N=", 'Data Entry'!B7)</f>
        <v>Arrests, total N=18</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N=18</v>
      </c>
      <c r="L13">
        <f>I14/(SUM(B14:G14))</f>
        <v>11.638977635782746</v>
      </c>
    </row>
    <row r="14" spans="1:12" x14ac:dyDescent="0.2">
      <c r="A14" s="132" t="str">
        <f>CONCATENATE("Population, total N=", 'Data Entry'!B6)</f>
        <v>Population, total N=3956</v>
      </c>
      <c r="B14" s="157">
        <f>'Data Entry'!D6/'Data Entry'!B6</f>
        <v>2.0475227502527806E-2</v>
      </c>
      <c r="C14" s="157">
        <f>'Data Entry'!E6/'Data Entry'!B6</f>
        <v>4.499494438827098E-2</v>
      </c>
      <c r="D14" s="157">
        <f>'Data Entry'!F6/'Data Entry'!B6</f>
        <v>6.5722952477249748E-3</v>
      </c>
      <c r="E14" s="157">
        <f>'Data Entry'!G6/'Data Entry'!B6</f>
        <v>0</v>
      </c>
      <c r="F14" s="157">
        <f>'Data Entry'!H6/'Data Entry'!B6</f>
        <v>7.0778564206268957E-3</v>
      </c>
      <c r="G14" s="157">
        <f>'Data Entry'!I6/'Data Entry'!B6</f>
        <v>0</v>
      </c>
      <c r="H14" s="157">
        <f>SUM(D14:G14)/'Data Entry'!B6</f>
        <v>3.4504933438705435E-6</v>
      </c>
      <c r="I14" s="157">
        <f>'Data Entry'!C6/'Data Entry'!B6</f>
        <v>0.92087967644084934</v>
      </c>
      <c r="K14" s="97" t="str">
        <f t="shared" si="0"/>
        <v>Population, total N=3956</v>
      </c>
      <c r="L14">
        <f>I14/(SUM(B14:G14))</f>
        <v>11.638977635782746</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Hillsdale</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3643</v>
      </c>
      <c r="D7" s="105">
        <f>'Data Entry'!D6</f>
        <v>81</v>
      </c>
      <c r="E7" s="106"/>
      <c r="F7" s="107">
        <f>'Data Entry'!E6</f>
        <v>178</v>
      </c>
      <c r="G7" s="106"/>
      <c r="H7" s="107">
        <f>'Data Entry'!F6</f>
        <v>26</v>
      </c>
      <c r="I7" s="106"/>
      <c r="J7" s="107">
        <f>'Data Entry'!J6</f>
        <v>313</v>
      </c>
      <c r="K7" s="108"/>
    </row>
    <row r="8" spans="2:30" s="1" customFormat="1" ht="15" customHeight="1" x14ac:dyDescent="0.3">
      <c r="B8" s="125" t="s">
        <v>8</v>
      </c>
      <c r="C8" s="104">
        <f>'Data Entry'!C7</f>
        <v>18</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Hillsdale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3643</v>
      </c>
      <c r="D6" s="34"/>
      <c r="E6" s="33">
        <f>'Data Entry'!D6</f>
        <v>81</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18</v>
      </c>
      <c r="D7" s="34">
        <f>IF((AND(C66&gt;0,C7&gt;0)),(C7/C66),0)</f>
        <v>4.9409827065605274</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81</v>
      </c>
      <c r="P7" s="42">
        <f t="shared" ref="P7:P15" si="2">C7</f>
        <v>18</v>
      </c>
      <c r="Q7" s="42">
        <f>C6-C7</f>
        <v>3625</v>
      </c>
      <c r="R7" s="42">
        <f t="shared" ref="R7:R15" si="3">SUM(N7:Q7)</f>
        <v>3724</v>
      </c>
      <c r="S7" s="30">
        <f t="shared" ref="S7:S15" si="4">R7*((((N7*Q7)-(O7*P7))^2))</f>
        <v>7916345136</v>
      </c>
      <c r="T7" s="30">
        <f t="shared" ref="T7:T15" si="5">(N7+O7)*(P7+Q7)*(N7+P7)*(O7+Q7)</f>
        <v>19684396764</v>
      </c>
      <c r="U7" s="31">
        <f t="shared" ref="U7:U15" si="6">IF((S7&gt;0),S7/T7,"- -")</f>
        <v>0.4021634612891915</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18</v>
      </c>
      <c r="R8" s="42">
        <f t="shared" si="3"/>
        <v>18.05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18</v>
      </c>
      <c r="R9" s="42">
        <f t="shared" si="3"/>
        <v>18</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18</v>
      </c>
      <c r="R10" s="42">
        <f t="shared" si="3"/>
        <v>18</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18</v>
      </c>
      <c r="R11" s="42">
        <f t="shared" si="3"/>
        <v>18</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18</v>
      </c>
      <c r="R12" s="42">
        <f t="shared" si="3"/>
        <v>18</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18</v>
      </c>
      <c r="R13" s="42">
        <f t="shared" si="3"/>
        <v>18</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18</v>
      </c>
      <c r="R14" s="42">
        <f t="shared" si="3"/>
        <v>18</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18</v>
      </c>
      <c r="R15" s="42">
        <f t="shared" si="3"/>
        <v>18</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3.6429999999999998</v>
      </c>
      <c r="D42" s="56">
        <f>E6/1000</f>
        <v>8.1000000000000003E-2</v>
      </c>
      <c r="E42" s="56">
        <f>MAX(C42:D42)</f>
        <v>3.6429999999999998</v>
      </c>
      <c r="G42" s="1" t="str">
        <f>B42</f>
        <v>per 1000 youth</v>
      </c>
      <c r="L42" s="57">
        <v>1000</v>
      </c>
      <c r="M42" s="57"/>
      <c r="R42" s="49"/>
    </row>
    <row r="43" spans="2:18" ht="15" hidden="1" customHeight="1" x14ac:dyDescent="0.25">
      <c r="B43" s="49" t="s">
        <v>87</v>
      </c>
      <c r="C43" s="56">
        <f>C7/100</f>
        <v>0.18</v>
      </c>
      <c r="D43" s="56">
        <f>E7/100</f>
        <v>0</v>
      </c>
      <c r="E43" s="56">
        <f>MAX(C43:D43,0)</f>
        <v>0.18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3.6429999999999998</v>
      </c>
      <c r="D48" s="56">
        <f>D42</f>
        <v>8.1000000000000003E-2</v>
      </c>
      <c r="E48" s="56">
        <f>MAX(C48:D48)</f>
        <v>3.6429999999999998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0.18</v>
      </c>
      <c r="D49" s="49">
        <f t="shared" si="9"/>
        <v>0</v>
      </c>
      <c r="E49" s="49">
        <f>MAX(C49:D49)</f>
        <v>0.18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3.6429999999999998</v>
      </c>
      <c r="D54" s="56">
        <f>D48</f>
        <v>8.1000000000000003E-2</v>
      </c>
      <c r="E54" s="56">
        <f>MAX(C54:D54)</f>
        <v>3.6429999999999998</v>
      </c>
      <c r="G54" s="1" t="str">
        <f>G48</f>
        <v>per 1000 youth</v>
      </c>
      <c r="L54" s="58">
        <f>L48</f>
        <v>1000</v>
      </c>
      <c r="M54" s="58"/>
    </row>
    <row r="55" spans="2:18" ht="15" hidden="1" customHeight="1" x14ac:dyDescent="0.25">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x14ac:dyDescent="0.25">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x14ac:dyDescent="0.25">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3.6429999999999998</v>
      </c>
      <c r="D60" s="56">
        <f>D54</f>
        <v>8.1000000000000003E-2</v>
      </c>
      <c r="E60" s="56">
        <f>MAX(C60:D60)</f>
        <v>3.6429999999999998</v>
      </c>
      <c r="G60" s="1" t="str">
        <f>G54</f>
        <v>per 1000 youth</v>
      </c>
      <c r="L60" s="58">
        <f>L54</f>
        <v>1000</v>
      </c>
      <c r="M60" s="58"/>
    </row>
    <row r="61" spans="2:18" ht="15" hidden="1" customHeight="1" x14ac:dyDescent="0.25">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x14ac:dyDescent="0.25">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x14ac:dyDescent="0.25">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x14ac:dyDescent="0.25">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3.6429999999999998</v>
      </c>
      <c r="D66" s="56">
        <f>D60</f>
        <v>8.1000000000000003E-2</v>
      </c>
      <c r="E66" s="56">
        <f>MAX(C66:D66)</f>
        <v>3.6429999999999998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x14ac:dyDescent="0.25">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x14ac:dyDescent="0.25">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x14ac:dyDescent="0.25">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Hillsdale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3643</v>
      </c>
      <c r="D6" s="34"/>
      <c r="E6" s="33">
        <f>'Data Entry'!F6</f>
        <v>26</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18</v>
      </c>
      <c r="D7" s="34">
        <f>IF((AND(C66&gt;0,C7&gt;0)),(C7/C66),0)</f>
        <v>4.9409827065605274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26</v>
      </c>
      <c r="P7" s="42">
        <f t="shared" ref="P7:P15" si="4">C7</f>
        <v>18</v>
      </c>
      <c r="Q7" s="42">
        <f>C6-C7</f>
        <v>3625</v>
      </c>
      <c r="R7" s="42">
        <f t="shared" ref="R7:R15" si="5">SUM(N7:Q7)</f>
        <v>3669</v>
      </c>
      <c r="S7" s="30">
        <f t="shared" ref="S7:S15" si="6">R7*((((N7*Q7)-(O7*P7))^2))</f>
        <v>803599056</v>
      </c>
      <c r="T7" s="30">
        <f t="shared" ref="T7:T15" si="7">(N7+O7)*(P7+Q7)*(N7+P7)*(O7+Q7)</f>
        <v>6224677524</v>
      </c>
      <c r="U7" s="31">
        <f t="shared" ref="U7:U15" si="8">IF((S7&gt;0),S7/T7,"- -")</f>
        <v>0.12909890559014925</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3.6429999999999998</v>
      </c>
      <c r="D42" s="56">
        <f>E6/1000</f>
        <v>2.5999999999999999E-2</v>
      </c>
      <c r="E42" s="56">
        <f>MAX(C42:D42)</f>
        <v>3.6429999999999998</v>
      </c>
      <c r="G42" s="1" t="str">
        <f>B42</f>
        <v>per 1000 youth</v>
      </c>
      <c r="L42" s="57">
        <v>1000</v>
      </c>
      <c r="M42" s="57"/>
      <c r="R42" s="49"/>
    </row>
    <row r="43" spans="2:18" ht="15" hidden="1" customHeight="1" x14ac:dyDescent="0.25">
      <c r="B43" s="49" t="s">
        <v>87</v>
      </c>
      <c r="C43" s="56">
        <f>C7/100</f>
        <v>0.18</v>
      </c>
      <c r="D43" s="56">
        <f>E7/100</f>
        <v>0</v>
      </c>
      <c r="E43" s="56">
        <f>MAX(C43:D43,0)</f>
        <v>0.18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3.6429999999999998</v>
      </c>
      <c r="D48" s="56">
        <f>D42</f>
        <v>2.5999999999999999E-2</v>
      </c>
      <c r="E48" s="56">
        <f>MAX(C48:D48)</f>
        <v>3.6429999999999998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3.6429999999999998</v>
      </c>
      <c r="D54" s="56">
        <f>D48</f>
        <v>2.5999999999999999E-2</v>
      </c>
      <c r="E54" s="56">
        <f>MAX(C54:D54)</f>
        <v>3.6429999999999998</v>
      </c>
      <c r="G54" s="1" t="str">
        <f>G48</f>
        <v>per 1000 youth</v>
      </c>
      <c r="L54" s="58">
        <f>L48</f>
        <v>1000</v>
      </c>
      <c r="M54" s="58"/>
    </row>
    <row r="55" spans="2:18" ht="15" hidden="1" customHeight="1" x14ac:dyDescent="0.25">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x14ac:dyDescent="0.25">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x14ac:dyDescent="0.25">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3.6429999999999998</v>
      </c>
      <c r="D60" s="56">
        <f>D54</f>
        <v>2.5999999999999999E-2</v>
      </c>
      <c r="E60" s="56">
        <f>MAX(C60:D60)</f>
        <v>3.6429999999999998</v>
      </c>
      <c r="G60" s="1" t="str">
        <f>G54</f>
        <v>per 1000 youth</v>
      </c>
      <c r="L60" s="58">
        <f>L54</f>
        <v>1000</v>
      </c>
      <c r="M60" s="58"/>
    </row>
    <row r="61" spans="2:18" ht="15" hidden="1" customHeight="1" x14ac:dyDescent="0.25">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x14ac:dyDescent="0.25">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x14ac:dyDescent="0.25">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x14ac:dyDescent="0.25">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3.6429999999999998</v>
      </c>
      <c r="D66" s="56">
        <f>D60</f>
        <v>2.5999999999999999E-2</v>
      </c>
      <c r="E66" s="56">
        <f>MAX(C66:D66)</f>
        <v>3.6429999999999998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x14ac:dyDescent="0.25">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x14ac:dyDescent="0.25">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x14ac:dyDescent="0.25">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Hillsdale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3643</v>
      </c>
      <c r="D6" s="34"/>
      <c r="E6" s="33">
        <f>'Data Entry'!E6</f>
        <v>178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18</v>
      </c>
      <c r="D7" s="34">
        <f>IF((AND(C66&gt;0,C7&gt;0)),(C7/C66),0)</f>
        <v>4.9409827065605274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178</v>
      </c>
      <c r="P7" s="42">
        <f t="shared" ref="P7:P15" si="4">C7</f>
        <v>18</v>
      </c>
      <c r="Q7" s="42">
        <f>C6-C7</f>
        <v>3625</v>
      </c>
      <c r="R7" s="42">
        <f t="shared" ref="R7:R15" si="5">SUM(N7:Q7)</f>
        <v>3821</v>
      </c>
      <c r="S7" s="30">
        <f t="shared" ref="S7:S15" si="6">R7*((((N7*Q7)-(O7*P7))^2))</f>
        <v>39224918736</v>
      </c>
      <c r="T7" s="30">
        <f t="shared" ref="T7:T15" si="7">(N7+O7)*(P7+Q7)*(N7+P7)*(O7+Q7)</f>
        <v>44389270116</v>
      </c>
      <c r="U7" s="31">
        <f t="shared" ref="U7:U15" si="8">IF((S7&gt;0),S7/T7,"- -")</f>
        <v>0.88365766396914636</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3.6429999999999998</v>
      </c>
      <c r="D42" s="56">
        <f>E6/1000</f>
        <v>0.17799999999999999</v>
      </c>
      <c r="E42" s="56">
        <f>MAX(C42:D42)</f>
        <v>3.6429999999999998</v>
      </c>
      <c r="G42" s="1" t="str">
        <f>B42</f>
        <v>per 1000 youth</v>
      </c>
      <c r="L42" s="57">
        <v>1000</v>
      </c>
      <c r="M42" s="57"/>
      <c r="R42" s="49"/>
    </row>
    <row r="43" spans="2:18" ht="15" hidden="1" customHeight="1" x14ac:dyDescent="0.25">
      <c r="B43" s="49" t="s">
        <v>87</v>
      </c>
      <c r="C43" s="56">
        <f>C7/100</f>
        <v>0.18</v>
      </c>
      <c r="D43" s="56">
        <f>E7/100</f>
        <v>0</v>
      </c>
      <c r="E43" s="56">
        <f>MAX(C43:D43,0)</f>
        <v>0.18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3.6429999999999998</v>
      </c>
      <c r="D48" s="56">
        <f>D42</f>
        <v>0.17799999999999999</v>
      </c>
      <c r="E48" s="56">
        <f>MAX(C48:D48)</f>
        <v>3.6429999999999998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3.6429999999999998</v>
      </c>
      <c r="D54" s="56">
        <f>D48</f>
        <v>0.17799999999999999</v>
      </c>
      <c r="E54" s="56">
        <f>MAX(C54:D54)</f>
        <v>3.6429999999999998</v>
      </c>
      <c r="G54" s="1" t="str">
        <f>G48</f>
        <v>per 1000 youth</v>
      </c>
      <c r="L54" s="58">
        <f>L48</f>
        <v>1000</v>
      </c>
      <c r="M54" s="58"/>
    </row>
    <row r="55" spans="2:18" ht="15" hidden="1" customHeight="1" x14ac:dyDescent="0.25">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x14ac:dyDescent="0.25">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x14ac:dyDescent="0.25">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3.6429999999999998</v>
      </c>
      <c r="D60" s="56">
        <f>D54</f>
        <v>0.17799999999999999</v>
      </c>
      <c r="E60" s="56">
        <f>MAX(C60:D60)</f>
        <v>3.6429999999999998</v>
      </c>
      <c r="G60" s="1" t="str">
        <f>G54</f>
        <v>per 1000 youth</v>
      </c>
      <c r="L60" s="58">
        <f>L54</f>
        <v>1000</v>
      </c>
      <c r="M60" s="58"/>
    </row>
    <row r="61" spans="2:18" ht="15" hidden="1" customHeight="1" x14ac:dyDescent="0.25">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x14ac:dyDescent="0.25">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x14ac:dyDescent="0.25">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x14ac:dyDescent="0.25">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3.6429999999999998</v>
      </c>
      <c r="D66" s="56">
        <f>D60</f>
        <v>0.17799999999999999</v>
      </c>
      <c r="E66" s="56">
        <f>MAX(C66:D66)</f>
        <v>3.6429999999999998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x14ac:dyDescent="0.25">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x14ac:dyDescent="0.25">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x14ac:dyDescent="0.25">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Hillsdale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3643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18</v>
      </c>
      <c r="D7" s="34">
        <f>IF((AND(C66&gt;0,C7&gt;0)),(C7/C66),0)</f>
        <v>4.9409827065605274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18</v>
      </c>
      <c r="Q7" s="42">
        <f>C6-C7</f>
        <v>3625</v>
      </c>
      <c r="R7" s="42">
        <f t="shared" ref="R7:R15" si="5">SUM(N7:Q7)</f>
        <v>3643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3.6429999999999998</v>
      </c>
      <c r="D42" s="56">
        <f>E6/1000</f>
        <v>0</v>
      </c>
      <c r="E42" s="56">
        <f>MAX(C42:D42)</f>
        <v>3.6429999999999998</v>
      </c>
      <c r="G42" s="1" t="str">
        <f>B42</f>
        <v>per 1000 youth</v>
      </c>
      <c r="L42" s="57">
        <v>1000</v>
      </c>
      <c r="M42" s="57"/>
      <c r="R42" s="49"/>
    </row>
    <row r="43" spans="2:18" ht="15" hidden="1" customHeight="1" x14ac:dyDescent="0.25">
      <c r="B43" s="49" t="s">
        <v>87</v>
      </c>
      <c r="C43" s="56">
        <f>C7/100</f>
        <v>0.18</v>
      </c>
      <c r="D43" s="56">
        <f>E7/100</f>
        <v>0</v>
      </c>
      <c r="E43" s="56">
        <f>MAX(C43:D43,0)</f>
        <v>0.18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3.6429999999999998</v>
      </c>
      <c r="D48" s="56">
        <f>D42</f>
        <v>0</v>
      </c>
      <c r="E48" s="56">
        <f>MAX(C48:D48)</f>
        <v>3.6429999999999998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3.6429999999999998</v>
      </c>
      <c r="D54" s="56">
        <f>D48</f>
        <v>0</v>
      </c>
      <c r="E54" s="56">
        <f>MAX(C54:D54)</f>
        <v>3.6429999999999998</v>
      </c>
      <c r="G54" s="1" t="str">
        <f>G48</f>
        <v>per 1000 youth</v>
      </c>
      <c r="L54" s="58">
        <f>L48</f>
        <v>1000</v>
      </c>
      <c r="M54" s="58"/>
    </row>
    <row r="55" spans="2:18" ht="15" hidden="1" customHeight="1" x14ac:dyDescent="0.25">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x14ac:dyDescent="0.25">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x14ac:dyDescent="0.25">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3.6429999999999998</v>
      </c>
      <c r="D60" s="56">
        <f>D54</f>
        <v>0</v>
      </c>
      <c r="E60" s="56">
        <f>MAX(C60:D60)</f>
        <v>3.6429999999999998</v>
      </c>
      <c r="G60" s="1" t="str">
        <f>G54</f>
        <v>per 1000 youth</v>
      </c>
      <c r="L60" s="58">
        <f>L54</f>
        <v>1000</v>
      </c>
      <c r="M60" s="58"/>
    </row>
    <row r="61" spans="2:18" ht="15" hidden="1" customHeight="1" x14ac:dyDescent="0.25">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x14ac:dyDescent="0.25">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x14ac:dyDescent="0.25">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x14ac:dyDescent="0.25">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3.6429999999999998</v>
      </c>
      <c r="D66" s="56">
        <f>D60</f>
        <v>0</v>
      </c>
      <c r="E66" s="56">
        <f>MAX(C66:D66)</f>
        <v>3.6429999999999998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x14ac:dyDescent="0.25">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x14ac:dyDescent="0.25">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x14ac:dyDescent="0.25">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Hillsdale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3643</v>
      </c>
      <c r="D6" s="34"/>
      <c r="E6" s="33">
        <f>'Data Entry'!H6</f>
        <v>28</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18</v>
      </c>
      <c r="D7" s="34">
        <f>IF((AND(C66&gt;0,C7&gt;0)),(C7/C66),0)</f>
        <v>4.9409827065605274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28</v>
      </c>
      <c r="P7" s="42">
        <f t="shared" ref="P7:P15" si="4">C7</f>
        <v>18</v>
      </c>
      <c r="Q7" s="42">
        <f>C6-C7</f>
        <v>3625</v>
      </c>
      <c r="R7" s="42">
        <f t="shared" ref="R7:R15" si="5">SUM(N7:Q7)</f>
        <v>3671</v>
      </c>
      <c r="S7" s="30">
        <f t="shared" ref="S7:S15" si="6">R7*((((N7*Q7)-(O7*P7))^2))</f>
        <v>932492736</v>
      </c>
      <c r="T7" s="30">
        <f t="shared" ref="T7:T15" si="7">(N7+O7)*(P7+Q7)*(N7+P7)*(O7+Q7)</f>
        <v>6707171016</v>
      </c>
      <c r="U7" s="31">
        <f t="shared" ref="U7:U15" si="8">IF((S7&gt;0),S7/T7,"- -")</f>
        <v>0.13902921720283148</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3.6429999999999998</v>
      </c>
      <c r="D42" s="56">
        <f>E6/1000</f>
        <v>2.8000000000000001E-2</v>
      </c>
      <c r="E42" s="56">
        <f>MAX(C42:D42)</f>
        <v>3.6429999999999998</v>
      </c>
      <c r="G42" s="1" t="str">
        <f>B42</f>
        <v>per 1000 youth</v>
      </c>
      <c r="L42" s="57">
        <v>1000</v>
      </c>
      <c r="M42" s="57"/>
      <c r="R42" s="49"/>
    </row>
    <row r="43" spans="2:18" ht="15" hidden="1" customHeight="1" x14ac:dyDescent="0.25">
      <c r="B43" s="49" t="s">
        <v>87</v>
      </c>
      <c r="C43" s="56">
        <f>C7/100</f>
        <v>0.18</v>
      </c>
      <c r="D43" s="56">
        <f>E7/100</f>
        <v>0</v>
      </c>
      <c r="E43" s="56">
        <f>MAX(C43:D43,0)</f>
        <v>0.18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3.6429999999999998</v>
      </c>
      <c r="D48" s="56">
        <f>D42</f>
        <v>2.8000000000000001E-2</v>
      </c>
      <c r="E48" s="56">
        <f>MAX(C48:D48)</f>
        <v>3.6429999999999998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3.6429999999999998</v>
      </c>
      <c r="D54" s="56">
        <f>D48</f>
        <v>2.8000000000000001E-2</v>
      </c>
      <c r="E54" s="56">
        <f>MAX(C54:D54)</f>
        <v>3.6429999999999998</v>
      </c>
      <c r="G54" s="1" t="str">
        <f>G48</f>
        <v>per 1000 youth</v>
      </c>
      <c r="L54" s="58">
        <f>L48</f>
        <v>1000</v>
      </c>
      <c r="M54" s="58"/>
    </row>
    <row r="55" spans="2:18" ht="15" hidden="1" customHeight="1" x14ac:dyDescent="0.25">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x14ac:dyDescent="0.25">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x14ac:dyDescent="0.25">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3.6429999999999998</v>
      </c>
      <c r="D60" s="56">
        <f>D54</f>
        <v>2.8000000000000001E-2</v>
      </c>
      <c r="E60" s="56">
        <f>MAX(C60:D60)</f>
        <v>3.6429999999999998</v>
      </c>
      <c r="G60" s="1" t="str">
        <f>G54</f>
        <v>per 1000 youth</v>
      </c>
      <c r="L60" s="58">
        <f>L54</f>
        <v>1000</v>
      </c>
      <c r="M60" s="58"/>
    </row>
    <row r="61" spans="2:18" ht="15" hidden="1" customHeight="1" x14ac:dyDescent="0.25">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x14ac:dyDescent="0.25">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x14ac:dyDescent="0.25">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x14ac:dyDescent="0.25">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3.6429999999999998</v>
      </c>
      <c r="D66" s="56">
        <f>D60</f>
        <v>2.8000000000000001E-2</v>
      </c>
      <c r="E66" s="56">
        <f>MAX(C66:D66)</f>
        <v>3.6429999999999998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x14ac:dyDescent="0.25">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x14ac:dyDescent="0.25">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x14ac:dyDescent="0.25">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U47JMPN4QEAR-1806752177-30175</_dlc_DocId>
    <_dlc_DocIdUrl xmlns="ac3811b5-0f3e-49e2-ba69-f2ffa0c782af">
      <Url>https://michiganphi.sharepoint.com/sites/CMDMC/_layouts/15/DocIdRedir.aspx?ID=U47JMPN4QEAR-1806752177-30175</Url>
      <Description>U47JMPN4QEAR-1806752177-30175</Description>
    </_dlc_DocIdUrl>
  </documentManagement>
</p:properties>
</file>

<file path=customXml/itemProps1.xml><?xml version="1.0" encoding="utf-8"?>
<ds:datastoreItem xmlns:ds="http://schemas.openxmlformats.org/officeDocument/2006/customXml" ds:itemID="{D520EF4A-6D03-4CAC-AFFE-8B1EE70CFD38}"/>
</file>

<file path=customXml/itemProps2.xml><?xml version="1.0" encoding="utf-8"?>
<ds:datastoreItem xmlns:ds="http://schemas.openxmlformats.org/officeDocument/2006/customXml" ds:itemID="{41B4F420-1EDE-4B44-8454-3AD63C7EEE17}"/>
</file>

<file path=customXml/itemProps3.xml><?xml version="1.0" encoding="utf-8"?>
<ds:datastoreItem xmlns:ds="http://schemas.openxmlformats.org/officeDocument/2006/customXml" ds:itemID="{9855B071-5144-4240-B102-CA8BE5467D10}"/>
</file>

<file path=customXml/itemProps4.xml><?xml version="1.0" encoding="utf-8"?>
<ds:datastoreItem xmlns:ds="http://schemas.openxmlformats.org/officeDocument/2006/customXml" ds:itemID="{ED203C91-12EA-44A1-85A2-A3DCAE65B3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5a4acf59-9269-401c-b161-a82b876dbe1d</vt:lpwstr>
  </property>
</Properties>
</file>