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F6F5B44C-4C97-40E5-A546-E23906B806DA}" xr6:coauthVersionLast="47" xr6:coauthVersionMax="47" xr10:uidLastSave="{19A98981-7200-4F19-AF90-B0B92F78D54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50" i="6" s="1"/>
  <c r="G56" i="6" s="1"/>
  <c r="G62" i="6" s="1"/>
  <c r="G68" i="6" s="1"/>
  <c r="G45" i="6"/>
  <c r="G51" i="6"/>
  <c r="G57" i="6" s="1"/>
  <c r="G63" i="6" s="1"/>
  <c r="G69" i="6" s="1"/>
  <c r="G46" i="6"/>
  <c r="G52" i="6"/>
  <c r="G58" i="6" s="1"/>
  <c r="G64" i="6" s="1"/>
  <c r="G70" i="6" s="1"/>
  <c r="L48" i="6"/>
  <c r="L54" i="6" s="1"/>
  <c r="L60" i="6" s="1"/>
  <c r="L66"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4"/>
  <c r="M66" i="4"/>
  <c r="F27" i="2"/>
  <c r="M66" i="2"/>
  <c r="F27" i="6"/>
  <c r="M66" i="6"/>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O25" i="5" s="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6"/>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E64" i="5" s="1"/>
  <c r="L64" i="3"/>
  <c r="B56" i="8"/>
  <c r="C57" i="8"/>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E63" i="3"/>
  <c r="C69" i="3" s="1"/>
  <c r="D15" i="3" s="1"/>
  <c r="D70" i="6"/>
  <c r="F13" i="6" s="1"/>
  <c r="L69" i="7"/>
  <c r="C69" i="7"/>
  <c r="D12" i="7"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O14" i="6"/>
  <c r="B69" i="6"/>
  <c r="M69" i="6" s="1"/>
  <c r="B69" i="3"/>
  <c r="M69" i="3" s="1"/>
  <c r="D69" i="3"/>
  <c r="E69" i="3" s="1"/>
  <c r="E63" i="8"/>
  <c r="D69" i="8" s="1"/>
  <c r="F15" i="8" s="1"/>
  <c r="F33" i="3"/>
  <c r="F34" i="3"/>
  <c r="Q13" i="8"/>
  <c r="D13" i="3"/>
  <c r="O13" i="6"/>
  <c r="F14" i="6"/>
  <c r="E70" i="6"/>
  <c r="E70" i="3"/>
  <c r="O13" i="3"/>
  <c r="L69" i="3"/>
  <c r="Q12" i="3" s="1"/>
  <c r="F14" i="3"/>
  <c r="Q12" i="7"/>
  <c r="E69" i="7"/>
  <c r="D15" i="7"/>
  <c r="Q15" i="7"/>
  <c r="D13" i="6"/>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M13" i="4" s="1"/>
  <c r="G13" i="4" s="1"/>
  <c r="G14" i="16" s="1"/>
  <c r="F12" i="8"/>
  <c r="F32" i="6"/>
  <c r="F15" i="3"/>
  <c r="R14" i="3"/>
  <c r="S14" i="3" s="1"/>
  <c r="U14" i="3" s="1"/>
  <c r="J14" i="3" s="1"/>
  <c r="M14" i="3" s="1"/>
  <c r="G14" i="3" s="1"/>
  <c r="I15" i="16" s="1"/>
  <c r="K12" i="7"/>
  <c r="F12" i="3"/>
  <c r="F35" i="3"/>
  <c r="R14" i="6"/>
  <c r="S14" i="6" s="1"/>
  <c r="U14" i="6" s="1"/>
  <c r="J14" i="6" s="1"/>
  <c r="M14" i="6" s="1"/>
  <c r="G14" i="6" s="1"/>
  <c r="M15" i="13" s="1"/>
  <c r="F35" i="6"/>
  <c r="O15" i="3"/>
  <c r="F32" i="3"/>
  <c r="B69" i="8"/>
  <c r="M69" i="8" s="1"/>
  <c r="C69" i="8"/>
  <c r="E69" i="8" s="1"/>
  <c r="L69" i="8"/>
  <c r="O15" i="8" s="1"/>
  <c r="R13" i="8"/>
  <c r="S13" i="8" s="1"/>
  <c r="T13" i="6"/>
  <c r="R12" i="7"/>
  <c r="S12" i="7" s="1"/>
  <c r="T12" i="7"/>
  <c r="U14" i="4"/>
  <c r="J14" i="4" s="1"/>
  <c r="M14" i="4" s="1"/>
  <c r="G14" i="4" s="1"/>
  <c r="G15" i="16" s="1"/>
  <c r="T14" i="6"/>
  <c r="R13" i="6"/>
  <c r="S13" i="6" s="1"/>
  <c r="U13" i="6" s="1"/>
  <c r="J13" i="6" s="1"/>
  <c r="M13" i="6" s="1"/>
  <c r="G13" i="6" s="1"/>
  <c r="G13" i="9" s="1"/>
  <c r="R15" i="7"/>
  <c r="S15" i="7" s="1"/>
  <c r="U15" i="7" s="1"/>
  <c r="J15" i="7" s="1"/>
  <c r="M15" i="7" s="1"/>
  <c r="K13" i="6"/>
  <c r="Q15" i="3"/>
  <c r="O12" i="3"/>
  <c r="R12" i="3" s="1"/>
  <c r="S12" i="3" s="1"/>
  <c r="U12" i="3" s="1"/>
  <c r="J12" i="3" s="1"/>
  <c r="K13" i="3"/>
  <c r="T15" i="7"/>
  <c r="O12" i="6"/>
  <c r="U10" i="4"/>
  <c r="J10" i="4" s="1"/>
  <c r="M10" i="4" s="1"/>
  <c r="G10" i="4" s="1"/>
  <c r="G11" i="16" s="1"/>
  <c r="K14" i="6"/>
  <c r="D15" i="6"/>
  <c r="R14" i="8"/>
  <c r="S14" i="8"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D12" i="8" l="1"/>
  <c r="I15" i="13"/>
  <c r="N30" i="3"/>
  <c r="E14" i="9"/>
  <c r="L13" i="4"/>
  <c r="O14" i="16" s="1"/>
  <c r="L14" i="3"/>
  <c r="P15" i="16" s="1"/>
  <c r="F35" i="8"/>
  <c r="F32" i="8"/>
  <c r="D15" i="8"/>
  <c r="L14" i="4"/>
  <c r="O15" i="16" s="1"/>
  <c r="T15" i="3"/>
  <c r="N30" i="4"/>
  <c r="U13" i="8"/>
  <c r="J13" i="8" s="1"/>
  <c r="M13" i="8" s="1"/>
  <c r="G13" i="8" s="1"/>
  <c r="K14" i="16" s="1"/>
  <c r="Q15" i="8"/>
  <c r="R15" i="8" s="1"/>
  <c r="S15" i="8" s="1"/>
  <c r="Q12" i="8"/>
  <c r="O12" i="8"/>
  <c r="L13" i="3"/>
  <c r="P14" i="16" s="1"/>
  <c r="L10" i="4"/>
  <c r="O11" i="16" s="1"/>
  <c r="D10" i="9"/>
  <c r="G11" i="13"/>
  <c r="L15" i="7"/>
  <c r="S16" i="16" s="1"/>
  <c r="U12" i="7"/>
  <c r="J12" i="7" s="1"/>
  <c r="U13" i="7"/>
  <c r="J13" i="7" s="1"/>
  <c r="M13" i="7" s="1"/>
  <c r="K15" i="3"/>
  <c r="M14" i="13"/>
  <c r="T12" i="6"/>
  <c r="L13" i="6"/>
  <c r="R14" i="16" s="1"/>
  <c r="R12" i="6"/>
  <c r="S12" i="6" s="1"/>
  <c r="U12" i="6" s="1"/>
  <c r="J12" i="6" s="1"/>
  <c r="M12" i="6" s="1"/>
  <c r="G12" i="6" s="1"/>
  <c r="T12" i="3"/>
  <c r="R15" i="3"/>
  <c r="S15" i="3" s="1"/>
  <c r="U15" i="3" s="1"/>
  <c r="J15" i="3" s="1"/>
  <c r="M15" i="3" s="1"/>
  <c r="G15" i="3" s="1"/>
  <c r="I16" i="16" s="1"/>
  <c r="K12" i="3"/>
  <c r="L12" i="3" s="1"/>
  <c r="P13" i="16" s="1"/>
  <c r="K12" i="6"/>
  <c r="K15" i="6"/>
  <c r="U14" i="8"/>
  <c r="J14" i="8" s="1"/>
  <c r="N30" i="8" s="1"/>
  <c r="R15" i="6"/>
  <c r="S15" i="6" s="1"/>
  <c r="U15" i="6" s="1"/>
  <c r="J15" i="6" s="1"/>
  <c r="T15" i="6"/>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U14" i="2" l="1"/>
  <c r="J14" i="2" s="1"/>
  <c r="M14" i="2" s="1"/>
  <c r="G14" i="2" s="1"/>
  <c r="E15" i="16" s="1"/>
  <c r="U13" i="2"/>
  <c r="J13" i="2" s="1"/>
  <c r="M13" i="2" s="1"/>
  <c r="G13" i="2" s="1"/>
  <c r="V14" i="13"/>
  <c r="U10" i="7"/>
  <c r="J10" i="7" s="1"/>
  <c r="L10" i="7" s="1"/>
  <c r="S11" i="16" s="1"/>
  <c r="M13" i="9"/>
  <c r="N13" i="9"/>
  <c r="N14" i="9"/>
  <c r="U14" i="13"/>
  <c r="V15" i="13"/>
  <c r="U15" i="13"/>
  <c r="M14" i="9"/>
  <c r="L13" i="8"/>
  <c r="T14" i="16" s="1"/>
  <c r="U11" i="13"/>
  <c r="M10" i="9"/>
  <c r="P13" i="9"/>
  <c r="K15" i="8"/>
  <c r="I13" i="9"/>
  <c r="T15" i="8"/>
  <c r="U15" i="8" s="1"/>
  <c r="J15" i="8" s="1"/>
  <c r="M15" i="8" s="1"/>
  <c r="G15" i="8" s="1"/>
  <c r="K16" i="16" s="1"/>
  <c r="R12" i="8"/>
  <c r="S12" i="8" s="1"/>
  <c r="T12" i="8"/>
  <c r="K12" i="8"/>
  <c r="Y16" i="13"/>
  <c r="Q15" i="9"/>
  <c r="Q14" i="13"/>
  <c r="M12" i="7"/>
  <c r="L12" i="7"/>
  <c r="L13" i="7"/>
  <c r="S14" i="16" s="1"/>
  <c r="X14" i="13"/>
  <c r="U11" i="7"/>
  <c r="J11" i="7" s="1"/>
  <c r="L11" i="7" s="1"/>
  <c r="S12" i="16" s="1"/>
  <c r="L12" i="6"/>
  <c r="R13" i="16" s="1"/>
  <c r="L15" i="6"/>
  <c r="R16" i="16" s="1"/>
  <c r="I16" i="13"/>
  <c r="L15" i="3"/>
  <c r="P16" i="16" s="1"/>
  <c r="E15" i="9"/>
  <c r="M14" i="8"/>
  <c r="G14" i="8" s="1"/>
  <c r="K15" i="16" s="1"/>
  <c r="L14" i="8"/>
  <c r="T15" i="16" s="1"/>
  <c r="M15" i="6"/>
  <c r="G15" i="6" s="1"/>
  <c r="G15" i="9" s="1"/>
  <c r="L8" i="6"/>
  <c r="R9" i="16" s="1"/>
  <c r="L15" i="5"/>
  <c r="Q16" i="16" s="1"/>
  <c r="T9" i="13"/>
  <c r="L8" i="9"/>
  <c r="X15" i="13"/>
  <c r="P14" i="9"/>
  <c r="G8" i="9"/>
  <c r="Q14" i="9"/>
  <c r="Y15" i="13"/>
  <c r="E9" i="13"/>
  <c r="L10" i="2"/>
  <c r="N11" i="16" s="1"/>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E14" i="16" l="1"/>
  <c r="C13" i="9"/>
  <c r="E14" i="13"/>
  <c r="M10" i="7"/>
  <c r="R13" i="9"/>
  <c r="L15" i="8"/>
  <c r="T16" i="16" s="1"/>
  <c r="U12" i="8"/>
  <c r="J12" i="8" s="1"/>
  <c r="M12" i="8" s="1"/>
  <c r="G12" i="8" s="1"/>
  <c r="K13" i="16" s="1"/>
  <c r="Z14" i="13"/>
  <c r="Q15" i="13"/>
  <c r="M11" i="7"/>
  <c r="Y14" i="13"/>
  <c r="Q13" i="9"/>
  <c r="R14" i="9"/>
  <c r="S13" i="16"/>
  <c r="Q12" i="9"/>
  <c r="Y13" i="13"/>
  <c r="M16" i="13"/>
  <c r="P15" i="9"/>
  <c r="P12" i="9"/>
  <c r="I14" i="9"/>
  <c r="X16" i="13"/>
  <c r="X13" i="13"/>
  <c r="N15" i="9"/>
  <c r="V16"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Z16" i="13" l="1"/>
  <c r="R15" i="9"/>
  <c r="L12" i="8"/>
  <c r="Z13" i="13" s="1"/>
  <c r="I12" i="9"/>
  <c r="Q13" i="13"/>
  <c r="R9" i="9"/>
  <c r="Z10" i="13"/>
  <c r="R10" i="9"/>
  <c r="Z11" i="13"/>
  <c r="I11" i="9"/>
  <c r="Q12" i="13"/>
  <c r="I10" i="9"/>
  <c r="Q11" i="13"/>
  <c r="R11" i="9"/>
  <c r="Z12" i="13"/>
  <c r="T13" i="16"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<sst xmlns="http://schemas.openxmlformats.org/spreadsheetml/2006/main" count="654" uniqueCount="141">
  <si>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</si>
  <si>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</si>
  <si>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</si>
  <si>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</si>
  <si>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</si>
  <si>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</si>
  <si>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</si>
  <si>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</si>
  <si>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</si>
  <si>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</si>
  <si>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</si>
  <si>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</si>
  <si>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</si>
  <si>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</si>
  <si>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</si>
  <si>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</si>
  <si>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</si>
  <si>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</si>
  <si>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</si>
  <si>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</si>
  <si>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</si>
  <si>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</si>
  <si>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</si>
  <si>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</si>
  <si>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</si>
  <si>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</si>
  <si>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</si>
  <si>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</si>
  <si>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</si>
  <si>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</si>
  <si>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</si>
  <si>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</si>
  <si>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</si>
  <si>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</si>
  <si>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</si>
  <si>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</si>
  <si>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</si>
  <si>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</si>
  <si>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</si>
  <si>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</si>
  <si>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</si>
  <si>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</si>
  <si>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</si>
  <si>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</si>
  <si>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</si>
  <si>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</si>
  <si>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</si>
  <si>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</si>
  <si>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</si>
  <si>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</si>
  <si>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</si>
  <si>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</si>
  <si>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</si>
  <si>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</si>
  <si>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</si>
  <si>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</si>
  <si>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</si>
  <si>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</si>
  <si>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</si>
  <si>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</si>
  <si>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</si>
  <si>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</si>
  <si>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</si>
  <si>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</si>
  <si>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</si>
  <si>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</si>
  <si>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</si>
  <si>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</si>
  <si>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</si>
  <si>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</si>
  <si>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</si>
  <si>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</si>
  <si>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</si>
  <si>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</si>
  <si>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</si>
  <si>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</si>
  <si>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</si>
  <si>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</si>
  <si>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</si>
  <si>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</si>
  <si>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</si>
  <si>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</si>
  <si>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</si>
  <si>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</si>
  <si>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</si>
  <si>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</si>
  <si>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</si>
  <si>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</si>
  <si>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</si>
  <si>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</si>
  <si>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</si>
  <si>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</si>
  <si>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</si>
  <si>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</si>
  <si>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</si>
  <si>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</si>
  <si>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</si>
  <si>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</si>
  <si>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</si>
  <si>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</si>
  <si>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</si>
  <si>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</si>
  <si>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</si>
  <si>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</si>
  <si>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</si>
  <si>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</si>
  <si>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</si>
  <si>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</si>
  <si>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</si>
  <si>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</si>
  <si>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</si>
  <si>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</si>
  <si>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</si>
  <si>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</si>
  <si>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</si>
  <si>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</si>
  <si>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</si>
  <si>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</si>
  <si>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</si>
  <si>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</si>
  <si>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</si>
  <si>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</si>
  <si>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</si>
  <si>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</si>
  <si>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</si>
  <si>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</si>
  <si>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</si>
  <si>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</si>
  <si>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</si>
  <si>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</si>
  <si>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</si>
  <si>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</si>
  <si>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</si>
  <si>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</si>
  <si>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</si>
  <si>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</si>
  <si>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Gratiot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</si>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</sst>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Gratiot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N=44</c:v>
                </c:pt>
                <c:pt idx="4">
                  <c:v>Detentions, total N=6</c:v>
                </c:pt>
                <c:pt idx="5">
                  <c:v>Referrals, total N=73</c:v>
                </c:pt>
                <c:pt idx="6">
                  <c:v>Arrests, total N=21</c:v>
                </c:pt>
                <c:pt idx="7">
                  <c:v>Population, total N=3832</c:v>
                </c:pt>
              </c:strCache>
            </c:strRef>
          </c:cat>
          <c:val>
            <c:numRef>
              <c:f>'Stacked 100%'!$B$7:$B$14</c:f>
              <c:numCache>
                <c:formatCode>0%</c:formatCode>
                <c:ptCount val="8"/>
                <c:pt idx="0">
                  <c:v>0</c:v>
                </c:pt>
                <c:pt idx="1">
                  <c:v>0</c:v>
                </c:pt>
                <c:pt idx="2">
                  <c:v>7.1428571428571425E-2</c:v>
                </c:pt>
                <c:pt idx="3">
                  <c:v>6.8181818181818177E-2</c:v>
                </c:pt>
                <c:pt idx="4">
                  <c:v>0.16666666666666666</c:v>
                </c:pt>
                <c:pt idx="5">
                  <c:v>4.1095890410958902E-2</c:v>
                </c:pt>
                <c:pt idx="6">
                  <c:v>0</c:v>
                </c:pt>
                <c:pt idx="7">
                  <c:v>1.9832985386221295E-2</c:v>
                </c:pt>
              </c:numCache>
            </c:numRef>
          </c:val>
          <c:extLst>
            <c:ext xmlns:c16="http://schemas.microsoft.com/office/drawing/2014/chart" uri="{C3380CC4-5D6E-409C-BE32-E72D297353CC}">
              <c16:uniqueId val="{00000000-4A53-488F-B775-C77A398BE5A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N=44</c:v>
                </c:pt>
                <c:pt idx="4">
                  <c:v>Detentions, total N=6</c:v>
                </c:pt>
                <c:pt idx="5">
                  <c:v>Referrals, total N=73</c:v>
                </c:pt>
                <c:pt idx="6">
                  <c:v>Arrests, total N=21</c:v>
                </c:pt>
                <c:pt idx="7">
                  <c:v>Population, total N=3832</c:v>
                </c:pt>
              </c:strCache>
            </c:strRef>
          </c:cat>
          <c:val>
            <c:numRef>
              <c:f>'Stacked 100%'!$C$7:$C$14</c:f>
              <c:numCache>
                <c:formatCode>0%</c:formatCode>
                <c:ptCount val="8"/>
                <c:pt idx="0">
                  <c:v>0</c:v>
                </c:pt>
                <c:pt idx="1">
                  <c:v>0</c:v>
                </c:pt>
                <c:pt idx="2">
                  <c:v>7.1428571428571425E-2</c:v>
                </c:pt>
                <c:pt idx="3">
                  <c:v>4.5454545454545456E-2</c:v>
                </c:pt>
                <c:pt idx="4">
                  <c:v>0</c:v>
                </c:pt>
                <c:pt idx="5">
                  <c:v>4.1095890410958902E-2</c:v>
                </c:pt>
                <c:pt idx="6">
                  <c:v>9.5238095238095233E-2</c:v>
                </c:pt>
                <c:pt idx="7">
                  <c:v>0.12239039665970772</c:v>
                </c:pt>
              </c:numCache>
            </c:numRef>
          </c:val>
          <c:extLst>
            <c:ext xmlns:c16="http://schemas.microsoft.com/office/drawing/2014/chart" uri="{C3380CC4-5D6E-409C-BE32-E72D297353CC}">
              <c16:uniqueId val="{00000001-4A53-488F-B775-C77A398BE5A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N=28</c:v>
                </c:pt>
                <c:pt idx="3">
                  <c:v>Petitions, total N=44</c:v>
                </c:pt>
                <c:pt idx="4">
                  <c:v>Detentions, total N=6</c:v>
                </c:pt>
                <c:pt idx="5">
                  <c:v>Referrals, total N=73</c:v>
                </c:pt>
                <c:pt idx="6">
                  <c:v>Arrests, total N=21</c:v>
                </c:pt>
                <c:pt idx="7">
                  <c:v>Population, total N=3832</c:v>
                </c:pt>
              </c:strCache>
            </c:strRef>
          </c:cat>
          <c:val>
            <c:numRef>
              <c:f>'Stacked 100%'!$H$7:$H$14</c:f>
              <c:numCache>
                <c:formatCode>0%</c:formatCode>
                <c:ptCount val="8"/>
                <c:pt idx="0">
                  <c:v>0</c:v>
                </c:pt>
                <c:pt idx="1">
                  <c:v>0</c:v>
                </c:pt>
                <c:pt idx="2">
                  <c:v>0</c:v>
                </c:pt>
                <c:pt idx="3">
                  <c:v>0</c:v>
                </c:pt>
                <c:pt idx="4">
                  <c:v>0</c:v>
                </c:pt>
                <c:pt idx="5">
                  <c:v>0</c:v>
                </c:pt>
                <c:pt idx="6">
                  <c:v>0</c:v>
                </c:pt>
                <c:pt idx="7">
                  <c:v>4.6308201236919294E-6</c:v>
                </c:pt>
              </c:numCache>
            </c:numRef>
          </c:val>
          <c:extLst>
            <c:ext xmlns:c16="http://schemas.microsoft.com/office/drawing/2014/chart" uri="{C3380CC4-5D6E-409C-BE32-E72D297353CC}">
              <c16:uniqueId val="{00000002-4A53-488F-B775-C77A398BE5A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N=44</c:v>
                </c:pt>
                <c:pt idx="4">
                  <c:v>Detentions, total N=6</c:v>
                </c:pt>
                <c:pt idx="5">
                  <c:v>Referrals, total N=73</c:v>
                </c:pt>
                <c:pt idx="6">
                  <c:v>Arrests, total N=21</c:v>
                </c:pt>
                <c:pt idx="7">
                  <c:v>Population, total N=3832</c:v>
                </c:pt>
              </c:strCache>
            </c:strRef>
          </c:cat>
          <c:val>
            <c:numRef>
              <c:f>'Stacked 100%'!$I$7:$I$14</c:f>
              <c:numCache>
                <c:formatCode>0%</c:formatCode>
                <c:ptCount val="8"/>
                <c:pt idx="0">
                  <c:v>0</c:v>
                </c:pt>
                <c:pt idx="1">
                  <c:v>0.2</c:v>
                </c:pt>
                <c:pt idx="2">
                  <c:v>0.25</c:v>
                </c:pt>
                <c:pt idx="3">
                  <c:v>0.31818181818181818</c:v>
                </c:pt>
                <c:pt idx="4">
                  <c:v>0.5</c:v>
                </c:pt>
                <c:pt idx="5">
                  <c:v>0.32876712328767121</c:v>
                </c:pt>
                <c:pt idx="6">
                  <c:v>0.90476190476190477</c:v>
                </c:pt>
                <c:pt idx="7">
                  <c:v>0.84003131524008345</c:v>
                </c:pt>
              </c:numCache>
            </c:numRef>
          </c:val>
          <c:extLst>
            <c:ext xmlns:c16="http://schemas.microsoft.com/office/drawing/2014/chart" uri="{C3380CC4-5D6E-409C-BE32-E72D297353CC}">
              <c16:uniqueId val="{00000003-4A53-488F-B775-C77A398BE5A0}"/>
            </c:ext>
          </c:extLst>
        </c:ser>
        <c:dLbls>
          <c:showLegendKey val="0"/>
          <c:showVal val="0"/>
          <c:showCatName val="0"/>
          <c:showSerName val="0"/>
          <c:showPercent val="0"/>
          <c:showBubbleSize val="0"/>
        </c:dLbls>
        <c:gapWidth val="150"/>
        <c:overlap val="100"/>
        <c:axId val="70322816"/>
        <c:axId val="703368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N=28</c:v>
                </c:pt>
                <c:pt idx="3">
                  <c:v>Petitions, total N=44</c:v>
                </c:pt>
                <c:pt idx="4">
                  <c:v>Detentions, total N=6</c:v>
                </c:pt>
                <c:pt idx="5">
                  <c:v>Referrals, total N=73</c:v>
                </c:pt>
                <c:pt idx="6">
                  <c:v>Arrests, total N=21</c:v>
                </c:pt>
                <c:pt idx="7">
                  <c:v>Population, total N=3832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A53-488F-B775-C77A398BE5A0}"/>
            </c:ext>
          </c:extLst>
        </c:ser>
        <c:dLbls>
          <c:showLegendKey val="0"/>
          <c:showVal val="0"/>
          <c:showCatName val="0"/>
          <c:showSerName val="0"/>
          <c:showPercent val="0"/>
          <c:showBubbleSize val="0"/>
        </c:dLbls>
        <c:gapWidth val="150"/>
        <c:overlap val="100"/>
        <c:axId val="70339968"/>
        <c:axId val="70338432"/>
      </c:barChart>
      <c:catAx>
        <c:axId val="7032281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0336896"/>
        <c:crosses val="autoZero"/>
        <c:auto val="1"/>
        <c:lblAlgn val="ctr"/>
        <c:lblOffset val="100"/>
        <c:noMultiLvlLbl val="0"/>
      </c:catAx>
      <c:valAx>
        <c:axId val="703368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0322816"/>
        <c:crosses val="autoZero"/>
        <c:crossBetween val="between"/>
      </c:valAx>
      <c:valAx>
        <c:axId val="70338432"/>
        <c:scaling>
          <c:orientation val="minMax"/>
        </c:scaling>
        <c:delete val="1"/>
        <c:axPos val="t"/>
        <c:numFmt formatCode="0%" sourceLinked="1"/>
        <c:majorTickMark val="out"/>
        <c:minorTickMark val="none"/>
        <c:tickLblPos val="nextTo"/>
        <c:crossAx val="70339968"/>
        <c:crosses val="max"/>
        <c:crossBetween val="between"/>
      </c:valAx>
      <c:catAx>
        <c:axId val="70339968"/>
        <c:scaling>
          <c:orientation val="minMax"/>
        </c:scaling>
        <c:delete val="1"/>
        <c:axPos val="l"/>
        <c:numFmt formatCode="General" sourceLinked="1"/>
        <c:majorTickMark val="out"/>
        <c:minorTickMark val="none"/>
        <c:tickLblPos val="nextTo"/>
        <c:crossAx val="703384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4" sqref="F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3832</v>
      </c>
      <c r="C6" s="11">
        <v>3219</v>
      </c>
      <c r="D6" s="11">
        <v>76</v>
      </c>
      <c r="E6" s="11">
        <v>469</v>
      </c>
      <c r="F6" s="11">
        <v>40</v>
      </c>
      <c r="G6" s="11"/>
      <c r="H6" s="11">
        <v>28</v>
      </c>
      <c r="I6" s="11"/>
      <c r="J6" s="91">
        <f>SUM(D6:I6)</f>
        <v>613</v>
      </c>
      <c r="K6" s="92"/>
    </row>
    <row r="7" spans="1:11" ht="15.75" customHeight="1" thickBot="1">
      <c r="A7" s="10" t="s">
        <v>8</v>
      </c>
      <c r="B7" s="11">
        <f t="shared" ref="B7:B15" si="0">SUM(C7:I7)+K7</f>
        <v>21</v>
      </c>
      <c r="C7" s="11">
        <v>19</v>
      </c>
      <c r="D7" s="11">
        <v>0</v>
      </c>
      <c r="E7" s="11">
        <v>2</v>
      </c>
      <c r="F7" s="11">
        <v>0</v>
      </c>
      <c r="G7" s="11">
        <v>0</v>
      </c>
      <c r="H7" s="11">
        <v>0</v>
      </c>
      <c r="I7" s="11"/>
      <c r="J7" s="91">
        <f t="shared" ref="J7:J15" si="1">SUM(D7:I7)</f>
        <v>2</v>
      </c>
      <c r="K7" s="92">
        <v>0</v>
      </c>
    </row>
    <row r="8" spans="1:11" ht="15.75" customHeight="1" thickBot="1">
      <c r="A8" s="10" t="s">
        <v>9</v>
      </c>
      <c r="B8" s="11">
        <f t="shared" si="0"/>
        <v>73</v>
      </c>
      <c r="C8" s="11">
        <v>24</v>
      </c>
      <c r="D8" s="11">
        <v>3</v>
      </c>
      <c r="E8" s="11">
        <v>3</v>
      </c>
      <c r="F8" s="11"/>
      <c r="G8" s="11"/>
      <c r="H8" s="11"/>
      <c r="I8" s="11"/>
      <c r="J8" s="91">
        <f t="shared" si="1"/>
        <v>6</v>
      </c>
      <c r="K8" s="92">
        <v>43</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6</v>
      </c>
      <c r="C10" s="11">
        <v>3</v>
      </c>
      <c r="D10" s="11">
        <v>1</v>
      </c>
      <c r="E10" s="11"/>
      <c r="F10" s="11"/>
      <c r="G10" s="11"/>
      <c r="H10" s="11"/>
      <c r="I10" s="11"/>
      <c r="J10" s="91">
        <f t="shared" si="1"/>
        <v>1</v>
      </c>
      <c r="K10" s="92">
        <v>2</v>
      </c>
    </row>
    <row r="11" spans="1:11" ht="15.75" customHeight="1" thickBot="1">
      <c r="A11" s="10" t="s">
        <v>12</v>
      </c>
      <c r="B11" s="11">
        <f t="shared" si="0"/>
        <v>44</v>
      </c>
      <c r="C11" s="11">
        <v>14</v>
      </c>
      <c r="D11" s="11">
        <v>3</v>
      </c>
      <c r="E11" s="11">
        <v>2</v>
      </c>
      <c r="F11" s="11"/>
      <c r="G11" s="11"/>
      <c r="H11" s="11"/>
      <c r="I11" s="11"/>
      <c r="J11" s="91">
        <f t="shared" si="1"/>
        <v>5</v>
      </c>
      <c r="K11" s="92">
        <v>25</v>
      </c>
    </row>
    <row r="12" spans="1:11" ht="15.75" customHeight="1" thickBot="1">
      <c r="A12" s="10" t="s">
        <v>13</v>
      </c>
      <c r="B12" s="11">
        <f t="shared" si="0"/>
        <v>28</v>
      </c>
      <c r="C12" s="11">
        <v>7</v>
      </c>
      <c r="D12" s="11">
        <v>2</v>
      </c>
      <c r="E12" s="11">
        <v>2</v>
      </c>
      <c r="F12" s="11"/>
      <c r="G12" s="11"/>
      <c r="H12" s="11"/>
      <c r="I12" s="11"/>
      <c r="J12" s="91">
        <f t="shared" si="1"/>
        <v>4</v>
      </c>
      <c r="K12" s="92">
        <v>17</v>
      </c>
    </row>
    <row r="13" spans="1:11" ht="15.75" customHeight="1" thickBot="1">
      <c r="A13" s="10" t="s">
        <v>133</v>
      </c>
      <c r="B13" s="11">
        <f t="shared" si="0"/>
        <v>38</v>
      </c>
      <c r="C13" s="11">
        <v>14</v>
      </c>
      <c r="D13" s="11">
        <v>1</v>
      </c>
      <c r="E13" s="11">
        <v>3</v>
      </c>
      <c r="F13" s="11"/>
      <c r="G13" s="11"/>
      <c r="H13" s="11"/>
      <c r="I13" s="11"/>
      <c r="J13" s="91">
        <f t="shared" si="1"/>
        <v>4</v>
      </c>
      <c r="K13" s="92">
        <v>20</v>
      </c>
    </row>
    <row r="14" spans="1:11" ht="26.25" customHeight="1" thickBot="1">
      <c r="A14" s="10" t="s">
        <v>123</v>
      </c>
      <c r="B14" s="11">
        <f t="shared" si="0"/>
        <v>5</v>
      </c>
      <c r="C14" s="11">
        <v>1</v>
      </c>
      <c r="D14" s="11"/>
      <c r="E14" s="11"/>
      <c r="F14" s="11"/>
      <c r="G14" s="11"/>
      <c r="H14" s="11"/>
      <c r="I14" s="11"/>
      <c r="J14" s="91">
        <f t="shared" si="1"/>
        <v>0</v>
      </c>
      <c r="K14" s="92">
        <v>4</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3200</v>
      </c>
      <c r="R7" s="42">
        <f t="shared" ref="R7:R15" si="5">SUM(N7:Q7)</f>
        <v>3219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v>
      </c>
      <c r="D8" s="34">
        <f>IF((AND(C67&gt;0,C8&gt;0)),(C8/C67),0)</f>
        <v>126.31578947368421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v>
      </c>
      <c r="Q8" s="42">
        <f>(C$67*L67)-C8</f>
        <v>-5</v>
      </c>
      <c r="R8" s="42">
        <f t="shared" si="5"/>
        <v>19.05</v>
      </c>
      <c r="S8" s="30">
        <f t="shared" si="6"/>
        <v>27.432000000000009</v>
      </c>
      <c r="T8" s="30">
        <f t="shared" si="7"/>
        <v>-112.86000000000001</v>
      </c>
      <c r="U8" s="31">
        <f t="shared" si="8"/>
        <v>-0.24306220095693784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21</v>
      </c>
      <c r="R10" s="42">
        <f t="shared" si="5"/>
        <v>24</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58.333333333333336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10</v>
      </c>
      <c r="R11" s="42">
        <f t="shared" si="5"/>
        <v>24</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49.999999999999993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7.0000000000000018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199.99999999999997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-6.9999999999999991</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6.0000000000000009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0</v>
      </c>
      <c r="E42" s="56">
        <f>MAX(C42:D42)</f>
        <v>3.2189999999999999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0</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0</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0</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0</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Entry'!J6</f>
        <v>613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Entry'!J7</f>
        <v>2</v>
      </c>
      <c r="F7" s="34">
        <f>IF((AND($E$7&gt;0,$D$66&gt;0)),($E$7/$D$66),0)</f>
        <v>3.2626427406199023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611</v>
      </c>
      <c r="P7" s="42">
        <f t="shared" ref="P7:P15" si="4">C7</f>
        <v>19</v>
      </c>
      <c r="Q7" s="42">
        <f>C6-C7</f>
        <v>3200</v>
      </c>
      <c r="R7" s="42">
        <f t="shared" ref="R7:R15" si="5">SUM(N7:Q7)</f>
        <v>3832</v>
      </c>
      <c r="S7" s="30">
        <f t="shared" ref="S7:S15" si="6">R7*((((N7*Q7)-(O7*P7))^2))</f>
        <v>103976265592</v>
      </c>
      <c r="T7" s="30">
        <f t="shared" ref="T7:T15" si="7">(N7+O7)*(P7+Q7)*(N7+P7)*(O7+Q7)</f>
        <v>157920930657</v>
      </c>
      <c r="U7" s="31">
        <f t="shared" ref="U7:U15" si="8">IF((S7&gt;0),S7/T7,"- -")</f>
        <v>0.65840712285209135</v>
      </c>
    </row>
    <row r="8" spans="2:21" ht="18" customHeight="1">
      <c r="B8" s="32" t="str">
        <f>'Data Entry'!A8</f>
        <v>3. Refer to Juvenile Court</v>
      </c>
      <c r="C8" s="33">
        <f>'Data Entry'!C8</f>
        <v>24</v>
      </c>
      <c r="D8" s="34">
        <f>IF((AND(C67&gt;0,C8&gt;0)),(C8/C67),0)</f>
        <v>126.31578947368421</v>
      </c>
      <c r="E8" s="33">
        <f>'Data Entry'!J8</f>
        <v>6</v>
      </c>
      <c r="F8" s="34">
        <f>IF((AND($E$8&gt;0,$D$67&gt;0)),($E8/$D67),0)</f>
        <v>300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-3.95</v>
      </c>
      <c r="P8" s="42">
        <f t="shared" si="4"/>
        <v>24</v>
      </c>
      <c r="Q8" s="42">
        <f>(C$67*L67)-C8</f>
        <v>-5</v>
      </c>
      <c r="R8" s="42">
        <f t="shared" si="5"/>
        <v>21.05</v>
      </c>
      <c r="S8" s="30">
        <f t="shared" si="6"/>
        <v>88389.792000000045</v>
      </c>
      <c r="T8" s="30">
        <f t="shared" si="7"/>
        <v>-10458.074999999997</v>
      </c>
      <c r="U8" s="31">
        <f t="shared" si="8"/>
        <v>-8.4518223478030201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24</v>
      </c>
      <c r="R9" s="42">
        <f t="shared" si="5"/>
        <v>30</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Entry'!J10</f>
        <v>1</v>
      </c>
      <c r="F10" s="34">
        <f>IF(((AND($E$10&gt;0,$D$68&gt;0))),($E$10/($D$68)),0)</f>
        <v>16.666666666666668</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5</v>
      </c>
      <c r="P10" s="42">
        <f t="shared" si="4"/>
        <v>3</v>
      </c>
      <c r="Q10" s="42">
        <f>(C$68*L68)-C10</f>
        <v>21</v>
      </c>
      <c r="R10" s="42">
        <f t="shared" si="5"/>
        <v>30</v>
      </c>
      <c r="S10" s="30">
        <f t="shared" si="6"/>
        <v>1080</v>
      </c>
      <c r="T10" s="30">
        <f t="shared" si="7"/>
        <v>14976</v>
      </c>
      <c r="U10" s="31">
        <f t="shared" si="8"/>
        <v>7.2115384615384609E-2</v>
      </c>
    </row>
    <row r="11" spans="2:21" ht="18" customHeight="1">
      <c r="B11" s="32" t="str">
        <f>'Data Entry'!A11</f>
        <v>6. Cases Petitioned (Charge Filed)</v>
      </c>
      <c r="C11" s="33">
        <f>'Data Entry'!C11</f>
        <v>14</v>
      </c>
      <c r="D11" s="34">
        <f>IF(((AND(C68&gt;0,C11&gt;0))),(C11/(C68)),0)</f>
        <v>58.333333333333336</v>
      </c>
      <c r="E11" s="33">
        <f>'Data Entry'!J11</f>
        <v>5</v>
      </c>
      <c r="F11" s="34">
        <f>IF(((AND($E$11&gt;0,$D$68&gt;0))),($E$11/($D$68)),0)</f>
        <v>83.333333333333343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1</v>
      </c>
      <c r="P11" s="42">
        <f t="shared" si="4"/>
        <v>14</v>
      </c>
      <c r="Q11" s="42">
        <f>(C$68*L68)-C11</f>
        <v>10</v>
      </c>
      <c r="R11" s="42">
        <f t="shared" si="5"/>
        <v>30</v>
      </c>
      <c r="S11" s="30">
        <f t="shared" si="6"/>
        <v>38880</v>
      </c>
      <c r="T11" s="30">
        <f t="shared" si="7"/>
        <v>30096</v>
      </c>
      <c r="U11" s="31">
        <f t="shared" si="8"/>
        <v>1.2918660287081341</v>
      </c>
    </row>
    <row r="12" spans="2:21" ht="18" customHeight="1">
      <c r="B12" s="32" t="str">
        <f>'Data Entry'!A12</f>
        <v>7. Cases Resulting in Delinquent Findings</v>
      </c>
      <c r="C12" s="33">
        <f>'Data Entry'!C12</f>
        <v>7</v>
      </c>
      <c r="D12" s="34">
        <f>IF(((AND(C69&gt;0,C12&gt;0))),(C12/(C69)),0)</f>
        <v>49.999999999999993</v>
      </c>
      <c r="E12" s="33">
        <f>'Data Entry'!J12</f>
        <v>4</v>
      </c>
      <c r="F12" s="34">
        <f>IF(((AND($D$69&gt;0,$E$12&gt;0))),(E12/(D69)),0)</f>
        <v>80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1</v>
      </c>
      <c r="P12" s="42">
        <f t="shared" si="4"/>
        <v>7</v>
      </c>
      <c r="Q12" s="42">
        <f>(C69*L69)-C12</f>
        <v>7.0000000000000018</v>
      </c>
      <c r="R12" s="42">
        <f t="shared" si="5"/>
        <v>19</v>
      </c>
      <c r="S12" s="30">
        <f t="shared" si="6"/>
        <v>8379.0000000000055</v>
      </c>
      <c r="T12" s="30">
        <f t="shared" si="7"/>
        <v>6160.0000000000027</v>
      </c>
      <c r="U12" s="31">
        <f t="shared" si="8"/>
        <v>1.3602272727272731</v>
      </c>
    </row>
    <row r="13" spans="2:21" ht="18" customHeight="1">
      <c r="B13" s="32" t="str">
        <f>'Data Entry'!A13</f>
        <v>8. Cases Resulting in Probation Placement</v>
      </c>
      <c r="C13" s="33">
        <f>'Data Entry'!C13</f>
        <v>14</v>
      </c>
      <c r="D13" s="34">
        <f>IF(((AND(C70&gt;0,C13&gt;0))),(C13/(C70)),0)</f>
        <v>199.99999999999997</v>
      </c>
      <c r="E13" s="33">
        <f>'Data Entry'!J13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0</v>
      </c>
      <c r="P13" s="42">
        <f t="shared" si="4"/>
        <v>14</v>
      </c>
      <c r="Q13" s="42">
        <f>(C70*L70)-C13</f>
        <v>-6.9999999999999991</v>
      </c>
      <c r="R13" s="42">
        <f t="shared" si="5"/>
        <v>11</v>
      </c>
      <c r="S13" s="30">
        <f t="shared" si="6"/>
        <v>8623.9999999999982</v>
      </c>
      <c r="T13" s="30">
        <f t="shared" si="7"/>
        <v>-3528</v>
      </c>
      <c r="U13" s="31">
        <f t="shared" si="8"/>
        <v>-2.4444444444444438</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4</v>
      </c>
      <c r="P14" s="42">
        <f t="shared" si="4"/>
        <v>1</v>
      </c>
      <c r="Q14" s="42">
        <f>(C70*L70)-C14</f>
        <v>6.0000000000000009</v>
      </c>
      <c r="R14" s="42">
        <f t="shared" si="5"/>
        <v>11</v>
      </c>
      <c r="S14" s="30">
        <f t="shared" si="6"/>
        <v>176</v>
      </c>
      <c r="T14" s="30">
        <f t="shared" si="7"/>
        <v>280.00000000000006</v>
      </c>
      <c r="U14" s="31">
        <f t="shared" si="8"/>
        <v>0.62857142857142845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14.000000000000002</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0.61299999999999999</v>
      </c>
      <c r="E42" s="56">
        <f>MAX(C42:D42)</f>
        <v>3.2189999999999999</v>
      </c>
      <c r="G42" s="1" t="str">
        <f>B42</f>
        <v>per 1000 youth</v>
      </c>
      <c r="L42" s="57">
        <v>1000</v>
      </c>
      <c r="M42" s="57"/>
      <c r="R42" s="49"/>
    </row>
    <row r="43" spans="2:18" ht="15" hidden="1" customHeight="1">
      <c r="B43" s="49" t="s">
        <v>87</v>
      </c>
      <c r="C43" s="56">
        <f>C7/100</f>
        <v>0.19</v>
      </c>
      <c r="D43" s="56">
        <f>E7/100</f>
        <v>0.02</v>
      </c>
      <c r="E43" s="56">
        <f>MAX(C43:D43,0)</f>
        <v>0.19</v>
      </c>
      <c r="G43" s="1" t="str">
        <f>B43</f>
        <v>per 100 arrests</v>
      </c>
      <c r="L43" s="57">
        <v>100</v>
      </c>
      <c r="M43" s="57"/>
      <c r="R43" s="49"/>
    </row>
    <row r="44" spans="2:18" ht="15" hidden="1" customHeight="1">
      <c r="B44" s="49" t="s">
        <v>88</v>
      </c>
      <c r="C44" s="56">
        <f>C8/100</f>
        <v>0.24</v>
      </c>
      <c r="D44" s="56">
        <f>E8/100</f>
        <v>0.06</v>
      </c>
      <c r="E44" s="56">
        <f>MAX(C44:D44,0)</f>
        <v>0.24</v>
      </c>
      <c r="G44" s="1" t="str">
        <f>B44</f>
        <v>per 100 referrals</v>
      </c>
      <c r="L44" s="57">
        <v>100</v>
      </c>
      <c r="M44" s="57"/>
      <c r="R44" s="49"/>
    </row>
    <row r="45" spans="2:18" ht="15" hidden="1" customHeight="1">
      <c r="B45" s="49" t="s">
        <v>89</v>
      </c>
      <c r="C45" s="49">
        <f>C11/100</f>
        <v>0.14000000000000001</v>
      </c>
      <c r="D45" s="49">
        <f>E11/100</f>
        <v>0.05</v>
      </c>
      <c r="E45" s="56">
        <f>MAX(C45:D45,0)</f>
        <v>0.14000000000000001</v>
      </c>
      <c r="G45" s="1" t="str">
        <f>B45</f>
        <v>per 100 youth petitioned</v>
      </c>
      <c r="L45" s="57">
        <v>100</v>
      </c>
      <c r="M45" s="57"/>
      <c r="R45" s="49"/>
    </row>
    <row r="46" spans="2:18" ht="15" hidden="1" customHeight="1">
      <c r="B46" s="49" t="s">
        <v>90</v>
      </c>
      <c r="C46" s="49">
        <f>C12/100</f>
        <v>7.0000000000000007E-2</v>
      </c>
      <c r="D46" s="49">
        <f>E12/100</f>
        <v>0.04</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0.61299999999999999</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0.02</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0.06</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0.05</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0.04</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0.61299999999999999</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0.02</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0.06</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0.05</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0.04</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0.61299999999999999</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0.02</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0.06</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0.05</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0.04</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0.61299999999999999</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0.02</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0.06</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0.05</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0.04</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Gratiot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3832</v>
      </c>
      <c r="D3" s="57">
        <f>'Data Entry'!C6</f>
        <v>3219</v>
      </c>
      <c r="E3" s="57">
        <f>'Data Entry'!D6</f>
        <v>76</v>
      </c>
      <c r="F3" s="57">
        <f>'Data Entry'!E6</f>
        <v>469</v>
      </c>
      <c r="G3" s="57">
        <f>'Data Entry'!F6</f>
        <v>40</v>
      </c>
      <c r="H3" s="57">
        <f>'Data Entry'!G6</f>
        <v>0</v>
      </c>
      <c r="I3" s="57">
        <f>'Data Entry'!H6</f>
        <v>28</v>
      </c>
      <c r="J3" s="57">
        <f>'Data Entry'!I6</f>
        <v>0</v>
      </c>
      <c r="K3" s="57">
        <f>'Data Entry'!J6</f>
        <v>613</v>
      </c>
    </row>
    <row r="4" spans="2:11" ht="15" customHeight="1">
      <c r="B4" s="16" t="s">
        <v>8</v>
      </c>
      <c r="C4" s="1">
        <f>IF((C$3&gt;0),(1000*('Data Entry'!B7/'Data Entry'!B$6)), 0)</f>
        <v>5.4801670146137793</v>
      </c>
      <c r="D4" s="1">
        <f>IF((D$3&gt;0),(1000*('Data Entry'!C7/'Data Entry'!C$6)), 0)</f>
        <v>5.9024541783162467</v>
      </c>
      <c r="E4" s="1">
        <f>IF((E$3&gt;0),(1000*('Data Entry'!D7/'Data Entry'!D$6)), 0)</f>
        <v>0</v>
      </c>
      <c r="F4" s="1">
        <f>IF((F$3&gt;0),(1000*('Data Entry'!E7/'Data Entry'!E$6)), 0)</f>
        <v>4.2643923240938166</v>
      </c>
      <c r="G4" s="1">
        <f>IF((G$3&gt;0),(1000*('Data Entry'!F7/'Data Entry'!F$6)), 0)</f>
        <v>0</v>
      </c>
      <c r="H4" s="1">
        <f>IF((H$3&gt;0),(1000*('Data Entry'!G7/'Data Entry'!G$6)), 0)</f>
        <v>0</v>
      </c>
      <c r="I4" s="1">
        <f>IF((I$3&gt;0),(1000*('Data Entry'!H7/'Data Entry'!H$6)), 0)</f>
        <v>0</v>
      </c>
      <c r="J4" s="1">
        <f>IF((J$3&gt;0),(1000*('Data Entry'!I7/'Data Entry'!I$6)), 0)</f>
        <v>0</v>
      </c>
      <c r="K4" s="1">
        <f>IF((K$3&gt;0),(1000*('Data Entry'!J7/'Data Entry'!J$6)), 0)</f>
        <v>3.2626427406199023</v>
      </c>
    </row>
    <row r="5" spans="2:11" ht="15" customHeight="1">
      <c r="B5" s="16" t="s">
        <v>9</v>
      </c>
      <c r="C5" s="1">
        <f>IF((C$3&gt;0),(1000*('Data Entry'!B8/'Data Entry'!B$6)), 0)</f>
        <v>19.050104384133611</v>
      </c>
      <c r="D5" s="1">
        <f>IF((D$3&gt;0),(1000*('Data Entry'!C8/'Data Entry'!C$6)), 0)</f>
        <v>7.4557315936626276</v>
      </c>
      <c r="E5" s="1">
        <f>IF((E$3&gt;0),(1000*('Data Entry'!D8/'Data Entry'!D$6)), 0)</f>
        <v>39.473684210526315</v>
      </c>
      <c r="F5" s="1">
        <f>IF((F$3&gt;0),(1000*('Data Entry'!E8/'Data Entry'!E$6)), 0)</f>
        <v>6.3965884861407245</v>
      </c>
      <c r="G5" s="1">
        <f>IF((G$3&gt;0),(1000*('Data Entry'!F8/'Data Entry'!F$6)), 0)</f>
        <v>0</v>
      </c>
      <c r="H5" s="1">
        <f>IF((H$3&gt;0),(1000*('Data Entry'!G8/'Data Entry'!G$6)), 0)</f>
        <v>0</v>
      </c>
      <c r="I5" s="1">
        <f>IF((I$3&gt;0),(1000*('Data Entry'!H8/'Data Entry'!H$6)), 0)</f>
        <v>0</v>
      </c>
      <c r="J5" s="1">
        <f>IF((J$3&gt;0),(1000*('Data Entry'!I8/'Data Entry'!I$6)), 0)</f>
        <v>0</v>
      </c>
      <c r="K5" s="1">
        <f>IF((K$3&gt;0),(1000*('Data Entry'!J8/'Data Entry'!J$6)), 0)</f>
        <v>9.7879282218597048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1.5657620041753655</v>
      </c>
      <c r="D7" s="1">
        <f>IF((D$3&gt;0),(1000*('Data Entry'!C10/'Data Entry'!C$6)), 0)</f>
        <v>0.93196644920782845</v>
      </c>
      <c r="E7" s="1">
        <f>IF((E$3&gt;0),(1000*('Data Entry'!D10/'Data Entry'!D$6)), 0)</f>
        <v>13.157894736842104</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1.6313213703099512</v>
      </c>
    </row>
    <row r="8" spans="2:11" ht="15" customHeight="1">
      <c r="B8" s="16" t="s">
        <v>95</v>
      </c>
      <c r="C8" s="1">
        <f>IF((C$3&gt;0),(1000*('Data Entry'!B11/'Data Entry'!B$6)), 0)</f>
        <v>11.482254697286013</v>
      </c>
      <c r="D8" s="1">
        <f>IF((D$3&gt;0),(1000*('Data Entry'!C11/'Data Entry'!C$6)), 0)</f>
        <v>4.3491767629698668</v>
      </c>
      <c r="E8" s="1">
        <f>IF((E$3&gt;0),(1000*('Data Entry'!D11/'Data Entry'!D$6)), 0)</f>
        <v>39.473684210526315</v>
      </c>
      <c r="F8" s="1">
        <f>IF((F$3&gt;0),(1000*('Data Entry'!E11/'Data Entry'!E$6)), 0)</f>
        <v>4.2643923240938166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8.1566068515497552</v>
      </c>
    </row>
    <row r="9" spans="2:11" ht="15" customHeight="1">
      <c r="B9" s="16" t="s">
        <v>13</v>
      </c>
      <c r="C9" s="1">
        <f>IF((C$3&gt;0),(1000*('Data Entry'!B12/'Data Entry'!B$6)), 0)</f>
        <v>7.3068893528183709</v>
      </c>
      <c r="D9" s="1">
        <f>IF((D$3&gt;0),(1000*('Data Entry'!C12/'Data Entry'!C$6)), 0)</f>
        <v>2.1745883814849334</v>
      </c>
      <c r="E9" s="1">
        <f>IF((E$3&gt;0),(1000*('Data Entry'!D12/'Data Entry'!D$6)), 0)</f>
        <v>26.315789473684209</v>
      </c>
      <c r="F9" s="1">
        <f>IF((F$3&gt;0),(1000*('Data Entry'!E12/'Data Entry'!E$6)), 0)</f>
        <v>4.2643923240938166</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6.5252854812398047</v>
      </c>
    </row>
    <row r="10" spans="2:11" ht="15" customHeight="1">
      <c r="B10" s="16" t="s">
        <v>14</v>
      </c>
      <c r="C10" s="1">
        <f>IF((C$3&gt;0),(1000*('Data Entry'!B13/'Data Entry'!B$6)), 0)</f>
        <v>9.9164926931106478</v>
      </c>
      <c r="D10" s="1">
        <f>IF((D$3&gt;0),(1000*('Data Entry'!C13/'Data Entry'!C$6)), 0)</f>
        <v>4.3491767629698668</v>
      </c>
      <c r="E10" s="1">
        <f>IF((E$3&gt;0),(1000*('Data Entry'!D13/'Data Entry'!D$6)), 0)</f>
        <v>13.157894736842104</v>
      </c>
      <c r="F10" s="1">
        <f>IF((F$3&gt;0),(1000*('Data Entry'!E13/'Data Entry'!E$6)), 0)</f>
        <v>6.3965884861407245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6.5252854812398047</v>
      </c>
    </row>
    <row r="11" spans="2:11" ht="25.5" customHeight="1">
      <c r="B11" s="16" t="s">
        <v>15</v>
      </c>
      <c r="C11" s="1">
        <f>IF((C$3&gt;0),(1000*('Data Entry'!B14/'Data Entry'!B$6)), 0)</f>
        <v>1.3048016701461378</v>
      </c>
      <c r="D11" s="1">
        <f>IF((D$3&gt;0),(1000*('Data Entry'!C14/'Data Entry'!C$6)), 0)</f>
        <v>0.31065548306927615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Gratiot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0.72247783638199981</v>
      </c>
      <c r="F19" s="72" t="str">
        <f t="shared" si="1"/>
        <v>--</v>
      </c>
      <c r="G19" s="72" t="str">
        <f t="shared" si="1"/>
        <v>--</v>
      </c>
      <c r="H19" s="72" t="str">
        <f t="shared" si="1"/>
        <v>--</v>
      </c>
      <c r="I19" s="72" t="str">
        <f t="shared" si="1"/>
        <v>--</v>
      </c>
      <c r="J19" s="73">
        <f t="shared" si="1"/>
        <v>0.55276036747660351</v>
      </c>
    </row>
    <row r="20" spans="2:10" ht="15" customHeight="1">
      <c r="B20" s="71" t="s">
        <v>9</v>
      </c>
      <c r="C20" s="72">
        <f t="shared" ref="C20:J27" si="2">IF(AND(($D5&gt;0),(D5&gt;0)), (D5/$D5),"--")</f>
        <v>1</v>
      </c>
      <c r="D20" s="72">
        <f t="shared" si="2"/>
        <v>5.2944078947368425</v>
      </c>
      <c r="E20" s="72">
        <f t="shared" si="2"/>
        <v>0.85794243070362475</v>
      </c>
      <c r="F20" s="72" t="str">
        <f t="shared" si="2"/>
        <v>--</v>
      </c>
      <c r="G20" s="72" t="str">
        <f t="shared" si="2"/>
        <v>--</v>
      </c>
      <c r="H20" s="72" t="str">
        <f t="shared" si="2"/>
        <v>--</v>
      </c>
      <c r="I20" s="72" t="str">
        <f t="shared" si="2"/>
        <v>--</v>
      </c>
      <c r="J20" s="73">
        <f t="shared" si="2"/>
        <v>1.3128058727569329</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14.118421052631579</v>
      </c>
      <c r="E22" s="72" t="str">
        <f t="shared" si="2"/>
        <v>--</v>
      </c>
      <c r="F22" s="72" t="str">
        <f t="shared" si="2"/>
        <v>--</v>
      </c>
      <c r="G22" s="72" t="str">
        <f t="shared" si="2"/>
        <v>--</v>
      </c>
      <c r="H22" s="72" t="str">
        <f t="shared" si="2"/>
        <v>--</v>
      </c>
      <c r="I22" s="72" t="str">
        <f t="shared" si="2"/>
        <v>--</v>
      </c>
      <c r="J22" s="73">
        <f t="shared" si="2"/>
        <v>1.7504078303425776</v>
      </c>
    </row>
    <row r="23" spans="2:10" ht="15" customHeight="1">
      <c r="B23" s="71" t="s">
        <v>95</v>
      </c>
      <c r="C23" s="72">
        <f t="shared" si="2"/>
        <v>1</v>
      </c>
      <c r="D23" s="72">
        <f t="shared" si="2"/>
        <v>9.076127819548871</v>
      </c>
      <c r="E23" s="72">
        <f t="shared" si="2"/>
        <v>0.98050563508985678</v>
      </c>
      <c r="F23" s="72" t="str">
        <f t="shared" si="2"/>
        <v>--</v>
      </c>
      <c r="G23" s="72" t="str">
        <f t="shared" si="2"/>
        <v>--</v>
      </c>
      <c r="H23" s="72" t="str">
        <f t="shared" si="2"/>
        <v>--</v>
      </c>
      <c r="I23" s="72" t="str">
        <f t="shared" si="2"/>
        <v>--</v>
      </c>
      <c r="J23" s="73">
        <f t="shared" si="2"/>
        <v>1.8754369610813328</v>
      </c>
    </row>
    <row r="24" spans="2:10" ht="15" customHeight="1">
      <c r="B24" s="71" t="s">
        <v>13</v>
      </c>
      <c r="C24" s="72">
        <f t="shared" si="2"/>
        <v>1</v>
      </c>
      <c r="D24" s="72">
        <f t="shared" si="2"/>
        <v>12.101503759398495</v>
      </c>
      <c r="E24" s="72">
        <f t="shared" si="2"/>
        <v>1.9610112701797136</v>
      </c>
      <c r="F24" s="72" t="str">
        <f t="shared" si="2"/>
        <v>--</v>
      </c>
      <c r="G24" s="72" t="str">
        <f t="shared" si="2"/>
        <v>--</v>
      </c>
      <c r="H24" s="72" t="str">
        <f t="shared" si="2"/>
        <v>--</v>
      </c>
      <c r="I24" s="72" t="str">
        <f t="shared" si="2"/>
        <v>--</v>
      </c>
      <c r="J24" s="73">
        <f t="shared" si="2"/>
        <v>3.0006991377301326</v>
      </c>
    </row>
    <row r="25" spans="2:10" ht="15" customHeight="1">
      <c r="B25" s="71" t="s">
        <v>14</v>
      </c>
      <c r="C25" s="72">
        <f t="shared" si="2"/>
        <v>1</v>
      </c>
      <c r="D25" s="72">
        <f t="shared" si="2"/>
        <v>3.0253759398496238</v>
      </c>
      <c r="E25" s="72">
        <f t="shared" si="2"/>
        <v>1.470758452634785</v>
      </c>
      <c r="F25" s="72" t="str">
        <f t="shared" si="2"/>
        <v>--</v>
      </c>
      <c r="G25" s="72" t="str">
        <f t="shared" si="2"/>
        <v>--</v>
      </c>
      <c r="H25" s="72" t="str">
        <f t="shared" si="2"/>
        <v>--</v>
      </c>
      <c r="I25" s="72" t="str">
        <f t="shared" si="2"/>
        <v>--</v>
      </c>
      <c r="J25" s="73">
        <f t="shared" si="2"/>
        <v>1.5003495688650663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Gratiot</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3219</v>
      </c>
      <c r="D7" s="104">
        <f>'Data Entry'!D6</f>
        <v>76</v>
      </c>
      <c r="E7" s="105"/>
      <c r="F7" s="106">
        <f>'Data Entry'!E6</f>
        <v>469</v>
      </c>
      <c r="G7" s="105"/>
      <c r="H7" s="106">
        <f>'Data Entry'!F6</f>
        <v>40</v>
      </c>
      <c r="I7" s="105"/>
      <c r="J7" s="106">
        <f>'Data Entry'!G6</f>
        <v>0</v>
      </c>
      <c r="K7" s="105"/>
      <c r="L7" s="106">
        <f>'Data Entry'!H6</f>
        <v>28</v>
      </c>
      <c r="M7" s="105"/>
      <c r="N7" s="106">
        <f>'Data Entry'!I6</f>
        <v>0</v>
      </c>
      <c r="O7" s="105"/>
      <c r="P7" s="106">
        <f>'Data Entry'!J6</f>
        <v>613</v>
      </c>
      <c r="Q7" s="107"/>
    </row>
    <row r="8" spans="2:26" s="1" customFormat="1" ht="15" customHeight="1">
      <c r="B8" s="142" t="s">
        <v>8</v>
      </c>
      <c r="C8" s="103">
        <f>'Data Entry'!C7</f>
        <v>19</v>
      </c>
      <c r="D8" s="104">
        <f>'Data Entry'!D7</f>
        <v>0</v>
      </c>
      <c r="E8" s="105" t="str">
        <f>'Black or African-American'!$G7</f>
        <v>**</v>
      </c>
      <c r="F8" s="106">
        <f>'Data Entry'!E7</f>
        <v>2</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24</v>
      </c>
      <c r="D9" s="108">
        <f>'Data Entry'!D8</f>
        <v>3</v>
      </c>
      <c r="E9" s="109" t="str">
        <f>'Black or African-American'!$G8</f>
        <v>**</v>
      </c>
      <c r="F9" s="110">
        <f>'Data Entry'!E8</f>
        <v>3</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6</v>
      </c>
      <c r="Q9" s="111" t="str">
        <f>'All Minorities'!G8</f>
        <v>**</v>
      </c>
      <c r="R9"/>
      <c r="T9" s="1">
        <f>'Black or African-American'!L8</f>
        <v>20</v>
      </c>
      <c r="U9" s="1">
        <f>Hispanic!L8</f>
        <v>40</v>
      </c>
      <c r="V9" s="1">
        <f>Asian!L8</f>
        <v>40</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3</v>
      </c>
      <c r="D11" s="108">
        <f>'Data Entry'!D10</f>
        <v>1</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14</v>
      </c>
      <c r="D12" s="112">
        <f>'Data Entry'!D11</f>
        <v>3</v>
      </c>
      <c r="E12" s="113" t="str">
        <f>'Black or African-American'!$G11</f>
        <v>**</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5</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7</v>
      </c>
      <c r="D13" s="108">
        <f>'Data Entry'!D12</f>
        <v>2</v>
      </c>
      <c r="E13" s="109" t="str">
        <f>'Black or African-American'!$G12</f>
        <v>**</v>
      </c>
      <c r="F13" s="110">
        <f>'Data Entry'!E12</f>
        <v>2</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4</v>
      </c>
      <c r="Q13" s="111" t="str">
        <f>'All Minorities'!G12</f>
        <v>**</v>
      </c>
      <c r="R13"/>
      <c r="T13" s="1">
        <f>'Black or African-American'!L12</f>
        <v>40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14</v>
      </c>
      <c r="D14" s="112">
        <f>'Data Entry'!D13</f>
        <v>1</v>
      </c>
      <c r="E14" s="113" t="str">
        <f>'Black or African-American'!$G13</f>
        <v>**</v>
      </c>
      <c r="F14" s="114">
        <f>'Data Entry'!E13</f>
        <v>3</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4</v>
      </c>
      <c r="Q14" s="115" t="str">
        <f>'All Minorities'!G13</f>
        <v>**</v>
      </c>
      <c r="R14"/>
      <c r="T14" s="1">
        <f>'Black or African-American'!L13</f>
        <v>40</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f>Hispanic!L14</f>
        <v>40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Gratiot</v>
      </c>
    </row>
    <row r="6" spans="1:12">
      <c r="A6" s="135" t="str">
        <f>CONCATENATE("Percentage of Minorities at Stages of the Juvenile Justice System, ", A5, " 2024")</f>
        <v>Percentage of Minorities at Stages of the Juvenile Justice System, County: Gratiot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5.2512234910277318</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0.2</v>
      </c>
      <c r="K8" s="96" t="str">
        <f>A8</f>
        <v>Confinement, total N=5</v>
      </c>
      <c r="L8">
        <f>I14/(SUM(B14:G14))</f>
        <v>5.2512234910277318</v>
      </c>
    </row>
    <row r="9" spans="1:12">
      <c r="A9" s="128" t="str">
        <f>CONCATENATE("Delinquent Findings, total N=", 'Data Entry'!B12)</f>
        <v>Delinquent Findings, total N=28</v>
      </c>
      <c r="B9" s="150">
        <f>'Data Entry'!D12/'Data Entry'!B12</f>
        <v>7.1428571428571425E-2</v>
      </c>
      <c r="C9" s="150">
        <f>'Data Entry'!E12/'Data Entry'!B12</f>
        <v>7.1428571428571425E-2</v>
      </c>
      <c r="D9" s="150">
        <f>'Data Entry'!F12/'Data Entry'!B12</f>
        <v>0</v>
      </c>
      <c r="E9" s="150">
        <f>'Data Entry'!G12/'Data Entry'!B12</f>
        <v>0</v>
      </c>
      <c r="F9" s="150">
        <f>'Data Entry'!H12/'Data Entry'!B12</f>
        <v>0</v>
      </c>
      <c r="G9" s="150">
        <f>'Data Entry'!I12/'Data Entry'!B12</f>
        <v>0</v>
      </c>
      <c r="H9" s="150">
        <f>SUM(D9:G9)/'Data Entry'!B12</f>
        <v>0</v>
      </c>
      <c r="I9" s="150">
        <f>'Data Entry'!C12/'Data Entry'!B12</f>
        <v>0.25</v>
      </c>
      <c r="K9" s="96" t="str">
        <f t="shared" si="0"/>
        <v>Delinquent Findings, total N=28</v>
      </c>
      <c r="L9">
        <f>I14/(SUM(B14:G14))</f>
        <v>5.2512234910277318</v>
      </c>
    </row>
    <row r="10" spans="1:12">
      <c r="A10" s="128" t="str">
        <f>CONCATENATE("Petitions, total N=", 'Data Entry'!B11)</f>
        <v>Petitions, total N=44</v>
      </c>
      <c r="B10" s="150">
        <f>'Data Entry'!D11/'Data Entry'!B11</f>
        <v>6.8181818181818177E-2</v>
      </c>
      <c r="C10" s="150">
        <f>'Data Entry'!E11/'Data Entry'!B11</f>
        <v>4.5454545454545456E-2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0.31818181818181818</v>
      </c>
      <c r="K10" s="96" t="str">
        <f t="shared" si="0"/>
        <v>Petitions, total N=44</v>
      </c>
      <c r="L10">
        <f>I14/(SUM(B14:G14))</f>
        <v>5.2512234910277318</v>
      </c>
    </row>
    <row r="11" spans="1:12">
      <c r="A11" s="128" t="str">
        <f>CONCATENATE("Detentions, total N=", 'Data Entry'!B10)</f>
        <v>Detentions, total N=6</v>
      </c>
      <c r="B11" s="150">
        <f>'Data Entry'!D10/'Data Entry'!B10</f>
        <v>0.16666666666666666</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v>
      </c>
      <c r="K11" s="96" t="str">
        <f t="shared" si="0"/>
        <v>Detentions, total N=6</v>
      </c>
      <c r="L11">
        <f>I14/(SUM(B14:G14))</f>
        <v>5.2512234910277318</v>
      </c>
    </row>
    <row r="12" spans="1:12">
      <c r="A12" s="128" t="str">
        <f>CONCATENATE("Referrals, total N=", 'Data Entry'!B8)</f>
        <v>Referrals, total N=73</v>
      </c>
      <c r="B12" s="150">
        <f>'Data Entry'!D8/'Data Entry'!B8</f>
        <v>4.1095890410958902E-2</v>
      </c>
      <c r="C12" s="150">
        <f>'Data Entry'!E8/'Data Entry'!B8</f>
        <v>4.1095890410958902E-2</v>
      </c>
      <c r="D12" s="150">
        <f>'Data Entry'!F8/'Data Entry'!B8</f>
        <v>0</v>
      </c>
      <c r="E12" s="150">
        <f>'Data Entry'!G8/'Data Entry'!B8</f>
        <v>0</v>
      </c>
      <c r="F12" s="150">
        <f>'Data Entry'!H8/'Data Entry'!B8</f>
        <v>0</v>
      </c>
      <c r="G12" s="150">
        <f>'Data Entry'!I8/'Data Entry'!B8</f>
        <v>0</v>
      </c>
      <c r="H12" s="150">
        <f>SUM(D12:G12)/'Data Entry'!B8</f>
        <v>0</v>
      </c>
      <c r="I12" s="150">
        <f>'Data Entry'!C8/'Data Entry'!B8</f>
        <v>0.32876712328767121</v>
      </c>
      <c r="K12" s="96" t="str">
        <f t="shared" si="0"/>
        <v>Referrals, total N=73</v>
      </c>
      <c r="L12">
        <f>I14/(SUM(B14:G14))</f>
        <v>5.2512234910277318</v>
      </c>
    </row>
    <row r="13" spans="1:12">
      <c r="A13" s="128" t="str">
        <f>CONCATENATE("Arrests, total N=", 'Data Entry'!B7)</f>
        <v>Arrests, total N=21</v>
      </c>
      <c r="B13" s="150">
        <f>'Data Entry'!D7/'Data Entry'!B7</f>
        <v>0</v>
      </c>
      <c r="C13" s="150">
        <f>'Data Entry'!E7/'Data Entry'!B7</f>
        <v>9.5238095238095233E-2</v>
      </c>
      <c r="D13" s="150">
        <f>'Data Entry'!F7/'Data Entry'!B7</f>
        <v>0</v>
      </c>
      <c r="E13" s="150">
        <f>'Data Entry'!G7/'Data Entry'!B7</f>
        <v>0</v>
      </c>
      <c r="F13" s="150">
        <f>'Data Entry'!H7/'Data Entry'!B7</f>
        <v>0</v>
      </c>
      <c r="G13" s="150">
        <f>'Data Entry'!I7/'Data Entry'!B7</f>
        <v>0</v>
      </c>
      <c r="H13" s="150">
        <f>SUM(D13:G13)/'Data Entry'!B7</f>
        <v>0</v>
      </c>
      <c r="I13" s="150">
        <f>'Data Entry'!C7/'Data Entry'!B7</f>
        <v>0.90476190476190477</v>
      </c>
      <c r="K13" s="96" t="str">
        <f t="shared" si="0"/>
        <v>Arrests, total N=21</v>
      </c>
      <c r="L13">
        <f>I14/(SUM(B14:G14))</f>
        <v>5.2512234910277318</v>
      </c>
    </row>
    <row r="14" spans="1:12">
      <c r="A14" s="128" t="str">
        <f>CONCATENATE("Population, total N=", 'Data Entry'!B6)</f>
        <v>Population, total N=3832</v>
      </c>
      <c r="B14" s="150">
        <f>'Data Entry'!D6/'Data Entry'!B6</f>
        <v>1.9832985386221295E-2</v>
      </c>
      <c r="C14" s="150">
        <f>'Data Entry'!E6/'Data Entry'!B6</f>
        <v>0.12239039665970772</v>
      </c>
      <c r="D14" s="150">
        <f>'Data Entry'!F6/'Data Entry'!B6</f>
        <v>1.0438413361169102E-2</v>
      </c>
      <c r="E14" s="150">
        <f>'Data Entry'!G6/'Data Entry'!B6</f>
        <v>0</v>
      </c>
      <c r="F14" s="150">
        <f>'Data Entry'!H6/'Data Entry'!B6</f>
        <v>7.3068893528183713E-3</v>
      </c>
      <c r="G14" s="150">
        <f>'Data Entry'!I6/'Data Entry'!B6</f>
        <v>0</v>
      </c>
      <c r="H14" s="150">
        <f>SUM(D14:G14)/'Data Entry'!B6</f>
        <v>4.6308201236919294E-6</v>
      </c>
      <c r="I14" s="150">
        <f>'Data Entry'!C6/'Data Entry'!B6</f>
        <v>0.84003131524008345</v>
      </c>
      <c r="K14" s="96" t="str">
        <f t="shared" si="0"/>
        <v>Population, total N=3832</v>
      </c>
      <c r="L14">
        <f>I14/(SUM(B14:G14))</f>
        <v>5.2512234910277318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Gratiot</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3219</v>
      </c>
      <c r="D7" s="104">
        <f>'Data Entry'!D6</f>
        <v>76</v>
      </c>
      <c r="E7" s="105"/>
      <c r="F7" s="106">
        <f>'Data Entry'!E6</f>
        <v>469</v>
      </c>
      <c r="G7" s="105"/>
      <c r="H7" s="106">
        <f>'Data Entry'!F6</f>
        <v>40</v>
      </c>
      <c r="I7" s="105"/>
      <c r="J7" s="106">
        <f>'Data Entry'!J6</f>
        <v>613</v>
      </c>
      <c r="K7" s="107"/>
    </row>
    <row r="8" spans="2:30" s="1" customFormat="1" ht="15" customHeight="1">
      <c r="B8" s="121" t="s">
        <v>8</v>
      </c>
      <c r="C8" s="103">
        <f>'Data Entry'!C7</f>
        <v>19</v>
      </c>
      <c r="D8" s="104">
        <f>'Data Entry'!D7</f>
        <v>0</v>
      </c>
      <c r="E8" s="105" t="str">
        <f>'Black or African-American'!$G7</f>
        <v>**</v>
      </c>
      <c r="F8" s="106">
        <f>'Data Entry'!E7</f>
        <v>2</v>
      </c>
      <c r="G8" s="105" t="str">
        <f>Hispanic!G7</f>
        <v>**</v>
      </c>
      <c r="H8" s="106">
        <f>'Data Entry'!F7</f>
        <v>0</v>
      </c>
      <c r="I8" s="105" t="str">
        <f>Asian!G7</f>
        <v>**</v>
      </c>
      <c r="J8" s="106">
        <f>'Data Entry'!J7</f>
        <v>2</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24</v>
      </c>
      <c r="D9" s="108">
        <f>'Data Entry'!D8</f>
        <v>3</v>
      </c>
      <c r="E9" s="109" t="str">
        <f>'Black or African-American'!$G8</f>
        <v>**</v>
      </c>
      <c r="F9" s="110">
        <f>'Data Entry'!E8</f>
        <v>3</v>
      </c>
      <c r="G9" s="109" t="str">
        <f>Hispanic!G8</f>
        <v>**</v>
      </c>
      <c r="H9" s="110">
        <f>'Data Entry'!F8</f>
        <v>0</v>
      </c>
      <c r="I9" s="109" t="str">
        <f>Asian!G8</f>
        <v>**</v>
      </c>
      <c r="J9" s="110">
        <f>'Data Entry'!J8</f>
        <v>6</v>
      </c>
      <c r="K9" s="111" t="str">
        <f>'All Minorities'!G8</f>
        <v>**</v>
      </c>
      <c r="L9"/>
      <c r="N9" s="1">
        <f>'Black or African-American'!L8</f>
        <v>20</v>
      </c>
      <c r="O9" s="1">
        <f>Hispanic!L8</f>
        <v>40</v>
      </c>
      <c r="P9" s="1">
        <f>Asian!L8</f>
        <v>40</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3</v>
      </c>
      <c r="D11" s="108">
        <f>'Data Entry'!D10</f>
        <v>1</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14</v>
      </c>
      <c r="D12" s="112">
        <f>'Data Entry'!D11</f>
        <v>3</v>
      </c>
      <c r="E12" s="113" t="str">
        <f>'Black or African-American'!$G11</f>
        <v>**</v>
      </c>
      <c r="F12" s="114">
        <f>'Data Entry'!E11</f>
        <v>2</v>
      </c>
      <c r="G12" s="113" t="str">
        <f>Hispanic!G11</f>
        <v>**</v>
      </c>
      <c r="H12" s="114">
        <f>'Data Entry'!F11</f>
        <v>0</v>
      </c>
      <c r="I12" s="113" t="str">
        <f>Asian!G11</f>
        <v>--</v>
      </c>
      <c r="J12" s="114">
        <f>'Data Entry'!J11</f>
        <v>5</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7</v>
      </c>
      <c r="D13" s="108">
        <f>'Data Entry'!D12</f>
        <v>2</v>
      </c>
      <c r="E13" s="109" t="str">
        <f>'Black or African-American'!$G12</f>
        <v>**</v>
      </c>
      <c r="F13" s="110">
        <f>'Data Entry'!E12</f>
        <v>2</v>
      </c>
      <c r="G13" s="109" t="str">
        <f>Hispanic!G12</f>
        <v>**</v>
      </c>
      <c r="H13" s="110">
        <f>'Data Entry'!F12</f>
        <v>0</v>
      </c>
      <c r="I13" s="109" t="str">
        <f>Asian!G12</f>
        <v>--</v>
      </c>
      <c r="J13" s="110">
        <f>'Data Entry'!J12</f>
        <v>4</v>
      </c>
      <c r="K13" s="111" t="str">
        <f>'All Minorities'!G12</f>
        <v>**</v>
      </c>
      <c r="L13"/>
      <c r="N13" s="1">
        <f>'Black or African-American'!L12</f>
        <v>40</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14</v>
      </c>
      <c r="D14" s="112">
        <f>'Data Entry'!D13</f>
        <v>1</v>
      </c>
      <c r="E14" s="113" t="str">
        <f>'Black or African-American'!$G13</f>
        <v>**</v>
      </c>
      <c r="F14" s="114">
        <f>'Data Entry'!E13</f>
        <v>3</v>
      </c>
      <c r="G14" s="113" t="str">
        <f>Hispanic!G13</f>
        <v>**</v>
      </c>
      <c r="H14" s="114">
        <f>'Data Entry'!F13</f>
        <v>0</v>
      </c>
      <c r="I14" s="113" t="str">
        <f>Asian!G13</f>
        <v>--</v>
      </c>
      <c r="J14" s="114">
        <f>'Data Entry'!J13</f>
        <v>4</v>
      </c>
      <c r="K14" s="115" t="str">
        <f>'All Minorities'!G13</f>
        <v>**</v>
      </c>
      <c r="L14"/>
      <c r="N14" s="1">
        <f>'Black or African-American'!L13</f>
        <v>40</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f>Hispanic!L14</f>
        <v>40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Entry'!D6</f>
        <v>76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76</v>
      </c>
      <c r="P7" s="42">
        <f t="shared" ref="P7:P15" si="2">C7</f>
        <v>19</v>
      </c>
      <c r="Q7" s="42">
        <f>C6-C7</f>
        <v>3200</v>
      </c>
      <c r="R7" s="42">
        <f t="shared" ref="R7:R15" si="3">SUM(N7:Q7)</f>
        <v>3295</v>
      </c>
      <c r="S7" s="30">
        <f t="shared" ref="S7:S15" si="4">R7*((((N7*Q7)-(O7*P7))^2))</f>
        <v>6870523120</v>
      </c>
      <c r="T7" s="30">
        <f t="shared" ref="T7:T15" si="5">(N7+O7)*(P7+Q7)*(N7+P7)*(O7+Q7)</f>
        <v>15227621136</v>
      </c>
      <c r="U7" s="31">
        <f t="shared" ref="U7:U15" si="6">IF((S7&gt;0),S7/T7,"- -")</f>
        <v>0.45118820980889945</v>
      </c>
    </row>
    <row r="8" spans="2:21" ht="18" customHeight="1">
      <c r="B8" s="32" t="str">
        <f>'Data Entry'!A8</f>
        <v>3. Refer to Juvenile Court</v>
      </c>
      <c r="C8" s="33">
        <f>'Data Entry'!C8</f>
        <v>24</v>
      </c>
      <c r="D8" s="34">
        <f>IF((AND(C67&gt;0,C8&gt;0)),(C8/C67),0)</f>
        <v>126.31578947368421</v>
      </c>
      <c r="E8" s="33">
        <f>'Data Entry'!D8</f>
        <v>3</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-2.95</v>
      </c>
      <c r="P8" s="42">
        <f t="shared" si="2"/>
        <v>24</v>
      </c>
      <c r="Q8" s="42">
        <f>(C$67*L67)-C8</f>
        <v>-5</v>
      </c>
      <c r="R8" s="42">
        <f t="shared" si="3"/>
        <v>19.05</v>
      </c>
      <c r="S8" s="30">
        <f t="shared" si="4"/>
        <v>59314.842000000026</v>
      </c>
      <c r="T8" s="30">
        <f t="shared" si="5"/>
        <v>-203.91749999999928</v>
      </c>
      <c r="U8" s="31">
        <f t="shared" si="6"/>
        <v>-290.87666335650562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24</v>
      </c>
      <c r="R9" s="42">
        <f t="shared" si="3"/>
        <v>27</v>
      </c>
      <c r="S9" s="30">
        <f t="shared" si="4"/>
        <v>0</v>
      </c>
      <c r="T9" s="30">
        <f t="shared" si="5"/>
        <v>0</v>
      </c>
      <c r="U9" s="31" t="str">
        <f t="shared" si="6"/>
        <v>- -</v>
      </c>
    </row>
    <row r="10" spans="2:21" ht="18" customHeight="1">
      <c r="B10" s="32" t="str">
        <f>'Data Entry'!A10</f>
        <v>5. Cases Involving Secure Detention</v>
      </c>
      <c r="C10" s="33">
        <f>'Data Entry'!C10</f>
        <v>3</v>
      </c>
      <c r="D10" s="34">
        <f>IF(((AND(C68&gt;0,C10&gt;0))),(C10/(C68)),0)</f>
        <v>12.5</v>
      </c>
      <c r="E10" s="33">
        <f>'Data Entry'!D10</f>
        <v>1</v>
      </c>
      <c r="F10" s="34">
        <f>IF(((AND($E$10&gt;0,$D$68&gt;0))),($E$10/($D$68)),0)</f>
        <v>33.333333333333336</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2</v>
      </c>
      <c r="P10" s="42">
        <f t="shared" si="2"/>
        <v>3</v>
      </c>
      <c r="Q10" s="42">
        <f>(C$68*L68)-C10</f>
        <v>21</v>
      </c>
      <c r="R10" s="42">
        <f t="shared" si="3"/>
        <v>27</v>
      </c>
      <c r="S10" s="30">
        <f t="shared" si="4"/>
        <v>6075</v>
      </c>
      <c r="T10" s="30">
        <f t="shared" si="5"/>
        <v>6624</v>
      </c>
      <c r="U10" s="31">
        <f t="shared" si="6"/>
        <v>0.91711956521739135</v>
      </c>
    </row>
    <row r="11" spans="2:21" ht="18" customHeight="1">
      <c r="B11" s="32" t="str">
        <f>'Data Entry'!A11</f>
        <v>6. Cases Petitioned (Charge Filed)</v>
      </c>
      <c r="C11" s="33">
        <f>'Data Entry'!C11</f>
        <v>14</v>
      </c>
      <c r="D11" s="34">
        <f>IF(((AND(C68&gt;0,C11&gt;0))),(C11/(C68)),0)</f>
        <v>58.333333333333336</v>
      </c>
      <c r="E11" s="33">
        <f>'Data Entry'!D11</f>
        <v>3</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0</v>
      </c>
      <c r="P11" s="42">
        <f t="shared" si="2"/>
        <v>14</v>
      </c>
      <c r="Q11" s="42">
        <f>(C$68*L68)-C11</f>
        <v>10</v>
      </c>
      <c r="R11" s="42">
        <f t="shared" si="3"/>
        <v>27</v>
      </c>
      <c r="S11" s="30">
        <f t="shared" si="4"/>
        <v>24300</v>
      </c>
      <c r="T11" s="30">
        <f t="shared" si="5"/>
        <v>12240</v>
      </c>
      <c r="U11" s="31">
        <f t="shared" si="6"/>
        <v>1.9852941176470589</v>
      </c>
    </row>
    <row r="12" spans="2:21" ht="18" customHeight="1">
      <c r="B12" s="32" t="str">
        <f>'Data Entry'!A12</f>
        <v>7. Cases Resulting in Delinquent Findings</v>
      </c>
      <c r="C12" s="33">
        <f>'Data Entry'!C12</f>
        <v>7</v>
      </c>
      <c r="D12" s="34">
        <f>IF(((AND(C69&gt;0,C12&gt;0))),(C12/(C69)),0)</f>
        <v>49.999999999999993</v>
      </c>
      <c r="E12" s="33">
        <f>'Data Entry'!D12</f>
        <v>2</v>
      </c>
      <c r="F12" s="34">
        <f>IF(((AND($D$69&gt;0,$E$12&gt;0))),(E12/(D69)),0)</f>
        <v>66.666666666666671</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7</v>
      </c>
      <c r="Q12" s="42">
        <f>(C69*L69)-C12</f>
        <v>7.0000000000000018</v>
      </c>
      <c r="R12" s="42">
        <f t="shared" si="3"/>
        <v>17</v>
      </c>
      <c r="S12" s="30">
        <f t="shared" si="4"/>
        <v>833.0000000000008</v>
      </c>
      <c r="T12" s="30">
        <f t="shared" si="5"/>
        <v>3024.0000000000009</v>
      </c>
      <c r="U12" s="31">
        <f t="shared" si="6"/>
        <v>0.27546296296296313</v>
      </c>
    </row>
    <row r="13" spans="2:21" ht="18" customHeight="1">
      <c r="B13" s="32" t="str">
        <f>'Data Entry'!A13</f>
        <v>8. Cases Resulting in Probation Placement</v>
      </c>
      <c r="C13" s="33">
        <f>'Data Entry'!C13</f>
        <v>14</v>
      </c>
      <c r="D13" s="34">
        <f>IF(((AND(C70&gt;0,C13&gt;0))),(C13/(C70)),0)</f>
        <v>199.99999999999997</v>
      </c>
      <c r="E13" s="33">
        <f>'Data Entry'!D13</f>
        <v>1</v>
      </c>
      <c r="F13" s="34">
        <f>IF(((AND($D$70&gt;0,$E$13&gt;0))),($E$13/($D$70)),0)</f>
        <v>50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1</v>
      </c>
      <c r="P13" s="42">
        <f t="shared" si="2"/>
        <v>14</v>
      </c>
      <c r="Q13" s="42">
        <f>(C70*L70)-C13</f>
        <v>-6.9999999999999991</v>
      </c>
      <c r="R13" s="42">
        <f t="shared" si="3"/>
        <v>9</v>
      </c>
      <c r="S13" s="30">
        <f t="shared" si="4"/>
        <v>3969</v>
      </c>
      <c r="T13" s="30">
        <f t="shared" si="5"/>
        <v>-1260</v>
      </c>
      <c r="U13" s="31">
        <f t="shared" si="6"/>
        <v>-3.15</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1</v>
      </c>
      <c r="Q14" s="42">
        <f>(C70*L70)-C14</f>
        <v>6.0000000000000009</v>
      </c>
      <c r="R14" s="42">
        <f t="shared" si="3"/>
        <v>9</v>
      </c>
      <c r="S14" s="30">
        <f t="shared" si="4"/>
        <v>36</v>
      </c>
      <c r="T14" s="30">
        <f t="shared" si="5"/>
        <v>112.00000000000001</v>
      </c>
      <c r="U14" s="31">
        <f t="shared" si="6"/>
        <v>0.3214285714285714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14.000000000000002</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7.5999999999999998E-2</v>
      </c>
      <c r="E42" s="56">
        <f>MAX(C42:D42)</f>
        <v>3.2189999999999999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0.24</v>
      </c>
      <c r="D44" s="56">
        <f>E8/100</f>
        <v>0.03</v>
      </c>
      <c r="E44" s="56">
        <f>MAX(C44:D44,0)</f>
        <v>0.24</v>
      </c>
      <c r="G44" s="1" t="str">
        <f>B44</f>
        <v>per 100 referrals</v>
      </c>
      <c r="L44" s="57">
        <v>100</v>
      </c>
      <c r="M44" s="57"/>
      <c r="R44" s="49"/>
    </row>
    <row r="45" spans="2:18" ht="15" hidden="1" customHeight="1">
      <c r="B45" s="49" t="s">
        <v>89</v>
      </c>
      <c r="C45" s="49">
        <f>C11/100</f>
        <v>0.14000000000000001</v>
      </c>
      <c r="D45" s="49">
        <f>E11/100</f>
        <v>0.03</v>
      </c>
      <c r="E45" s="56">
        <f>MAX(C45:D45,0)</f>
        <v>0.14000000000000001</v>
      </c>
      <c r="G45" s="1" t="str">
        <f>B45</f>
        <v>per 100 youth petitioned</v>
      </c>
      <c r="L45" s="57">
        <v>100</v>
      </c>
      <c r="M45" s="57"/>
      <c r="R45" s="49"/>
    </row>
    <row r="46" spans="2:18" ht="15" hidden="1" customHeight="1">
      <c r="B46" s="49" t="s">
        <v>90</v>
      </c>
      <c r="C46" s="49">
        <f>C12/100</f>
        <v>7.0000000000000007E-2</v>
      </c>
      <c r="D46" s="49">
        <f>E12/100</f>
        <v>0.02</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7.5999999999999998E-2</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0.03</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0.03</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0.02</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7.5999999999999998E-2</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0.03</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0.03</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0.02</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7.5999999999999998E-2</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0.03</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0.03</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7.5999999999999998E-2</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0.03</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0.03</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0.02</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Entry'!F6</f>
        <v>40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40</v>
      </c>
      <c r="P7" s="42">
        <f t="shared" ref="P7:P15" si="4">C7</f>
        <v>19</v>
      </c>
      <c r="Q7" s="42">
        <f>C6-C7</f>
        <v>3200</v>
      </c>
      <c r="R7" s="42">
        <f t="shared" ref="R7:R15" si="5">SUM(N7:Q7)</f>
        <v>3259</v>
      </c>
      <c r="S7" s="30">
        <f t="shared" ref="S7:S15" si="6">R7*((((N7*Q7)-(O7*P7))^2))</f>
        <v>1882398400</v>
      </c>
      <c r="T7" s="30">
        <f t="shared" ref="T7:T15" si="7">(N7+O7)*(P7+Q7)*(N7+P7)*(O7+Q7)</f>
        <v>7926465600</v>
      </c>
      <c r="U7" s="31">
        <f t="shared" ref="U7:U15" si="8">IF((S7&gt;0),S7/T7,"- -")</f>
        <v>0.23748269342139075</v>
      </c>
    </row>
    <row r="8" spans="2:21" ht="18" customHeight="1">
      <c r="B8" s="32" t="str">
        <f>'Data Entry'!A8</f>
        <v>3. Refer to Juvenile Court</v>
      </c>
      <c r="C8" s="33">
        <f>'Data Entry'!C8</f>
        <v>24</v>
      </c>
      <c r="D8" s="34">
        <f>IF((AND(C67&gt;0,C8&gt;0)),(C8/C67),0)</f>
        <v>126.31578947368421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v>
      </c>
      <c r="Q8" s="42">
        <f>(C$67*L67)-C8</f>
        <v>-5</v>
      </c>
      <c r="R8" s="42">
        <f t="shared" si="5"/>
        <v>19.05</v>
      </c>
      <c r="S8" s="30">
        <f t="shared" si="6"/>
        <v>27.432000000000009</v>
      </c>
      <c r="T8" s="30">
        <f t="shared" si="7"/>
        <v>-112.86000000000001</v>
      </c>
      <c r="U8" s="31">
        <f t="shared" si="8"/>
        <v>-0.24306220095693784</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21</v>
      </c>
      <c r="R10" s="42">
        <f t="shared" si="5"/>
        <v>24</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58.333333333333336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10</v>
      </c>
      <c r="R11" s="42">
        <f t="shared" si="5"/>
        <v>24</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49.999999999999993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7.0000000000000018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199.99999999999997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-6.9999999999999991</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6.0000000000000009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0.04</v>
      </c>
      <c r="E42" s="56">
        <f>MAX(C42:D42)</f>
        <v>3.2189999999999999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0.04</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0.04</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0.04</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0.04</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Entry'!E6</f>
        <v>469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Entry'!E7</f>
        <v>2</v>
      </c>
      <c r="F7" s="34">
        <f>IF((AND($E$7&gt;0,$D$66&gt;0)),($E$7/$D$66),0)</f>
        <v>4.2643923240938166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467</v>
      </c>
      <c r="P7" s="42">
        <f t="shared" ref="P7:P15" si="4">C7</f>
        <v>19</v>
      </c>
      <c r="Q7" s="42">
        <f>C6-C7</f>
        <v>3200</v>
      </c>
      <c r="R7" s="42">
        <f t="shared" ref="R7:R15" si="5">SUM(N7:Q7)</f>
        <v>3688</v>
      </c>
      <c r="S7" s="30">
        <f t="shared" ref="S7:S15" si="6">R7*((((N7*Q7)-(O7*P7))^2))</f>
        <v>22554808552</v>
      </c>
      <c r="T7" s="30">
        <f t="shared" ref="T7:T15" si="7">(N7+O7)*(P7+Q7)*(N7+P7)*(O7+Q7)</f>
        <v>116258314977</v>
      </c>
      <c r="U7" s="31">
        <f t="shared" ref="U7:U15" si="8">IF((S7&gt;0),S7/T7,"- -")</f>
        <v>0.19400598190729099</v>
      </c>
    </row>
    <row r="8" spans="2:21" ht="18" customHeight="1">
      <c r="B8" s="32" t="str">
        <f>'Data Entry'!A8</f>
        <v>3. Refer to Juvenile Court</v>
      </c>
      <c r="C8" s="33">
        <f>'Data Entry'!C8</f>
        <v>24</v>
      </c>
      <c r="D8" s="34">
        <f>IF((AND(C67&gt;0,C8&gt;0)),(C8/C67),0)</f>
        <v>126.31578947368421</v>
      </c>
      <c r="E8" s="33">
        <f>'Data Entry'!E8</f>
        <v>3</v>
      </c>
      <c r="F8" s="34">
        <f>IF((AND($E$8&gt;0,$D$67&gt;0)),($E8/$D67),0)</f>
        <v>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-0.95</v>
      </c>
      <c r="P8" s="42">
        <f t="shared" si="4"/>
        <v>24</v>
      </c>
      <c r="Q8" s="42">
        <f>(C$67*L67)-C8</f>
        <v>-5</v>
      </c>
      <c r="R8" s="42">
        <f t="shared" si="5"/>
        <v>21.05</v>
      </c>
      <c r="S8" s="30">
        <f t="shared" si="6"/>
        <v>1280.6819999999991</v>
      </c>
      <c r="T8" s="30">
        <f t="shared" si="7"/>
        <v>-6257.3174999999992</v>
      </c>
      <c r="U8" s="31">
        <f t="shared" si="8"/>
        <v>-0.20466949295764508</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24</v>
      </c>
      <c r="R9" s="42">
        <f t="shared" si="5"/>
        <v>27</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3</v>
      </c>
      <c r="Q10" s="42">
        <f>(C$68*L68)-C10</f>
        <v>21</v>
      </c>
      <c r="R10" s="42">
        <f t="shared" si="5"/>
        <v>27</v>
      </c>
      <c r="S10" s="30">
        <f t="shared" si="6"/>
        <v>2187</v>
      </c>
      <c r="T10" s="30">
        <f t="shared" si="7"/>
        <v>5184</v>
      </c>
      <c r="U10" s="31">
        <f t="shared" si="8"/>
        <v>0.421875</v>
      </c>
    </row>
    <row r="11" spans="2:21" ht="18" customHeight="1">
      <c r="B11" s="32" t="str">
        <f>'Data Entry'!A11</f>
        <v>6. Cases Petitioned (Charge Filed)</v>
      </c>
      <c r="C11" s="33">
        <f>'Data Entry'!C11</f>
        <v>14</v>
      </c>
      <c r="D11" s="34">
        <f>IF(((AND(C68&gt;0,C11&gt;0))),(C11/(C68)),0)</f>
        <v>58.333333333333336</v>
      </c>
      <c r="E11" s="33">
        <f>'Data Entry'!E11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14</v>
      </c>
      <c r="Q11" s="42">
        <f>(C$68*L68)-C11</f>
        <v>10</v>
      </c>
      <c r="R11" s="42">
        <f t="shared" si="5"/>
        <v>27</v>
      </c>
      <c r="S11" s="30">
        <f t="shared" si="6"/>
        <v>972</v>
      </c>
      <c r="T11" s="30">
        <f t="shared" si="7"/>
        <v>12672</v>
      </c>
      <c r="U11" s="31">
        <f t="shared" si="8"/>
        <v>7.6704545454545456E-2</v>
      </c>
    </row>
    <row r="12" spans="2:21" ht="18" customHeight="1">
      <c r="B12" s="32" t="str">
        <f>'Data Entry'!A12</f>
        <v>7. Cases Resulting in Delinquent Findings</v>
      </c>
      <c r="C12" s="33">
        <f>'Data Entry'!C12</f>
        <v>7</v>
      </c>
      <c r="D12" s="34">
        <f>IF(((AND(C69&gt;0,C12&gt;0))),(C12/(C69)),0)</f>
        <v>49.999999999999993</v>
      </c>
      <c r="E12" s="33">
        <f>'Data Entry'!E12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7</v>
      </c>
      <c r="Q12" s="42">
        <f>(C69*L69)-C12</f>
        <v>7.0000000000000018</v>
      </c>
      <c r="R12" s="42">
        <f t="shared" si="5"/>
        <v>16</v>
      </c>
      <c r="S12" s="30">
        <f t="shared" si="6"/>
        <v>3136.0000000000018</v>
      </c>
      <c r="T12" s="30">
        <f t="shared" si="7"/>
        <v>1764.0000000000007</v>
      </c>
      <c r="U12" s="31">
        <f t="shared" si="8"/>
        <v>1.7777777777777781</v>
      </c>
    </row>
    <row r="13" spans="2:21" ht="18" customHeight="1">
      <c r="B13" s="32" t="str">
        <f>'Data Entry'!A13</f>
        <v>8. Cases Resulting in Probation Placement</v>
      </c>
      <c r="C13" s="33">
        <f>'Data Entry'!C13</f>
        <v>14</v>
      </c>
      <c r="D13" s="34">
        <f>IF(((AND(C70&gt;0,C13&gt;0))),(C13/(C70)),0)</f>
        <v>199.99999999999997</v>
      </c>
      <c r="E13" s="33">
        <f>'Data Entry'!E13</f>
        <v>3</v>
      </c>
      <c r="F13" s="34">
        <f>IF(((AND($D$70&gt;0,$E$13&gt;0))),($E$13/($D$70)),0)</f>
        <v>150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-1</v>
      </c>
      <c r="P13" s="42">
        <f t="shared" si="4"/>
        <v>14</v>
      </c>
      <c r="Q13" s="42">
        <f>(C70*L70)-C13</f>
        <v>-6.9999999999999991</v>
      </c>
      <c r="R13" s="42">
        <f t="shared" si="5"/>
        <v>9</v>
      </c>
      <c r="S13" s="30">
        <f t="shared" si="6"/>
        <v>440.99999999999955</v>
      </c>
      <c r="T13" s="30">
        <f t="shared" si="7"/>
        <v>-1904</v>
      </c>
      <c r="U13" s="31">
        <f t="shared" si="8"/>
        <v>-0.23161764705882329</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v>
      </c>
      <c r="Q14" s="42">
        <f>(C70*L70)-C14</f>
        <v>6.0000000000000009</v>
      </c>
      <c r="R14" s="42">
        <f t="shared" si="5"/>
        <v>9</v>
      </c>
      <c r="S14" s="30">
        <f t="shared" si="6"/>
        <v>36</v>
      </c>
      <c r="T14" s="30">
        <f t="shared" si="7"/>
        <v>112.00000000000001</v>
      </c>
      <c r="U14" s="31">
        <f t="shared" si="8"/>
        <v>0.3214285714285714</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14.000000000000002</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0.46899999999999997</v>
      </c>
      <c r="E42" s="56">
        <f>MAX(C42:D42)</f>
        <v>3.2189999999999999</v>
      </c>
      <c r="G42" s="1" t="str">
        <f>B42</f>
        <v>per 1000 youth</v>
      </c>
      <c r="L42" s="57">
        <v>1000</v>
      </c>
      <c r="M42" s="57"/>
      <c r="R42" s="49"/>
    </row>
    <row r="43" spans="2:18" ht="15" hidden="1" customHeight="1">
      <c r="B43" s="49" t="s">
        <v>87</v>
      </c>
      <c r="C43" s="56">
        <f>C7/100</f>
        <v>0.19</v>
      </c>
      <c r="D43" s="56">
        <f>E7/100</f>
        <v>0.02</v>
      </c>
      <c r="E43" s="56">
        <f>MAX(C43:D43,0)</f>
        <v>0.19</v>
      </c>
      <c r="G43" s="1" t="str">
        <f>B43</f>
        <v>per 100 arrests</v>
      </c>
      <c r="L43" s="57">
        <v>100</v>
      </c>
      <c r="M43" s="57"/>
      <c r="R43" s="49"/>
    </row>
    <row r="44" spans="2:18" ht="15" hidden="1" customHeight="1">
      <c r="B44" s="49" t="s">
        <v>88</v>
      </c>
      <c r="C44" s="56">
        <f>C8/100</f>
        <v>0.24</v>
      </c>
      <c r="D44" s="56">
        <f>E8/100</f>
        <v>0.03</v>
      </c>
      <c r="E44" s="56">
        <f>MAX(C44:D44,0)</f>
        <v>0.24</v>
      </c>
      <c r="G44" s="1" t="str">
        <f>B44</f>
        <v>per 100 referrals</v>
      </c>
      <c r="L44" s="57">
        <v>100</v>
      </c>
      <c r="M44" s="57"/>
      <c r="R44" s="49"/>
    </row>
    <row r="45" spans="2:18" ht="15" hidden="1" customHeight="1">
      <c r="B45" s="49" t="s">
        <v>89</v>
      </c>
      <c r="C45" s="49">
        <f>C11/100</f>
        <v>0.14000000000000001</v>
      </c>
      <c r="D45" s="49">
        <f>E11/100</f>
        <v>0.02</v>
      </c>
      <c r="E45" s="56">
        <f>MAX(C45:D45,0)</f>
        <v>0.14000000000000001</v>
      </c>
      <c r="G45" s="1" t="str">
        <f>B45</f>
        <v>per 100 youth petitioned</v>
      </c>
      <c r="L45" s="57">
        <v>100</v>
      </c>
      <c r="M45" s="57"/>
      <c r="R45" s="49"/>
    </row>
    <row r="46" spans="2:18" ht="15" hidden="1" customHeight="1">
      <c r="B46" s="49" t="s">
        <v>90</v>
      </c>
      <c r="C46" s="49">
        <f>C12/100</f>
        <v>7.0000000000000007E-2</v>
      </c>
      <c r="D46" s="49">
        <f>E12/100</f>
        <v>0.02</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0.46899999999999997</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0.02</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0.03</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0.02</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0.02</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0.46899999999999997</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0.02</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0.03</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0.02</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0.02</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0.46899999999999997</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0.02</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0.03</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0.02</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0.46899999999999997</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0.02</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0.03</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0.02</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0.02</v>
      </c>
      <c r="E70" s="56">
        <f>MAX(C70:D70)</f>
        <v>7.0000000000000007E-2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19</v>
      </c>
      <c r="Q7" s="42">
        <f>C6-C7</f>
        <v>3200</v>
      </c>
      <c r="R7" s="42">
        <f t="shared" ref="R7:R15" si="5">SUM(N7:Q7)</f>
        <v>3219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v>
      </c>
      <c r="D8" s="34">
        <f>IF((AND(C67&gt;0,C8&gt;0)),(C8/C67),0)</f>
        <v>126.31578947368421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v>
      </c>
      <c r="Q8" s="42">
        <f>(C$67*L67)-C8</f>
        <v>-5</v>
      </c>
      <c r="R8" s="42">
        <f t="shared" si="5"/>
        <v>19.05</v>
      </c>
      <c r="S8" s="30">
        <f t="shared" si="6"/>
        <v>27.432000000000009</v>
      </c>
      <c r="T8" s="30">
        <f t="shared" si="7"/>
        <v>-112.86000000000001</v>
      </c>
      <c r="U8" s="31">
        <f t="shared" si="8"/>
        <v>-0.24306220095693784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21</v>
      </c>
      <c r="R10" s="42">
        <f t="shared" si="5"/>
        <v>24</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58.333333333333336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10</v>
      </c>
      <c r="R11" s="42">
        <f t="shared" si="5"/>
        <v>24</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49.999999999999993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7.0000000000000018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199.99999999999997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-6.9999999999999991</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6.0000000000000009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0</v>
      </c>
      <c r="E42" s="56">
        <f>MAX(C42:D42)</f>
        <v>3.2189999999999999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0</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0</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0</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0</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3219</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19</v>
      </c>
      <c r="D7" s="34">
        <f>IF((AND(C66&gt;0,C7&gt;0)),(C7/C66),0)</f>
        <v>5.9024541783162476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19</v>
      </c>
      <c r="Q7" s="42">
        <f>C6-C7</f>
        <v>3200</v>
      </c>
      <c r="R7" s="42">
        <f t="shared" ref="R7:R15" si="5">SUM(N7:Q7)</f>
        <v>3247</v>
      </c>
      <c r="S7" s="30">
        <f t="shared" ref="S7:S15" si="6">R7*((((N7*Q7)-(O7*P7))^2))</f>
        <v>918978928</v>
      </c>
      <c r="T7" s="30">
        <f t="shared" ref="T7:T15" si="7">(N7+O7)*(P7+Q7)*(N7+P7)*(O7+Q7)</f>
        <v>5527975824</v>
      </c>
      <c r="U7" s="31">
        <f t="shared" ref="U7:U15" si="8">IF((S7&gt;0),S7/T7,"- -")</f>
        <v>0.16624148825148696</v>
      </c>
    </row>
    <row r="8" spans="2:21" ht="18" customHeight="1">
      <c r="B8" s="32" t="str">
        <f>'Data Entry'!A8</f>
        <v>3. Refer to Juvenile Court</v>
      </c>
      <c r="C8" s="33">
        <f>'Data Entry'!C8</f>
        <v>24</v>
      </c>
      <c r="D8" s="34">
        <f>IF((AND(C67&gt;0,C8&gt;0)),(C8/C67),0)</f>
        <v>126.31578947368421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v>
      </c>
      <c r="Q8" s="42">
        <f>(C$67*L67)-C8</f>
        <v>-5</v>
      </c>
      <c r="R8" s="42">
        <f t="shared" si="5"/>
        <v>19.05</v>
      </c>
      <c r="S8" s="30">
        <f t="shared" si="6"/>
        <v>27.432000000000009</v>
      </c>
      <c r="T8" s="30">
        <f t="shared" si="7"/>
        <v>-112.86000000000001</v>
      </c>
      <c r="U8" s="31">
        <f t="shared" si="8"/>
        <v>-0.24306220095693784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12.5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21</v>
      </c>
      <c r="R10" s="42">
        <f t="shared" si="5"/>
        <v>24</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58.333333333333336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10</v>
      </c>
      <c r="R11" s="42">
        <f t="shared" si="5"/>
        <v>24</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49.999999999999993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7.0000000000000018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199.99999999999997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-6.9999999999999991</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14.285714285714285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6.0000000000000009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3.2189999999999999</v>
      </c>
      <c r="D42" s="56">
        <f>E6/1000</f>
        <v>2.8000000000000001E-2</v>
      </c>
      <c r="E42" s="56">
        <f>MAX(C42:D42)</f>
        <v>3.2189999999999999</v>
      </c>
      <c r="G42" s="1" t="str">
        <f>B42</f>
        <v>per 1000 youth</v>
      </c>
      <c r="L42" s="57">
        <v>1000</v>
      </c>
      <c r="M42" s="57"/>
      <c r="R42" s="49"/>
    </row>
    <row r="43" spans="2:18" ht="15" hidden="1" customHeight="1">
      <c r="B43" s="49" t="s">
        <v>87</v>
      </c>
      <c r="C43" s="56">
        <f>C7/100</f>
        <v>0.19</v>
      </c>
      <c r="D43" s="56">
        <f>E7/100</f>
        <v>0</v>
      </c>
      <c r="E43" s="56">
        <f>MAX(C43:D43,0)</f>
        <v>0.19</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3.2189999999999999</v>
      </c>
      <c r="D48" s="56">
        <f>D42</f>
        <v>2.8000000000000001E-2</v>
      </c>
      <c r="E48" s="56">
        <f>MAX(C48:D48)</f>
        <v>3.2189999999999999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0.19</v>
      </c>
      <c r="D49" s="49">
        <f t="shared" si="9"/>
        <v>0</v>
      </c>
      <c r="E49" s="49">
        <f>MAX(C49:D49)</f>
        <v>0.19</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3.2189999999999999</v>
      </c>
      <c r="D54" s="56">
        <f>D48</f>
        <v>2.8000000000000001E-2</v>
      </c>
      <c r="E54" s="56">
        <f>MAX(C54:D54)</f>
        <v>3.2189999999999999</v>
      </c>
      <c r="G54" s="1" t="str">
        <f>G48</f>
        <v>per 1000 youth</v>
      </c>
      <c r="L54" s="58">
        <f>L48</f>
        <v>1000</v>
      </c>
      <c r="M54" s="58"/>
    </row>
    <row r="55" spans="2:18" ht="15" hidden="1" customHeight="1">
      <c r="B55" s="49" t="str">
        <f t="shared" ref="B55:D56" si="10">IF(($E49&gt;0),B49,B48)</f>
        <v>per 100 arrests</v>
      </c>
      <c r="C55" s="49">
        <f t="shared" si="10"/>
        <v>0.19</v>
      </c>
      <c r="D55" s="49">
        <f t="shared" si="10"/>
        <v>0</v>
      </c>
      <c r="E55" s="49">
        <f>MAX(C55:D55)</f>
        <v>0.19</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3.2189999999999999</v>
      </c>
      <c r="D60" s="56">
        <f>D54</f>
        <v>2.8000000000000001E-2</v>
      </c>
      <c r="E60" s="56">
        <f>MAX(C60:D60)</f>
        <v>3.2189999999999999</v>
      </c>
      <c r="G60" s="1" t="str">
        <f>G54</f>
        <v>per 1000 youth</v>
      </c>
      <c r="L60" s="58">
        <f>L54</f>
        <v>1000</v>
      </c>
      <c r="M60" s="58"/>
    </row>
    <row r="61" spans="2:18" ht="15" hidden="1" customHeight="1">
      <c r="B61" s="49" t="str">
        <f t="shared" ref="B61:D62" si="11">IF(($E55&gt;0),B55,B54)</f>
        <v>per 100 arrests</v>
      </c>
      <c r="C61" s="49">
        <f t="shared" si="11"/>
        <v>0.19</v>
      </c>
      <c r="D61" s="49">
        <f t="shared" si="11"/>
        <v>0</v>
      </c>
      <c r="E61" s="49">
        <f>MAX(C61:D61)</f>
        <v>0.19</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3.2189999999999999</v>
      </c>
      <c r="D66" s="56">
        <f>D60</f>
        <v>2.8000000000000001E-2</v>
      </c>
      <c r="E66" s="56">
        <f>MAX(C66:D66)</f>
        <v>3.2189999999999999</v>
      </c>
      <c r="G66" s="1" t="str">
        <f>G60</f>
        <v>per 1000 youth</v>
      </c>
      <c r="L66" s="58">
        <f>L60</f>
        <v>1000</v>
      </c>
      <c r="M66" s="58">
        <f>IF((B66=G66),1,2)</f>
        <v>1</v>
      </c>
    </row>
    <row r="67" spans="2:13" ht="15" hidden="1" customHeight="1">
      <c r="B67" s="49" t="str">
        <f t="shared" ref="B67:D68" si="12">IF(($E61&gt;0),B61,B60)</f>
        <v>per 100 arrests</v>
      </c>
      <c r="C67" s="49">
        <f t="shared" si="12"/>
        <v>0.19</v>
      </c>
      <c r="D67" s="49">
        <f t="shared" si="12"/>
        <v>0</v>
      </c>
      <c r="E67" s="49">
        <f>MAX(C67:D67)</f>
        <v>0.19</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U47JMPN4QEAR-1806752177-35347</_dlc_DocId>
    <_dlc_DocIdUrl xmlns="ac3811b5-0f3e-49e2-ba69-f2ffa0c782af">
      <Url>https://michiganphi.sharepoint.com/sites/CMDMC/_layouts/15/DocIdRedir.aspx?ID=U47JMPN4QEAR-1806752177-35347</Url>
      <Description>U47JMPN4QEAR-1806752177-35347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CF6C29-89E0-46B8-9CFE-A74334DC01FE}"/>
</file>

<file path=customXml/itemProps2.xml><?xml version="1.0" encoding="utf-8"?>
<ds:datastoreItem xmlns:ds="http://schemas.openxmlformats.org/officeDocument/2006/customXml" ds:itemID="{91BFF63A-DDA2-4C0E-B980-6E1F2280DFC4}">
  <ds:schemaRefs>
    <ds:schemaRef ds:uri="http://schemas.microsoft.com/sharepoint/v3/contenttype/forms"/>
  </ds:schemaRefs>
</ds:datastoreItem>
</file>

<file path=customXml/itemProps3.xml><?xml version="1.0" encoding="utf-8"?>
<ds:datastoreItem xmlns:ds="http://schemas.openxmlformats.org/officeDocument/2006/customXml" ds:itemID="{0AA19459-8B26-4A52-8050-5AA3A7D26AD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14A32F0A-E1E0-4521-8274-34DD4C31CA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6d0a4ec1-9473-4809-a0bf-92c60653dc95</vt:lpwstr>
  </property>
</Properties>
</file>