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0" documentId="8_{745CBCD4-4C1A-4297-B1C3-77D49959859D}" xr6:coauthVersionLast="47" xr6:coauthVersionMax="47" xr10:uidLastSave="{8A0D8131-C2C4-47CD-9321-FC2ABF021DE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8" i="3" s="1"/>
  <c r="G54" i="3" s="1"/>
  <c r="G60" i="3" s="1"/>
  <c r="G66" i="3" s="1"/>
  <c r="G43" i="3"/>
  <c r="G49" i="3"/>
  <c r="G55" i="3" s="1"/>
  <c r="G61" i="3" s="1"/>
  <c r="G67" i="3" s="1"/>
  <c r="G44" i="3"/>
  <c r="G50" i="3" s="1"/>
  <c r="G56" i="3" s="1"/>
  <c r="G62" i="3" s="1"/>
  <c r="G68" i="3" s="1"/>
  <c r="G45" i="3"/>
  <c r="G46" i="3"/>
  <c r="L48" i="3"/>
  <c r="G51" i="3"/>
  <c r="G57" i="3" s="1"/>
  <c r="G63" i="3" s="1"/>
  <c r="G69" i="3" s="1"/>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50" i="6" s="1"/>
  <c r="G56" i="6" s="1"/>
  <c r="G62" i="6" s="1"/>
  <c r="G68" i="6" s="1"/>
  <c r="G45" i="6"/>
  <c r="G51" i="6"/>
  <c r="G57" i="6" s="1"/>
  <c r="G63" i="6" s="1"/>
  <c r="G69" i="6" s="1"/>
  <c r="G46" i="6"/>
  <c r="G52" i="6"/>
  <c r="G58" i="6" s="1"/>
  <c r="G64" i="6" s="1"/>
  <c r="G70" i="6" s="1"/>
  <c r="L48" i="6"/>
  <c r="L54" i="6" s="1"/>
  <c r="L60" i="6" s="1"/>
  <c r="L66"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5"/>
  <c r="M66" i="5"/>
  <c r="F27" i="4"/>
  <c r="M66" i="4"/>
  <c r="F27" i="2"/>
  <c r="M66" i="2"/>
  <c r="F27" i="6"/>
  <c r="M66" i="6"/>
  <c r="M66" i="8"/>
  <c r="F27" i="8"/>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O25" i="5" s="1"/>
  <c r="D43" i="6"/>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3" i="7"/>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D64" i="5"/>
  <c r="E64" i="5" s="1"/>
  <c r="L64" i="3"/>
  <c r="B56" i="8"/>
  <c r="C57" i="8"/>
  <c r="L56"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Q8" i="13"/>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D63" i="8"/>
  <c r="E63" i="3"/>
  <c r="C69" i="3" s="1"/>
  <c r="D15" i="3" s="1"/>
  <c r="D70" i="6"/>
  <c r="F13" i="6" s="1"/>
  <c r="L69" i="7"/>
  <c r="C69" i="7"/>
  <c r="D12" i="7" s="1"/>
  <c r="C63" i="8"/>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2" i="3" l="1"/>
  <c r="O14" i="6"/>
  <c r="B69" i="6"/>
  <c r="M69" i="6" s="1"/>
  <c r="B69" i="3"/>
  <c r="M69" i="3" s="1"/>
  <c r="D69" i="3"/>
  <c r="E69" i="3" s="1"/>
  <c r="E63" i="8"/>
  <c r="D69" i="8" s="1"/>
  <c r="F15" i="8" s="1"/>
  <c r="F33" i="3"/>
  <c r="F34" i="3"/>
  <c r="Q13" i="8"/>
  <c r="D13" i="3"/>
  <c r="O13" i="6"/>
  <c r="F14" i="6"/>
  <c r="E70" i="6"/>
  <c r="E70" i="3"/>
  <c r="O13" i="3"/>
  <c r="L69" i="3"/>
  <c r="Q12" i="3" s="1"/>
  <c r="F14" i="3"/>
  <c r="Q12" i="7"/>
  <c r="E69" i="7"/>
  <c r="D15" i="7"/>
  <c r="Q15" i="7"/>
  <c r="D13" i="6"/>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3" i="4" l="1"/>
  <c r="J13" i="4" s="1"/>
  <c r="M13" i="4" s="1"/>
  <c r="G13" i="4" s="1"/>
  <c r="G14" i="16" s="1"/>
  <c r="F12" i="8"/>
  <c r="F32" i="6"/>
  <c r="F15" i="3"/>
  <c r="R14" i="3"/>
  <c r="S14" i="3" s="1"/>
  <c r="U14" i="3" s="1"/>
  <c r="J14" i="3" s="1"/>
  <c r="M14" i="3" s="1"/>
  <c r="G14" i="3" s="1"/>
  <c r="I15" i="16" s="1"/>
  <c r="K12" i="7"/>
  <c r="F12" i="3"/>
  <c r="F35" i="3"/>
  <c r="R14" i="6"/>
  <c r="S14" i="6" s="1"/>
  <c r="U14" i="6" s="1"/>
  <c r="J14" i="6" s="1"/>
  <c r="M14" i="6" s="1"/>
  <c r="G14" i="6" s="1"/>
  <c r="M15" i="13" s="1"/>
  <c r="F35" i="6"/>
  <c r="O15" i="3"/>
  <c r="F32" i="3"/>
  <c r="B69" i="8"/>
  <c r="M69" i="8" s="1"/>
  <c r="C69" i="8"/>
  <c r="E69" i="8" s="1"/>
  <c r="L69" i="8"/>
  <c r="O15" i="8" s="1"/>
  <c r="R13" i="8"/>
  <c r="S13" i="8" s="1"/>
  <c r="T13" i="6"/>
  <c r="R12" i="7"/>
  <c r="S12" i="7" s="1"/>
  <c r="T12" i="7"/>
  <c r="U14" i="4"/>
  <c r="J14" i="4" s="1"/>
  <c r="M14" i="4" s="1"/>
  <c r="G14" i="4" s="1"/>
  <c r="G15" i="16" s="1"/>
  <c r="T14" i="6"/>
  <c r="R13" i="6"/>
  <c r="S13" i="6" s="1"/>
  <c r="U13" i="6" s="1"/>
  <c r="J13" i="6" s="1"/>
  <c r="M13" i="6" s="1"/>
  <c r="G13" i="6" s="1"/>
  <c r="G13" i="9" s="1"/>
  <c r="R15" i="7"/>
  <c r="S15" i="7" s="1"/>
  <c r="U15" i="7" s="1"/>
  <c r="J15" i="7" s="1"/>
  <c r="M15" i="7" s="1"/>
  <c r="K13" i="6"/>
  <c r="Q15" i="3"/>
  <c r="O12" i="3"/>
  <c r="R12" i="3" s="1"/>
  <c r="S12" i="3" s="1"/>
  <c r="U12" i="3" s="1"/>
  <c r="J12" i="3" s="1"/>
  <c r="K13" i="3"/>
  <c r="T15" i="7"/>
  <c r="O12" i="6"/>
  <c r="U10" i="4"/>
  <c r="J10" i="4" s="1"/>
  <c r="M10" i="4" s="1"/>
  <c r="G10" i="4" s="1"/>
  <c r="G11" i="16" s="1"/>
  <c r="K14" i="6"/>
  <c r="D15" i="6"/>
  <c r="R14" i="8"/>
  <c r="S14" i="8" s="1"/>
  <c r="T13" i="8"/>
  <c r="E69" i="6"/>
  <c r="T13" i="3"/>
  <c r="K14" i="3"/>
  <c r="T14" i="3"/>
  <c r="K15" i="7"/>
  <c r="R13" i="3"/>
  <c r="S13" i="3" s="1"/>
  <c r="U13" i="3" s="1"/>
  <c r="J13" i="3" s="1"/>
  <c r="M13" i="3" s="1"/>
  <c r="G13" i="3" s="1"/>
  <c r="O15" i="6"/>
  <c r="Q12" i="6"/>
  <c r="Q15" i="6"/>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L9" i="4"/>
  <c r="O10" i="16" s="1"/>
  <c r="R13" i="7"/>
  <c r="S13" i="7" s="1"/>
  <c r="Q13" i="2"/>
  <c r="U9" i="3"/>
  <c r="J9" i="3" s="1"/>
  <c r="L9" i="3" s="1"/>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D12" i="8" l="1"/>
  <c r="I15" i="13"/>
  <c r="N30" i="3"/>
  <c r="E14" i="9"/>
  <c r="L13" i="4"/>
  <c r="O14" i="16" s="1"/>
  <c r="L14" i="3"/>
  <c r="P15" i="16" s="1"/>
  <c r="F35" i="8"/>
  <c r="F32" i="8"/>
  <c r="D15" i="8"/>
  <c r="L14" i="4"/>
  <c r="O15" i="16" s="1"/>
  <c r="T15" i="3"/>
  <c r="N30" i="4"/>
  <c r="U13" i="8"/>
  <c r="J13" i="8" s="1"/>
  <c r="M13" i="8" s="1"/>
  <c r="G13" i="8" s="1"/>
  <c r="K14" i="16" s="1"/>
  <c r="Q15" i="8"/>
  <c r="R15" i="8" s="1"/>
  <c r="S15" i="8" s="1"/>
  <c r="Q12" i="8"/>
  <c r="O12" i="8"/>
  <c r="L13" i="3"/>
  <c r="P14" i="16" s="1"/>
  <c r="L10" i="4"/>
  <c r="O11" i="16" s="1"/>
  <c r="D10" i="9"/>
  <c r="G11" i="13"/>
  <c r="L15" i="7"/>
  <c r="S16" i="16" s="1"/>
  <c r="U12" i="7"/>
  <c r="J12" i="7" s="1"/>
  <c r="U13" i="7"/>
  <c r="J13" i="7" s="1"/>
  <c r="M13" i="7" s="1"/>
  <c r="K15" i="3"/>
  <c r="M14" i="13"/>
  <c r="T12" i="6"/>
  <c r="L13" i="6"/>
  <c r="R14" i="16" s="1"/>
  <c r="R12" i="6"/>
  <c r="S12" i="6" s="1"/>
  <c r="U12" i="6" s="1"/>
  <c r="J12" i="6" s="1"/>
  <c r="M12" i="6" s="1"/>
  <c r="G12" i="6" s="1"/>
  <c r="T12" i="3"/>
  <c r="R15" i="3"/>
  <c r="S15" i="3" s="1"/>
  <c r="U15" i="3" s="1"/>
  <c r="J15" i="3" s="1"/>
  <c r="M15" i="3" s="1"/>
  <c r="G15" i="3" s="1"/>
  <c r="I16" i="16" s="1"/>
  <c r="K12" i="3"/>
  <c r="L12" i="3" s="1"/>
  <c r="P13" i="16" s="1"/>
  <c r="K12" i="6"/>
  <c r="K15" i="6"/>
  <c r="U14" i="8"/>
  <c r="J14" i="8" s="1"/>
  <c r="N30" i="8" s="1"/>
  <c r="R15" i="6"/>
  <c r="S15" i="6" s="1"/>
  <c r="U15" i="6" s="1"/>
  <c r="J15" i="6" s="1"/>
  <c r="T15" i="6"/>
  <c r="U12" i="13"/>
  <c r="M11" i="9"/>
  <c r="T13" i="2"/>
  <c r="U8" i="6"/>
  <c r="J8" i="6" s="1"/>
  <c r="M8" i="6" s="1"/>
  <c r="G8" i="6" s="1"/>
  <c r="M9" i="13" s="1"/>
  <c r="R13" i="2"/>
  <c r="S13" i="2" s="1"/>
  <c r="U13" i="2" s="1"/>
  <c r="J13" i="2" s="1"/>
  <c r="M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G13" i="2" l="1"/>
  <c r="E14" i="16" s="1"/>
  <c r="V14" i="13"/>
  <c r="U10" i="7"/>
  <c r="J10" i="7" s="1"/>
  <c r="L10" i="7" s="1"/>
  <c r="S11" i="16" s="1"/>
  <c r="M13" i="9"/>
  <c r="N13" i="9"/>
  <c r="N14" i="9"/>
  <c r="U14" i="13"/>
  <c r="V15" i="13"/>
  <c r="U15" i="13"/>
  <c r="M14" i="9"/>
  <c r="L13" i="8"/>
  <c r="T14" i="16" s="1"/>
  <c r="U11" i="13"/>
  <c r="M10" i="9"/>
  <c r="P13" i="9"/>
  <c r="K15" i="8"/>
  <c r="I13" i="9"/>
  <c r="T15" i="8"/>
  <c r="U15" i="8" s="1"/>
  <c r="J15" i="8" s="1"/>
  <c r="M15" i="8" s="1"/>
  <c r="G15" i="8" s="1"/>
  <c r="K16" i="16" s="1"/>
  <c r="R12" i="8"/>
  <c r="S12" i="8" s="1"/>
  <c r="T12" i="8"/>
  <c r="K12" i="8"/>
  <c r="Y16" i="13"/>
  <c r="Q15" i="9"/>
  <c r="Q14" i="13"/>
  <c r="M12" i="7"/>
  <c r="L12" i="7"/>
  <c r="L13" i="7"/>
  <c r="S14" i="16" s="1"/>
  <c r="X14" i="13"/>
  <c r="U11" i="7"/>
  <c r="J11" i="7" s="1"/>
  <c r="L11" i="7" s="1"/>
  <c r="S12" i="16" s="1"/>
  <c r="L12" i="6"/>
  <c r="R13" i="16" s="1"/>
  <c r="L15" i="6"/>
  <c r="R16" i="16" s="1"/>
  <c r="I16" i="13"/>
  <c r="L15" i="3"/>
  <c r="P16" i="16" s="1"/>
  <c r="E15" i="9"/>
  <c r="M14" i="8"/>
  <c r="G14" i="8" s="1"/>
  <c r="K15" i="16" s="1"/>
  <c r="L14" i="8"/>
  <c r="T15" i="16" s="1"/>
  <c r="M15" i="6"/>
  <c r="G15" i="6" s="1"/>
  <c r="G15" i="9" s="1"/>
  <c r="L8" i="6"/>
  <c r="R9" i="16" s="1"/>
  <c r="L15" i="5"/>
  <c r="Q16" i="16" s="1"/>
  <c r="T9" i="13"/>
  <c r="L8" i="9"/>
  <c r="X15" i="13"/>
  <c r="P14" i="9"/>
  <c r="G8" i="9"/>
  <c r="Q14" i="9"/>
  <c r="Y15" i="13"/>
  <c r="E9" i="13"/>
  <c r="L10" i="2"/>
  <c r="N11" i="16" s="1"/>
  <c r="M10" i="7"/>
  <c r="L11" i="6"/>
  <c r="R12" i="16" s="1"/>
  <c r="I10" i="16"/>
  <c r="C8" i="9"/>
  <c r="E9" i="9"/>
  <c r="G12"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R13" i="9" l="1"/>
  <c r="L15" i="8"/>
  <c r="T16" i="16" s="1"/>
  <c r="U12" i="8"/>
  <c r="J12" i="8" s="1"/>
  <c r="M12" i="8" s="1"/>
  <c r="G12" i="8" s="1"/>
  <c r="K13" i="16" s="1"/>
  <c r="Z14" i="13"/>
  <c r="Q15" i="13"/>
  <c r="M11" i="7"/>
  <c r="Y14" i="13"/>
  <c r="Q13" i="9"/>
  <c r="R14" i="9"/>
  <c r="S13" i="16"/>
  <c r="Q12" i="9"/>
  <c r="Y13" i="13"/>
  <c r="M16" i="13"/>
  <c r="P15" i="9"/>
  <c r="P12" i="9"/>
  <c r="I14" i="9"/>
  <c r="X16" i="13"/>
  <c r="X13" i="13"/>
  <c r="N15" i="9"/>
  <c r="V16"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I9" i="9"/>
  <c r="Q10" i="13"/>
  <c r="Q11" i="9"/>
  <c r="Y12" i="13"/>
  <c r="D15" i="9"/>
  <c r="G16" i="13"/>
  <c r="M10" i="8"/>
  <c r="G10" i="8" s="1"/>
  <c r="K11" i="16" s="1"/>
  <c r="L10" i="8"/>
  <c r="T11" i="16" s="1"/>
  <c r="L11" i="8"/>
  <c r="T12" i="16" s="1"/>
  <c r="M11" i="8"/>
  <c r="G11" i="8" s="1"/>
  <c r="K12" i="16" s="1"/>
  <c r="Z16" i="13" l="1"/>
  <c r="R15" i="9"/>
  <c r="L12" i="8"/>
  <c r="Z13" i="13" s="1"/>
  <c r="I12" i="9"/>
  <c r="Q13" i="13"/>
  <c r="R9" i="9"/>
  <c r="Z10" i="13"/>
  <c r="R10" i="9"/>
  <c r="Z11" i="13"/>
  <c r="I11" i="9"/>
  <c r="Q12" i="13"/>
  <c r="I10" i="9"/>
  <c r="Q11" i="13"/>
  <c r="R11" i="9"/>
  <c r="Z12" i="13"/>
  <c r="T13" i="16" l="1"/>
  <c r="R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<sst xmlns="http://schemas.openxmlformats.org/spreadsheetml/2006/main" count="654" uniqueCount="141">
  <si>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</si>
  <si>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</si>
  <si>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</si>
  <si>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</si>
  <si>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</si>
  <si>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</si>
  <si>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</si>
  <si>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</si>
  <si>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</si>
  <si>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</si>
  <si>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</si>
  <si>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</si>
  <si>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</si>
  <si>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</si>
  <si>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</si>
  <si>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</si>
  <si>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</si>
  <si>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</si>
  <si>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</si>
  <si>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</si>
  <si>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</si>
  <si>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</si>
  <si>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</si>
  <si>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</si>
  <si>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</si>
  <si>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</si>
  <si>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</si>
  <si>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</si>
  <si>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</si>
  <si>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</si>
  <si>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</si>
  <si>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</si>
  <si>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</si>
  <si>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</si>
  <si>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</si>
  <si>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</si>
  <si>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</si>
  <si>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</si>
  <si>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</si>
  <si>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</si>
  <si>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</si>
  <si>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</si>
  <si>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</si>
  <si>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</si>
  <si>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</si>
  <si>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</si>
  <si>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</si>
  <si>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</si>
  <si>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</si>
  <si>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</si>
  <si>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</si>
  <si>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</si>
  <si>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</si>
  <si>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</si>
  <si>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</si>
  <si>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</si>
  <si>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</si>
  <si>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</si>
  <si>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</si>
  <si>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</si>
  <si>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</si>
  <si>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</si>
  <si>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</si>
  <si>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</si>
  <si>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</si>
  <si>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</si>
  <si>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</si>
  <si>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</si>
  <si>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</si>
  <si>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</si>
  <si>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</si>
  <si>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</si>
  <si>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</si>
  <si>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</si>
  <si>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</si>
  <si>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</si>
  <si>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</si>
  <si>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</si>
  <si>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</si>
  <si>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</si>
  <si>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</si>
  <si>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</si>
  <si>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</si>
  <si>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</si>
  <si>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</si>
  <si>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</si>
  <si>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</si>
  <si>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</si>
  <si>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</si>
  <si>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</si>
  <si>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</si>
  <si>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</si>
  <si>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</si>
  <si>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</si>
  <si>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</si>
  <si>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</si>
  <si>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</si>
  <si>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</si>
  <si>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</si>
  <si>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</si>
  <si>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</si>
  <si>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</si>
  <si>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</si>
  <si>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</si>
  <si>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</si>
  <si>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</si>
  <si>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</si>
  <si>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</si>
  <si>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</si>
  <si>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</si>
  <si>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</si>
  <si>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</si>
  <si>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</si>
  <si>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</si>
  <si>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</si>
  <si>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</si>
  <si>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</si>
  <si>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</si>
  <si>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</si>
  <si>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</si>
  <si>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</si>
  <si>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</si>
  <si>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</si>
  <si>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</si>
  <si>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</si>
  <si>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</si>
  <si>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</si>
  <si>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</si>
  <si>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</si>
  <si>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</si>
  <si>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</si>
  <si>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</si>
  <si>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</si>
  <si>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</si>
  <si>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</si>
  <si>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</si>
  <si>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Gratiot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</si>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</sst>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Gratiot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N=28</c:v>
                </c:pt>
                <c:pt idx="3">
                  <c:v>Petitions, total N=31</c:v>
                </c:pt>
                <c:pt idx="4">
                  <c:v>Detentions, total N=4</c:v>
                </c:pt>
                <c:pt idx="5">
                  <c:v>Referrals, total N=71</c:v>
                </c:pt>
                <c:pt idx="6">
                  <c:v>Arrests, total N=17</c:v>
                </c:pt>
                <c:pt idx="7">
                  <c:v>Population, total N=3687</c:v>
                </c:pt>
              </c:strCache>
            </c:strRef>
          </c:cat>
          <c:val>
            <c:numRef>
              <c:f>'Stacked 100%'!$B$7:$B$14</c:f>
              <c:numCache>
                <c:formatCode>0%</c:formatCode>
                <c:ptCount val="8"/>
                <c:pt idx="0">
                  <c:v>0</c:v>
                </c:pt>
                <c:pt idx="1">
                  <c:v>0</c:v>
                </c:pt>
                <c:pt idx="2">
                  <c:v>0</c:v>
                </c:pt>
                <c:pt idx="3">
                  <c:v>0</c:v>
                </c:pt>
                <c:pt idx="4">
                  <c:v>0</c:v>
                </c:pt>
                <c:pt idx="5">
                  <c:v>0</c:v>
                </c:pt>
                <c:pt idx="6">
                  <c:v>0.11764705882352941</c:v>
                </c:pt>
                <c:pt idx="7">
                  <c:v>1.5188500135611608E-2</c:v>
                </c:pt>
              </c:numCache>
            </c:numRef>
          </c:val>
          <c:extLst>
            <c:ext xmlns:c16="http://schemas.microsoft.com/office/drawing/2014/chart" uri="{C3380CC4-5D6E-409C-BE32-E72D297353CC}">
              <c16:uniqueId val="{00000000-4A53-488F-B775-C77A398BE5A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N=28</c:v>
                </c:pt>
                <c:pt idx="3">
                  <c:v>Petitions, total N=31</c:v>
                </c:pt>
                <c:pt idx="4">
                  <c:v>Detentions, total N=4</c:v>
                </c:pt>
                <c:pt idx="5">
                  <c:v>Referrals, total N=71</c:v>
                </c:pt>
                <c:pt idx="6">
                  <c:v>Arrests, total N=17</c:v>
                </c:pt>
                <c:pt idx="7">
                  <c:v>Population, total N=3687</c:v>
                </c:pt>
              </c:strCache>
            </c:strRef>
          </c:cat>
          <c:val>
            <c:numRef>
              <c:f>'Stacked 100%'!$C$7:$C$14</c:f>
              <c:numCache>
                <c:formatCode>0%</c:formatCode>
                <c:ptCount val="8"/>
                <c:pt idx="0">
                  <c:v>0</c:v>
                </c:pt>
                <c:pt idx="1">
                  <c:v>0.6</c:v>
                </c:pt>
                <c:pt idx="2">
                  <c:v>0.32142857142857145</c:v>
                </c:pt>
                <c:pt idx="3">
                  <c:v>0.32258064516129031</c:v>
                </c:pt>
                <c:pt idx="4">
                  <c:v>0.25</c:v>
                </c:pt>
                <c:pt idx="5">
                  <c:v>0.14084507042253522</c:v>
                </c:pt>
                <c:pt idx="6">
                  <c:v>0.17647058823529413</c:v>
                </c:pt>
                <c:pt idx="7">
                  <c:v>0.11526986710062381</c:v>
                </c:pt>
              </c:numCache>
            </c:numRef>
          </c:val>
          <c:extLst>
            <c:ext xmlns:c16="http://schemas.microsoft.com/office/drawing/2014/chart" uri="{C3380CC4-5D6E-409C-BE32-E72D297353CC}">
              <c16:uniqueId val="{00000001-4A53-488F-B775-C77A398BE5A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N=28</c:v>
                </c:pt>
                <c:pt idx="3">
                  <c:v>Petitions, total N=31</c:v>
                </c:pt>
                <c:pt idx="4">
                  <c:v>Detentions, total N=4</c:v>
                </c:pt>
                <c:pt idx="5">
                  <c:v>Referrals, total N=71</c:v>
                </c:pt>
                <c:pt idx="6">
                  <c:v>Arrests, total N=17</c:v>
                </c:pt>
                <c:pt idx="7">
                  <c:v>Population, total N=3687</c:v>
                </c:pt>
              </c:strCache>
            </c:strRef>
          </c:cat>
          <c:val>
            <c:numRef>
              <c:f>'Stacked 100%'!$H$7:$H$14</c:f>
              <c:numCache>
                <c:formatCode>0%</c:formatCode>
                <c:ptCount val="8"/>
                <c:pt idx="0">
                  <c:v>0</c:v>
                </c:pt>
                <c:pt idx="1">
                  <c:v>0</c:v>
                </c:pt>
                <c:pt idx="2">
                  <c:v>0</c:v>
                </c:pt>
                <c:pt idx="3">
                  <c:v>0</c:v>
                </c:pt>
                <c:pt idx="4">
                  <c:v>0</c:v>
                </c:pt>
                <c:pt idx="5">
                  <c:v>0</c:v>
                </c:pt>
                <c:pt idx="6">
                  <c:v>0</c:v>
                </c:pt>
                <c:pt idx="7">
                  <c:v>4.4137219968649337E-6</c:v>
                </c:pt>
              </c:numCache>
            </c:numRef>
          </c:val>
          <c:extLst>
            <c:ext xmlns:c16="http://schemas.microsoft.com/office/drawing/2014/chart" uri="{C3380CC4-5D6E-409C-BE32-E72D297353CC}">
              <c16:uniqueId val="{00000002-4A53-488F-B775-C77A398BE5A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N=28</c:v>
                </c:pt>
                <c:pt idx="3">
                  <c:v>Petitions, total N=31</c:v>
                </c:pt>
                <c:pt idx="4">
                  <c:v>Detentions, total N=4</c:v>
                </c:pt>
                <c:pt idx="5">
                  <c:v>Referrals, total N=71</c:v>
                </c:pt>
                <c:pt idx="6">
                  <c:v>Arrests, total N=17</c:v>
                </c:pt>
                <c:pt idx="7">
                  <c:v>Population, total N=3687</c:v>
                </c:pt>
              </c:strCache>
            </c:strRef>
          </c:cat>
          <c:val>
            <c:numRef>
              <c:f>'Stacked 100%'!$I$7:$I$14</c:f>
              <c:numCache>
                <c:formatCode>0%</c:formatCode>
                <c:ptCount val="8"/>
                <c:pt idx="0">
                  <c:v>0</c:v>
                </c:pt>
                <c:pt idx="1">
                  <c:v>0.4</c:v>
                </c:pt>
                <c:pt idx="2">
                  <c:v>0.42857142857142855</c:v>
                </c:pt>
                <c:pt idx="3">
                  <c:v>0.45161290322580644</c:v>
                </c:pt>
                <c:pt idx="4">
                  <c:v>0.5</c:v>
                </c:pt>
                <c:pt idx="5">
                  <c:v>0.29577464788732394</c:v>
                </c:pt>
                <c:pt idx="6">
                  <c:v>0.6470588235294118</c:v>
                </c:pt>
                <c:pt idx="7">
                  <c:v>0.8532682397613236</c:v>
                </c:pt>
              </c:numCache>
            </c:numRef>
          </c:val>
          <c:extLst>
            <c:ext xmlns:c16="http://schemas.microsoft.com/office/drawing/2014/chart" uri="{C3380CC4-5D6E-409C-BE32-E72D297353CC}">
              <c16:uniqueId val="{00000003-4A53-488F-B775-C77A398BE5A0}"/>
            </c:ext>
          </c:extLst>
        </c:ser>
        <c:dLbls>
          <c:showLegendKey val="0"/>
          <c:showVal val="0"/>
          <c:showCatName val="0"/>
          <c:showSerName val="0"/>
          <c:showPercent val="0"/>
          <c:showBubbleSize val="0"/>
        </c:dLbls>
        <c:gapWidth val="150"/>
        <c:overlap val="100"/>
        <c:axId val="70322816"/>
        <c:axId val="70336896"/>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N=28</c:v>
                </c:pt>
                <c:pt idx="3">
                  <c:v>Petitions, total N=31</c:v>
                </c:pt>
                <c:pt idx="4">
                  <c:v>Detentions, total N=4</c:v>
                </c:pt>
                <c:pt idx="5">
                  <c:v>Referrals, total N=71</c:v>
                </c:pt>
                <c:pt idx="6">
                  <c:v>Arrests, total N=17</c:v>
                </c:pt>
                <c:pt idx="7">
                  <c:v>Population, total N=3687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A53-488F-B775-C77A398BE5A0}"/>
            </c:ext>
          </c:extLst>
        </c:ser>
        <c:dLbls>
          <c:showLegendKey val="0"/>
          <c:showVal val="0"/>
          <c:showCatName val="0"/>
          <c:showSerName val="0"/>
          <c:showPercent val="0"/>
          <c:showBubbleSize val="0"/>
        </c:dLbls>
        <c:gapWidth val="150"/>
        <c:overlap val="100"/>
        <c:axId val="70339968"/>
        <c:axId val="70338432"/>
      </c:barChart>
      <c:catAx>
        <c:axId val="7032281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70336896"/>
        <c:crosses val="autoZero"/>
        <c:auto val="1"/>
        <c:lblAlgn val="ctr"/>
        <c:lblOffset val="100"/>
        <c:noMultiLvlLbl val="0"/>
      </c:catAx>
      <c:valAx>
        <c:axId val="70336896"/>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0322816"/>
        <c:crosses val="autoZero"/>
        <c:crossBetween val="between"/>
      </c:valAx>
      <c:valAx>
        <c:axId val="70338432"/>
        <c:scaling>
          <c:orientation val="minMax"/>
        </c:scaling>
        <c:delete val="1"/>
        <c:axPos val="t"/>
        <c:numFmt formatCode="0%" sourceLinked="1"/>
        <c:majorTickMark val="out"/>
        <c:minorTickMark val="none"/>
        <c:tickLblPos val="nextTo"/>
        <c:crossAx val="70339968"/>
        <c:crosses val="max"/>
        <c:crossBetween val="between"/>
      </c:valAx>
      <c:catAx>
        <c:axId val="70339968"/>
        <c:scaling>
          <c:orientation val="minMax"/>
        </c:scaling>
        <c:delete val="1"/>
        <c:axPos val="l"/>
        <c:numFmt formatCode="General" sourceLinked="1"/>
        <c:majorTickMark val="out"/>
        <c:minorTickMark val="none"/>
        <c:tickLblPos val="nextTo"/>
        <c:crossAx val="703384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F14" sqref="F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3687</v>
      </c>
      <c r="C6" s="11">
        <v>3146</v>
      </c>
      <c r="D6" s="11">
        <v>56</v>
      </c>
      <c r="E6" s="11">
        <v>425</v>
      </c>
      <c r="F6" s="11">
        <v>32</v>
      </c>
      <c r="G6" s="11"/>
      <c r="H6" s="11">
        <v>28</v>
      </c>
      <c r="I6" s="11"/>
      <c r="J6" s="91">
        <f>SUM(D6:I6)</f>
        <v>541</v>
      </c>
      <c r="K6" s="92"/>
    </row>
    <row r="7" spans="1:11" ht="15.75" customHeight="1" thickBot="1">
      <c r="A7" s="10" t="s">
        <v>8</v>
      </c>
      <c r="B7" s="11">
        <f t="shared" ref="B7:B15" si="0">SUM(C7:I7)+K7</f>
        <v>17</v>
      </c>
      <c r="C7" s="11">
        <v>11</v>
      </c>
      <c r="D7" s="11">
        <v>2</v>
      </c>
      <c r="E7" s="11">
        <v>3</v>
      </c>
      <c r="F7" s="11"/>
      <c r="G7" s="11"/>
      <c r="H7" s="11"/>
      <c r="I7" s="11"/>
      <c r="J7" s="91">
        <f t="shared" ref="J7:J15" si="1">SUM(D7:I7)</f>
        <v>5</v>
      </c>
      <c r="K7" s="92">
        <v>1</v>
      </c>
    </row>
    <row r="8" spans="1:11" ht="15.75" customHeight="1" thickBot="1">
      <c r="A8" s="10" t="s">
        <v>9</v>
      </c>
      <c r="B8" s="11">
        <f t="shared" si="0"/>
        <v>71</v>
      </c>
      <c r="C8" s="11">
        <v>21</v>
      </c>
      <c r="D8" s="11"/>
      <c r="E8" s="11">
        <v>10</v>
      </c>
      <c r="F8" s="11"/>
      <c r="G8" s="11"/>
      <c r="H8" s="11"/>
      <c r="I8" s="11"/>
      <c r="J8" s="91">
        <f t="shared" si="1"/>
        <v>10</v>
      </c>
      <c r="K8" s="92">
        <v>40</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4</v>
      </c>
      <c r="C10" s="11">
        <v>2</v>
      </c>
      <c r="D10" s="11"/>
      <c r="E10" s="11">
        <v>1</v>
      </c>
      <c r="F10" s="11"/>
      <c r="G10" s="11"/>
      <c r="H10" s="11"/>
      <c r="I10" s="11"/>
      <c r="J10" s="91">
        <f t="shared" si="1"/>
        <v>1</v>
      </c>
      <c r="K10" s="92">
        <v>1</v>
      </c>
    </row>
    <row r="11" spans="1:11" ht="15.75" customHeight="1" thickBot="1">
      <c r="A11" s="10" t="s">
        <v>12</v>
      </c>
      <c r="B11" s="11">
        <f t="shared" si="0"/>
        <v>31</v>
      </c>
      <c r="C11" s="11">
        <v>14</v>
      </c>
      <c r="D11" s="11"/>
      <c r="E11" s="11">
        <v>10</v>
      </c>
      <c r="F11" s="11"/>
      <c r="G11" s="11"/>
      <c r="H11" s="11"/>
      <c r="I11" s="11"/>
      <c r="J11" s="91">
        <f t="shared" si="1"/>
        <v>10</v>
      </c>
      <c r="K11" s="92">
        <v>7</v>
      </c>
    </row>
    <row r="12" spans="1:11" ht="15.75" customHeight="1" thickBot="1">
      <c r="A12" s="10" t="s">
        <v>13</v>
      </c>
      <c r="B12" s="11">
        <f t="shared" si="0"/>
        <v>28</v>
      </c>
      <c r="C12" s="11">
        <v>12</v>
      </c>
      <c r="D12" s="11"/>
      <c r="E12" s="11">
        <v>9</v>
      </c>
      <c r="F12" s="11"/>
      <c r="G12" s="11"/>
      <c r="H12" s="11"/>
      <c r="I12" s="11"/>
      <c r="J12" s="91">
        <f t="shared" si="1"/>
        <v>9</v>
      </c>
      <c r="K12" s="92">
        <v>7</v>
      </c>
    </row>
    <row r="13" spans="1:11" ht="15.75" customHeight="1" thickBot="1">
      <c r="A13" s="10" t="s">
        <v>133</v>
      </c>
      <c r="B13" s="11">
        <f t="shared" si="0"/>
        <v>32</v>
      </c>
      <c r="C13" s="11">
        <v>15</v>
      </c>
      <c r="D13" s="11"/>
      <c r="E13" s="11">
        <v>10</v>
      </c>
      <c r="F13" s="11"/>
      <c r="G13" s="11"/>
      <c r="H13" s="11"/>
      <c r="I13" s="11"/>
      <c r="J13" s="91">
        <f t="shared" si="1"/>
        <v>10</v>
      </c>
      <c r="K13" s="92">
        <v>7</v>
      </c>
    </row>
    <row r="14" spans="1:11" ht="26.25" customHeight="1" thickBot="1">
      <c r="A14" s="10" t="s">
        <v>123</v>
      </c>
      <c r="B14" s="11">
        <f t="shared" si="0"/>
        <v>5</v>
      </c>
      <c r="C14" s="11">
        <v>2</v>
      </c>
      <c r="D14" s="11"/>
      <c r="E14" s="11">
        <v>3</v>
      </c>
      <c r="F14" s="11"/>
      <c r="G14" s="11"/>
      <c r="H14" s="11"/>
      <c r="I14" s="11"/>
      <c r="J14" s="91">
        <f t="shared" si="1"/>
        <v>3</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3146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3.4965034965034967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3135</v>
      </c>
      <c r="R7" s="42">
        <f t="shared" ref="R7:R15" si="5">SUM(N7:Q7)</f>
        <v>3146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21</v>
      </c>
      <c r="D8" s="34">
        <f>IF((AND(C67&gt;0,C8&gt;0)),(C8/C67),0)</f>
        <v>190.90909090909091</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-10</v>
      </c>
      <c r="R8" s="42">
        <f t="shared" si="5"/>
        <v>11.05</v>
      </c>
      <c r="S8" s="30">
        <f t="shared" si="6"/>
        <v>12.182625000000002</v>
      </c>
      <c r="T8" s="30">
        <f t="shared" si="7"/>
        <v>-114.9225</v>
      </c>
      <c r="U8" s="31">
        <f t="shared" si="8"/>
        <v>-0.10600730927364095</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21</v>
      </c>
      <c r="R9" s="42">
        <f t="shared" si="5"/>
        <v>21</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9.5238095238095237</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19</v>
      </c>
      <c r="R10" s="42">
        <f t="shared" si="5"/>
        <v>21</v>
      </c>
      <c r="S10" s="30">
        <f t="shared" si="6"/>
        <v>0</v>
      </c>
      <c r="T10" s="30">
        <f t="shared" si="7"/>
        <v>0</v>
      </c>
      <c r="U10" s="31" t="str">
        <f t="shared" si="8"/>
        <v>- -</v>
      </c>
    </row>
    <row r="11" spans="2:21" ht="18" customHeight="1">
      <c r="B11" s="32" t="str">
        <f>'Data Entry'!A11</f>
        <v>6. Cases Petitioned (Charge Filed)</v>
      </c>
      <c r="C11" s="33">
        <f>'Data Entry'!C11</f>
        <v>14</v>
      </c>
      <c r="D11" s="34">
        <f>IF(((AND(C68&gt;0,C11&gt;0))),(C11/(C68)),0)</f>
        <v>66.666666666666671</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14</v>
      </c>
      <c r="Q11" s="42">
        <f>(C$68*L68)-C11</f>
        <v>7</v>
      </c>
      <c r="R11" s="42">
        <f t="shared" si="5"/>
        <v>21</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85.714285714285708</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2.0000000000000018</v>
      </c>
      <c r="R12" s="42">
        <f t="shared" si="5"/>
        <v>14.000000000000002</v>
      </c>
      <c r="S12" s="30">
        <f t="shared" si="6"/>
        <v>0</v>
      </c>
      <c r="T12" s="30">
        <f t="shared" si="7"/>
        <v>0</v>
      </c>
      <c r="U12" s="31" t="str">
        <f t="shared" si="8"/>
        <v>- -</v>
      </c>
    </row>
    <row r="13" spans="2:21" ht="18" customHeight="1">
      <c r="B13" s="32" t="str">
        <f>'Data Entry'!A13</f>
        <v>8. Cases Resulting in Probation Placement</v>
      </c>
      <c r="C13" s="33">
        <f>'Data Entry'!C13</f>
        <v>15</v>
      </c>
      <c r="D13" s="34">
        <f>IF(((AND(C70&gt;0,C13&gt;0))),(C13/(C70)),0)</f>
        <v>125</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15</v>
      </c>
      <c r="Q13" s="42">
        <f>(C70*L70)-C13</f>
        <v>-3</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10</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3.1459999999999999</v>
      </c>
      <c r="D42" s="56">
        <f>E6/1000</f>
        <v>0</v>
      </c>
      <c r="E42" s="56">
        <f>MAX(C42:D42)</f>
        <v>3.1459999999999999</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0.14000000000000001</v>
      </c>
      <c r="D45" s="49">
        <f>E11/100</f>
        <v>0</v>
      </c>
      <c r="E45" s="56">
        <f>MAX(C45:D45,0)</f>
        <v>0.14000000000000001</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3.1459999999999999</v>
      </c>
      <c r="D48" s="56">
        <f>D42</f>
        <v>0</v>
      </c>
      <c r="E48" s="56">
        <f>MAX(C48:D48)</f>
        <v>3.1459999999999999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3.1459999999999999</v>
      </c>
      <c r="D54" s="56">
        <f>D48</f>
        <v>0</v>
      </c>
      <c r="E54" s="56">
        <f>MAX(C54:D54)</f>
        <v>3.1459999999999999</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3.1459999999999999</v>
      </c>
      <c r="D60" s="56">
        <f>D54</f>
        <v>0</v>
      </c>
      <c r="E60" s="56">
        <f>MAX(C60:D60)</f>
        <v>3.1459999999999999</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3.1459999999999999</v>
      </c>
      <c r="D66" s="56">
        <f>D60</f>
        <v>0</v>
      </c>
      <c r="E66" s="56">
        <f>MAX(C66:D66)</f>
        <v>3.1459999999999999</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3146</v>
      </c>
      <c r="D6" s="34"/>
      <c r="E6" s="33">
        <f>'Data Entry'!J6</f>
        <v>541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3.4965034965034967</v>
      </c>
      <c r="E7" s="33">
        <f>'Data Entry'!J7</f>
        <v>5</v>
      </c>
      <c r="F7" s="34">
        <f>IF((AND($E$7&gt;0,$D$66&gt;0)),($E$7/$D$66),0)</f>
        <v>9.2421441774491679</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5</v>
      </c>
      <c r="O7" s="42">
        <f>E6-E7</f>
        <v>536</v>
      </c>
      <c r="P7" s="42">
        <f t="shared" ref="P7:P15" si="4">C7</f>
        <v>11</v>
      </c>
      <c r="Q7" s="42">
        <f>C6-C7</f>
        <v>3135</v>
      </c>
      <c r="R7" s="42">
        <f t="shared" ref="R7:R15" si="5">SUM(N7:Q7)</f>
        <v>3687</v>
      </c>
      <c r="S7" s="30">
        <f t="shared" ref="S7:S15" si="6">R7*((((N7*Q7)-(O7*P7))^2))</f>
        <v>352583536767</v>
      </c>
      <c r="T7" s="30">
        <f t="shared" ref="T7:T15" si="7">(N7+O7)*(P7+Q7)*(N7+P7)*(O7+Q7)</f>
        <v>99967849696</v>
      </c>
      <c r="U7" s="31">
        <f t="shared" ref="U7:U15" si="8">IF((S7&gt;0),S7/T7,"- -")</f>
        <v>3.5269692990216219</v>
      </c>
    </row>
    <row r="8" spans="2:21" ht="18" customHeight="1">
      <c r="B8" s="32" t="str">
        <f>'Data Entry'!A8</f>
        <v>3. Refer to Juvenile Court</v>
      </c>
      <c r="C8" s="33">
        <f>'Data Entry'!C8</f>
        <v>21</v>
      </c>
      <c r="D8" s="34">
        <f>IF((AND(C67&gt;0,C8&gt;0)),(C8/C67),0)</f>
        <v>190.90909090909091</v>
      </c>
      <c r="E8" s="33">
        <f>'Data Entry'!J8</f>
        <v>10</v>
      </c>
      <c r="F8" s="34">
        <f>IF((AND($E$8&gt;0,$D$67&gt;0)),($E8/$D67),0)</f>
        <v>200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10</v>
      </c>
      <c r="O8" s="42">
        <f>((D67*L67)-E8)+0.05</f>
        <v>-4.95</v>
      </c>
      <c r="P8" s="42">
        <f t="shared" si="4"/>
        <v>21</v>
      </c>
      <c r="Q8" s="42">
        <f>(C$67*L67)-C8</f>
        <v>-10</v>
      </c>
      <c r="R8" s="42">
        <f t="shared" si="5"/>
        <v>16.05</v>
      </c>
      <c r="S8" s="30">
        <f t="shared" si="6"/>
        <v>250.42012500000035</v>
      </c>
      <c r="T8" s="30">
        <f t="shared" si="7"/>
        <v>-25744.647499999999</v>
      </c>
      <c r="U8" s="31">
        <f t="shared" si="8"/>
        <v>-9.7270753075955063E-3</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10</v>
      </c>
      <c r="P9" s="42">
        <f t="shared" si="4"/>
        <v>0</v>
      </c>
      <c r="Q9" s="42">
        <f>(C$68*L68)-C9</f>
        <v>21</v>
      </c>
      <c r="R9" s="42">
        <f t="shared" si="5"/>
        <v>31</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9.5238095238095237</v>
      </c>
      <c r="E10" s="33">
        <f>'Data Entry'!J10</f>
        <v>1</v>
      </c>
      <c r="F10" s="34">
        <f>IF(((AND($E$10&gt;0,$D$68&gt;0))),($E$10/($D$68)),0)</f>
        <v>10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9</v>
      </c>
      <c r="P10" s="42">
        <f t="shared" si="4"/>
        <v>2</v>
      </c>
      <c r="Q10" s="42">
        <f>(C$68*L68)-C10</f>
        <v>19</v>
      </c>
      <c r="R10" s="42">
        <f t="shared" si="5"/>
        <v>31</v>
      </c>
      <c r="S10" s="30">
        <f t="shared" si="6"/>
        <v>31</v>
      </c>
      <c r="T10" s="30">
        <f t="shared" si="7"/>
        <v>17640</v>
      </c>
      <c r="U10" s="31">
        <f t="shared" si="8"/>
        <v>1.7573696145124717E-3</v>
      </c>
    </row>
    <row r="11" spans="2:21" ht="18" customHeight="1">
      <c r="B11" s="32" t="str">
        <f>'Data Entry'!A11</f>
        <v>6. Cases Petitioned (Charge Filed)</v>
      </c>
      <c r="C11" s="33">
        <f>'Data Entry'!C11</f>
        <v>14</v>
      </c>
      <c r="D11" s="34">
        <f>IF(((AND(C68&gt;0,C11&gt;0))),(C11/(C68)),0)</f>
        <v>66.666666666666671</v>
      </c>
      <c r="E11" s="33">
        <f>'Data Entry'!J11</f>
        <v>10</v>
      </c>
      <c r="F11" s="34">
        <f>IF(((AND($E$11&gt;0,$D$68&gt;0))),($E$11/($D$68)),0)</f>
        <v>100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10</v>
      </c>
      <c r="O11" s="42">
        <f>(D$68*L68)-E11</f>
        <v>0</v>
      </c>
      <c r="P11" s="42">
        <f t="shared" si="4"/>
        <v>14</v>
      </c>
      <c r="Q11" s="42">
        <f>(C$68*L68)-C11</f>
        <v>7</v>
      </c>
      <c r="R11" s="42">
        <f t="shared" si="5"/>
        <v>31</v>
      </c>
      <c r="S11" s="30">
        <f t="shared" si="6"/>
        <v>151900</v>
      </c>
      <c r="T11" s="30">
        <f t="shared" si="7"/>
        <v>35280</v>
      </c>
      <c r="U11" s="31">
        <f t="shared" si="8"/>
        <v>4.3055555555555554</v>
      </c>
    </row>
    <row r="12" spans="2:21" ht="18" customHeight="1">
      <c r="B12" s="32" t="str">
        <f>'Data Entry'!A12</f>
        <v>7. Cases Resulting in Delinquent Findings</v>
      </c>
      <c r="C12" s="33">
        <f>'Data Entry'!C12</f>
        <v>12</v>
      </c>
      <c r="D12" s="34">
        <f>IF(((AND(C69&gt;0,C12&gt;0))),(C12/(C69)),0)</f>
        <v>85.714285714285708</v>
      </c>
      <c r="E12" s="33">
        <f>'Data Entry'!J12</f>
        <v>9</v>
      </c>
      <c r="F12" s="34">
        <f>IF(((AND($D$69&gt;0,$E$12&gt;0))),(E12/(D69)),0)</f>
        <v>90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9</v>
      </c>
      <c r="O12" s="42">
        <f>(D69*L69)-E12</f>
        <v>1</v>
      </c>
      <c r="P12" s="42">
        <f t="shared" si="4"/>
        <v>12</v>
      </c>
      <c r="Q12" s="42">
        <f>(C69*L69)-C12</f>
        <v>2.0000000000000018</v>
      </c>
      <c r="R12" s="42">
        <f t="shared" si="5"/>
        <v>24</v>
      </c>
      <c r="S12" s="30">
        <f t="shared" si="6"/>
        <v>864.00000000000409</v>
      </c>
      <c r="T12" s="30">
        <f t="shared" si="7"/>
        <v>8820.0000000000073</v>
      </c>
      <c r="U12" s="31">
        <f t="shared" si="8"/>
        <v>9.7959183673469771E-2</v>
      </c>
    </row>
    <row r="13" spans="2:21" ht="18" customHeight="1">
      <c r="B13" s="32" t="str">
        <f>'Data Entry'!A13</f>
        <v>8. Cases Resulting in Probation Placement</v>
      </c>
      <c r="C13" s="33">
        <f>'Data Entry'!C13</f>
        <v>15</v>
      </c>
      <c r="D13" s="34">
        <f>IF(((AND(C70&gt;0,C13&gt;0))),(C13/(C70)),0)</f>
        <v>125</v>
      </c>
      <c r="E13" s="33">
        <f>'Data Entry'!J13</f>
        <v>10</v>
      </c>
      <c r="F13" s="34">
        <f>IF(((AND($D$70&gt;0,$E$13&gt;0))),($E$13/($D$70)),0)</f>
        <v>111.11111111111111</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10</v>
      </c>
      <c r="O13" s="42">
        <f>(D70*L70)-E13</f>
        <v>-1</v>
      </c>
      <c r="P13" s="42">
        <f t="shared" si="4"/>
        <v>15</v>
      </c>
      <c r="Q13" s="42">
        <f>(C70*L70)-C13</f>
        <v>-3</v>
      </c>
      <c r="R13" s="42">
        <f t="shared" si="5"/>
        <v>21</v>
      </c>
      <c r="S13" s="30">
        <f t="shared" si="6"/>
        <v>4725</v>
      </c>
      <c r="T13" s="30">
        <f t="shared" si="7"/>
        <v>-10800</v>
      </c>
      <c r="U13" s="31">
        <f t="shared" si="8"/>
        <v>-0.4375</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Entry'!J14</f>
        <v>3</v>
      </c>
      <c r="F14" s="34">
        <f>IF(((AND($D$70&gt;0,$E$14&gt;0))), (($E$14/($D$70))),0)</f>
        <v>33.333333333333336</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3</v>
      </c>
      <c r="O14" s="42">
        <f>(D70*L70)-E14</f>
        <v>6</v>
      </c>
      <c r="P14" s="42">
        <f t="shared" si="4"/>
        <v>2</v>
      </c>
      <c r="Q14" s="42">
        <f>(C70*L70)-C14</f>
        <v>10</v>
      </c>
      <c r="R14" s="42">
        <f t="shared" si="5"/>
        <v>21</v>
      </c>
      <c r="S14" s="30">
        <f t="shared" si="6"/>
        <v>6804</v>
      </c>
      <c r="T14" s="30">
        <f t="shared" si="7"/>
        <v>8640</v>
      </c>
      <c r="U14" s="31">
        <f t="shared" si="8"/>
        <v>0.78749999999999998</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10</v>
      </c>
      <c r="P15" s="42">
        <f t="shared" si="4"/>
        <v>0</v>
      </c>
      <c r="Q15" s="42">
        <f>(C69*L69)-C15</f>
        <v>14.000000000000002</v>
      </c>
      <c r="R15" s="42">
        <f t="shared" si="5"/>
        <v>24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3.1459999999999999</v>
      </c>
      <c r="D42" s="56">
        <f>E6/1000</f>
        <v>0.54100000000000004</v>
      </c>
      <c r="E42" s="56">
        <f>MAX(C42:D42)</f>
        <v>3.1459999999999999</v>
      </c>
      <c r="G42" s="1" t="str">
        <f>B42</f>
        <v>per 1000 youth</v>
      </c>
      <c r="L42" s="57">
        <v>1000</v>
      </c>
      <c r="M42" s="57"/>
      <c r="R42" s="49"/>
    </row>
    <row r="43" spans="2:18" ht="15" hidden="1" customHeight="1">
      <c r="B43" s="49" t="s">
        <v>87</v>
      </c>
      <c r="C43" s="56">
        <f>C7/100</f>
        <v>0.11</v>
      </c>
      <c r="D43" s="56">
        <f>E7/100</f>
        <v>0.05</v>
      </c>
      <c r="E43" s="56">
        <f>MAX(C43:D43,0)</f>
        <v>0.11</v>
      </c>
      <c r="G43" s="1" t="str">
        <f>B43</f>
        <v>per 100 arrests</v>
      </c>
      <c r="L43" s="57">
        <v>100</v>
      </c>
      <c r="M43" s="57"/>
      <c r="R43" s="49"/>
    </row>
    <row r="44" spans="2:18" ht="15" hidden="1" customHeight="1">
      <c r="B44" s="49" t="s">
        <v>88</v>
      </c>
      <c r="C44" s="56">
        <f>C8/100</f>
        <v>0.21</v>
      </c>
      <c r="D44" s="56">
        <f>E8/100</f>
        <v>0.1</v>
      </c>
      <c r="E44" s="56">
        <f>MAX(C44:D44,0)</f>
        <v>0.21</v>
      </c>
      <c r="G44" s="1" t="str">
        <f>B44</f>
        <v>per 100 referrals</v>
      </c>
      <c r="L44" s="57">
        <v>100</v>
      </c>
      <c r="M44" s="57"/>
      <c r="R44" s="49"/>
    </row>
    <row r="45" spans="2:18" ht="15" hidden="1" customHeight="1">
      <c r="B45" s="49" t="s">
        <v>89</v>
      </c>
      <c r="C45" s="49">
        <f>C11/100</f>
        <v>0.14000000000000001</v>
      </c>
      <c r="D45" s="49">
        <f>E11/100</f>
        <v>0.1</v>
      </c>
      <c r="E45" s="56">
        <f>MAX(C45:D45,0)</f>
        <v>0.14000000000000001</v>
      </c>
      <c r="G45" s="1" t="str">
        <f>B45</f>
        <v>per 100 youth petitioned</v>
      </c>
      <c r="L45" s="57">
        <v>100</v>
      </c>
      <c r="M45" s="57"/>
      <c r="R45" s="49"/>
    </row>
    <row r="46" spans="2:18" ht="15" hidden="1" customHeight="1">
      <c r="B46" s="49" t="s">
        <v>90</v>
      </c>
      <c r="C46" s="49">
        <f>C12/100</f>
        <v>0.12</v>
      </c>
      <c r="D46" s="49">
        <f>E12/100</f>
        <v>0.09</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3.1459999999999999</v>
      </c>
      <c r="D48" s="56">
        <f>D42</f>
        <v>0.54100000000000004</v>
      </c>
      <c r="E48" s="56">
        <f>MAX(C48:D48)</f>
        <v>3.1459999999999999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0.05</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0.1</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0.1</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0.09</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3.1459999999999999</v>
      </c>
      <c r="D54" s="56">
        <f>D48</f>
        <v>0.54100000000000004</v>
      </c>
      <c r="E54" s="56">
        <f>MAX(C54:D54)</f>
        <v>3.1459999999999999</v>
      </c>
      <c r="G54" s="1" t="str">
        <f>G48</f>
        <v>per 1000 youth</v>
      </c>
      <c r="L54" s="58">
        <f>L48</f>
        <v>1000</v>
      </c>
      <c r="M54" s="58"/>
    </row>
    <row r="55" spans="2:18" ht="15" hidden="1" customHeight="1">
      <c r="B55" s="49" t="str">
        <f t="shared" ref="B55:D56" si="10">IF(($E49&gt;0),B49,B48)</f>
        <v>per 100 arrests</v>
      </c>
      <c r="C55" s="49">
        <f t="shared" si="10"/>
        <v>0.11</v>
      </c>
      <c r="D55" s="49">
        <f t="shared" si="10"/>
        <v>0.05</v>
      </c>
      <c r="E55" s="49">
        <f>MAX(C55:D55)</f>
        <v>0.11</v>
      </c>
      <c r="G55" s="1" t="str">
        <f>G49</f>
        <v>per 100 arrests</v>
      </c>
      <c r="L55" s="58">
        <f>IF(($E49&gt;0),L49,L48)</f>
        <v>100</v>
      </c>
      <c r="M55" s="58"/>
    </row>
    <row r="56" spans="2:18" ht="15" hidden="1" customHeight="1">
      <c r="B56" s="49" t="str">
        <f t="shared" si="10"/>
        <v>per 100 referrals</v>
      </c>
      <c r="C56" s="49">
        <f t="shared" si="10"/>
        <v>0.21</v>
      </c>
      <c r="D56" s="49">
        <f t="shared" si="10"/>
        <v>0.1</v>
      </c>
      <c r="E56" s="49">
        <f>MAX(C56:D56)</f>
        <v>0.21</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0.1</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0.09</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3.1459999999999999</v>
      </c>
      <c r="D60" s="56">
        <f>D54</f>
        <v>0.54100000000000004</v>
      </c>
      <c r="E60" s="56">
        <f>MAX(C60:D60)</f>
        <v>3.1459999999999999</v>
      </c>
      <c r="G60" s="1" t="str">
        <f>G54</f>
        <v>per 1000 youth</v>
      </c>
      <c r="L60" s="58">
        <f>L54</f>
        <v>1000</v>
      </c>
      <c r="M60" s="58"/>
    </row>
    <row r="61" spans="2:18" ht="15" hidden="1" customHeight="1">
      <c r="B61" s="49" t="str">
        <f t="shared" ref="B61:D62" si="11">IF(($E55&gt;0),B55,B54)</f>
        <v>per 100 arrests</v>
      </c>
      <c r="C61" s="49">
        <f t="shared" si="11"/>
        <v>0.11</v>
      </c>
      <c r="D61" s="49">
        <f t="shared" si="11"/>
        <v>0.05</v>
      </c>
      <c r="E61" s="49">
        <f>MAX(C61:D61)</f>
        <v>0.11</v>
      </c>
      <c r="G61" s="1" t="str">
        <f>G55</f>
        <v>per 100 arrests</v>
      </c>
      <c r="L61" s="58">
        <f>IF(($E55&gt;0),L55,L54)</f>
        <v>100</v>
      </c>
      <c r="M61" s="58"/>
    </row>
    <row r="62" spans="2:18" ht="15" hidden="1" customHeight="1">
      <c r="B62" s="49" t="str">
        <f t="shared" si="11"/>
        <v>per 100 referrals</v>
      </c>
      <c r="C62" s="49">
        <f t="shared" si="11"/>
        <v>0.21</v>
      </c>
      <c r="D62" s="49">
        <f t="shared" si="11"/>
        <v>0.1</v>
      </c>
      <c r="E62" s="49">
        <f>MAX(C62:D62)</f>
        <v>0.21</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0.1</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0.09</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3.1459999999999999</v>
      </c>
      <c r="D66" s="56">
        <f>D60</f>
        <v>0.54100000000000004</v>
      </c>
      <c r="E66" s="56">
        <f>MAX(C66:D66)</f>
        <v>3.1459999999999999</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0.05</v>
      </c>
      <c r="E67" s="49">
        <f>MAX(C67:D67)</f>
        <v>0.11</v>
      </c>
      <c r="G67" s="1" t="str">
        <f>G61</f>
        <v>per 100 arrests</v>
      </c>
      <c r="L67" s="58">
        <f>IF(($E61&gt;0),L61,L60)</f>
        <v>100</v>
      </c>
      <c r="M67" s="58">
        <f>IF((B67=G67),1,2)</f>
        <v>1</v>
      </c>
    </row>
    <row r="68" spans="2:13" ht="15" hidden="1" customHeight="1">
      <c r="B68" s="49" t="str">
        <f t="shared" si="12"/>
        <v>per 100 referrals</v>
      </c>
      <c r="C68" s="49">
        <f t="shared" si="12"/>
        <v>0.21</v>
      </c>
      <c r="D68" s="49">
        <f t="shared" si="12"/>
        <v>0.1</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0.1</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0.09</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Gratiot</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f>Hispanic!L10</f>
        <v>40</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f>Hispanic!L11</f>
        <v>20</v>
      </c>
      <c r="N11" s="1" t="e">
        <f>Asian!L11</f>
        <v>#VALUE!</v>
      </c>
      <c r="O11" s="1" t="e">
        <f>Hawaiian!L11</f>
        <v>#VALUE!</v>
      </c>
      <c r="P11" s="1" t="e">
        <f>'Am Indian'!L11</f>
        <v>#VALUE!</v>
      </c>
      <c r="Q11" s="1" t="e">
        <f>'Other - Mixed'!L11</f>
        <v>#VALUE!</v>
      </c>
      <c r="R11" s="1">
        <f>'All Minorities'!L11</f>
        <v>20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f>Hispanic!L12</f>
        <v>40</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f>Hispanic!L13</f>
        <v>40</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f>Hispanic!L14</f>
        <v>40</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3687</v>
      </c>
      <c r="D3" s="57">
        <f>'Data Entry'!C6</f>
        <v>3146</v>
      </c>
      <c r="E3" s="57">
        <f>'Data Entry'!D6</f>
        <v>56</v>
      </c>
      <c r="F3" s="57">
        <f>'Data Entry'!E6</f>
        <v>425</v>
      </c>
      <c r="G3" s="57">
        <f>'Data Entry'!F6</f>
        <v>32</v>
      </c>
      <c r="H3" s="57">
        <f>'Data Entry'!G6</f>
        <v>0</v>
      </c>
      <c r="I3" s="57">
        <f>'Data Entry'!H6</f>
        <v>28</v>
      </c>
      <c r="J3" s="57">
        <f>'Data Entry'!I6</f>
        <v>0</v>
      </c>
      <c r="K3" s="57">
        <f>'Data Entry'!J6</f>
        <v>541</v>
      </c>
    </row>
    <row r="4" spans="2:11" ht="15" customHeight="1">
      <c r="B4" s="16" t="s">
        <v>8</v>
      </c>
      <c r="C4" s="1">
        <f>IF((C$3&gt;0),(1000*('Data Entry'!B7/'Data Entry'!B$6)), 0)</f>
        <v>4.6107946840249525</v>
      </c>
      <c r="D4" s="1">
        <f>IF((D$3&gt;0),(1000*('Data Entry'!C7/'Data Entry'!C$6)), 0)</f>
        <v>3.4965034965034967</v>
      </c>
      <c r="E4" s="1">
        <f>IF((E$3&gt;0),(1000*('Data Entry'!D7/'Data Entry'!D$6)), 0)</f>
        <v>35.714285714285715</v>
      </c>
      <c r="F4" s="1">
        <f>IF((F$3&gt;0),(1000*('Data Entry'!E7/'Data Entry'!E$6)), 0)</f>
        <v>7.0588235294117654</v>
      </c>
      <c r="G4" s="1">
        <f>IF((G$3&gt;0),(1000*('Data Entry'!F7/'Data Entry'!F$6)), 0)</f>
        <v>0</v>
      </c>
      <c r="H4" s="1">
        <f>IF((H$3&gt;0),(1000*('Data Entry'!G7/'Data Entry'!G$6)), 0)</f>
        <v>0</v>
      </c>
      <c r="I4" s="1">
        <f>IF((I$3&gt;0),(1000*('Data Entry'!H7/'Data Entry'!H$6)), 0)</f>
        <v>0</v>
      </c>
      <c r="J4" s="1">
        <f>IF((J$3&gt;0),(1000*('Data Entry'!I7/'Data Entry'!I$6)), 0)</f>
        <v>0</v>
      </c>
      <c r="K4" s="1">
        <f>IF((K$3&gt;0),(1000*('Data Entry'!J7/'Data Entry'!J$6)), 0)</f>
        <v>9.2421441774491697</v>
      </c>
    </row>
    <row r="5" spans="2:11" ht="15" customHeight="1">
      <c r="B5" s="16" t="s">
        <v>9</v>
      </c>
      <c r="C5" s="1">
        <f>IF((C$3&gt;0),(1000*('Data Entry'!B8/'Data Entry'!B$6)), 0)</f>
        <v>19.256848386221861</v>
      </c>
      <c r="D5" s="1">
        <f>IF((D$3&gt;0),(1000*('Data Entry'!C8/'Data Entry'!C$6)), 0)</f>
        <v>6.6751430387794022</v>
      </c>
      <c r="E5" s="1">
        <f>IF((E$3&gt;0),(1000*('Data Entry'!D8/'Data Entry'!D$6)), 0)</f>
        <v>0</v>
      </c>
      <c r="F5" s="1">
        <f>IF((F$3&gt;0),(1000*('Data Entry'!E8/'Data Entry'!E$6)), 0)</f>
        <v>23.52941176470588</v>
      </c>
      <c r="G5" s="1">
        <f>IF((G$3&gt;0),(1000*('Data Entry'!F8/'Data Entry'!F$6)), 0)</f>
        <v>0</v>
      </c>
      <c r="H5" s="1">
        <f>IF((H$3&gt;0),(1000*('Data Entry'!G8/'Data Entry'!G$6)), 0)</f>
        <v>0</v>
      </c>
      <c r="I5" s="1">
        <f>IF((I$3&gt;0),(1000*('Data Entry'!H8/'Data Entry'!H$6)), 0)</f>
        <v>0</v>
      </c>
      <c r="J5" s="1">
        <f>IF((J$3&gt;0),(1000*('Data Entry'!I8/'Data Entry'!I$6)), 0)</f>
        <v>0</v>
      </c>
      <c r="K5" s="1">
        <f>IF((K$3&gt;0),(1000*('Data Entry'!J8/'Data Entry'!J$6)), 0)</f>
        <v>18.484288354898339</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1.0848928668294007</v>
      </c>
      <c r="D7" s="1">
        <f>IF((D$3&gt;0),(1000*('Data Entry'!C10/'Data Entry'!C$6)), 0)</f>
        <v>0.63572790845518123</v>
      </c>
      <c r="E7" s="1">
        <f>IF((E$3&gt;0),(1000*('Data Entry'!D10/'Data Entry'!D$6)), 0)</f>
        <v>0</v>
      </c>
      <c r="F7" s="1">
        <f>IF((F$3&gt;0),(1000*('Data Entry'!E10/'Data Entry'!E$6)), 0)</f>
        <v>2.3529411764705879</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1.8484288354898337</v>
      </c>
    </row>
    <row r="8" spans="2:11" ht="15" customHeight="1">
      <c r="B8" s="16" t="s">
        <v>95</v>
      </c>
      <c r="C8" s="1">
        <f>IF((C$3&gt;0),(1000*('Data Entry'!B11/'Data Entry'!B$6)), 0)</f>
        <v>8.4079197179278538</v>
      </c>
      <c r="D8" s="1">
        <f>IF((D$3&gt;0),(1000*('Data Entry'!C11/'Data Entry'!C$6)), 0)</f>
        <v>4.4500953591862684</v>
      </c>
      <c r="E8" s="1">
        <f>IF((E$3&gt;0),(1000*('Data Entry'!D11/'Data Entry'!D$6)), 0)</f>
        <v>0</v>
      </c>
      <c r="F8" s="1">
        <f>IF((F$3&gt;0),(1000*('Data Entry'!E11/'Data Entry'!E$6)), 0)</f>
        <v>23.52941176470588</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18.484288354898339</v>
      </c>
    </row>
    <row r="9" spans="2:11" ht="15" customHeight="1">
      <c r="B9" s="16" t="s">
        <v>13</v>
      </c>
      <c r="C9" s="1">
        <f>IF((C$3&gt;0),(1000*('Data Entry'!B12/'Data Entry'!B$6)), 0)</f>
        <v>7.5942500678058042</v>
      </c>
      <c r="D9" s="1">
        <f>IF((D$3&gt;0),(1000*('Data Entry'!C12/'Data Entry'!C$6)), 0)</f>
        <v>3.814367450731087</v>
      </c>
      <c r="E9" s="1">
        <f>IF((E$3&gt;0),(1000*('Data Entry'!D12/'Data Entry'!D$6)), 0)</f>
        <v>0</v>
      </c>
      <c r="F9" s="1">
        <f>IF((F$3&gt;0),(1000*('Data Entry'!E12/'Data Entry'!E$6)), 0)</f>
        <v>21.176470588235293</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16.635859519408502</v>
      </c>
    </row>
    <row r="10" spans="2:11" ht="15" customHeight="1">
      <c r="B10" s="16" t="s">
        <v>14</v>
      </c>
      <c r="C10" s="1">
        <f>IF((C$3&gt;0),(1000*('Data Entry'!B13/'Data Entry'!B$6)), 0)</f>
        <v>8.6791429346352054</v>
      </c>
      <c r="D10" s="1">
        <f>IF((D$3&gt;0),(1000*('Data Entry'!C13/'Data Entry'!C$6)), 0)</f>
        <v>4.7679593134138587</v>
      </c>
      <c r="E10" s="1">
        <f>IF((E$3&gt;0),(1000*('Data Entry'!D13/'Data Entry'!D$6)), 0)</f>
        <v>0</v>
      </c>
      <c r="F10" s="1">
        <f>IF((F$3&gt;0),(1000*('Data Entry'!E13/'Data Entry'!E$6)), 0)</f>
        <v>23.52941176470588</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18.484288354898339</v>
      </c>
    </row>
    <row r="11" spans="2:11" ht="25.5" customHeight="1">
      <c r="B11" s="16" t="s">
        <v>15</v>
      </c>
      <c r="C11" s="1">
        <f>IF((C$3&gt;0),(1000*('Data Entry'!B14/'Data Entry'!B$6)), 0)</f>
        <v>1.3561160835367507</v>
      </c>
      <c r="D11" s="1">
        <f>IF((D$3&gt;0),(1000*('Data Entry'!C14/'Data Entry'!C$6)), 0)</f>
        <v>0.63572790845518123</v>
      </c>
      <c r="E11" s="1">
        <f>IF((E$3&gt;0),(1000*('Data Entry'!D14/'Data Entry'!D$6)), 0)</f>
        <v>0</v>
      </c>
      <c r="F11" s="1">
        <f>IF((F$3&gt;0),(1000*('Data Entry'!E14/'Data Entry'!E$6)), 0)</f>
        <v>7.0588235294117654</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5.5452865064695009</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Gratiot</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10.214285714285714</v>
      </c>
      <c r="E19" s="72">
        <f t="shared" si="1"/>
        <v>2.0188235294117649</v>
      </c>
      <c r="F19" s="72" t="str">
        <f t="shared" si="1"/>
        <v>--</v>
      </c>
      <c r="G19" s="72" t="str">
        <f t="shared" si="1"/>
        <v>--</v>
      </c>
      <c r="H19" s="72" t="str">
        <f t="shared" si="1"/>
        <v>--</v>
      </c>
      <c r="I19" s="72" t="str">
        <f t="shared" si="1"/>
        <v>--</v>
      </c>
      <c r="J19" s="73">
        <f t="shared" si="1"/>
        <v>2.6432532347504623</v>
      </c>
    </row>
    <row r="20" spans="2:10" ht="15" customHeight="1">
      <c r="B20" s="71" t="s">
        <v>9</v>
      </c>
      <c r="C20" s="72">
        <f t="shared" ref="C20:J27" si="2">IF(AND(($D5&gt;0),(D5&gt;0)), (D5/$D5),"--")</f>
        <v>1</v>
      </c>
      <c r="D20" s="72" t="str">
        <f t="shared" si="2"/>
        <v>--</v>
      </c>
      <c r="E20" s="72">
        <f t="shared" si="2"/>
        <v>3.5249299719887954</v>
      </c>
      <c r="F20" s="72" t="str">
        <f t="shared" si="2"/>
        <v>--</v>
      </c>
      <c r="G20" s="72" t="str">
        <f t="shared" si="2"/>
        <v>--</v>
      </c>
      <c r="H20" s="72" t="str">
        <f t="shared" si="2"/>
        <v>--</v>
      </c>
      <c r="I20" s="72" t="str">
        <f t="shared" si="2"/>
        <v>--</v>
      </c>
      <c r="J20" s="73">
        <f t="shared" si="2"/>
        <v>2.7691224364052465</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f t="shared" si="2"/>
        <v>3.7011764705882344</v>
      </c>
      <c r="F22" s="72" t="str">
        <f t="shared" si="2"/>
        <v>--</v>
      </c>
      <c r="G22" s="72" t="str">
        <f t="shared" si="2"/>
        <v>--</v>
      </c>
      <c r="H22" s="72" t="str">
        <f t="shared" si="2"/>
        <v>--</v>
      </c>
      <c r="I22" s="72" t="str">
        <f t="shared" si="2"/>
        <v>--</v>
      </c>
      <c r="J22" s="73">
        <f t="shared" si="2"/>
        <v>2.907578558225508</v>
      </c>
    </row>
    <row r="23" spans="2:10" ht="15" customHeight="1">
      <c r="B23" s="71" t="s">
        <v>95</v>
      </c>
      <c r="C23" s="72">
        <f t="shared" si="2"/>
        <v>1</v>
      </c>
      <c r="D23" s="72" t="str">
        <f t="shared" si="2"/>
        <v>--</v>
      </c>
      <c r="E23" s="72">
        <f t="shared" si="2"/>
        <v>5.2873949579831923</v>
      </c>
      <c r="F23" s="72" t="str">
        <f t="shared" si="2"/>
        <v>--</v>
      </c>
      <c r="G23" s="72" t="str">
        <f t="shared" si="2"/>
        <v>--</v>
      </c>
      <c r="H23" s="72" t="str">
        <f t="shared" si="2"/>
        <v>--</v>
      </c>
      <c r="I23" s="72" t="str">
        <f t="shared" si="2"/>
        <v>--</v>
      </c>
      <c r="J23" s="73">
        <f t="shared" si="2"/>
        <v>4.1536836546078693</v>
      </c>
    </row>
    <row r="24" spans="2:10" ht="15" customHeight="1">
      <c r="B24" s="71" t="s">
        <v>13</v>
      </c>
      <c r="C24" s="72">
        <f t="shared" si="2"/>
        <v>1</v>
      </c>
      <c r="D24" s="72" t="str">
        <f t="shared" si="2"/>
        <v>--</v>
      </c>
      <c r="E24" s="72">
        <f t="shared" si="2"/>
        <v>5.5517647058823529</v>
      </c>
      <c r="F24" s="72" t="str">
        <f t="shared" si="2"/>
        <v>--</v>
      </c>
      <c r="G24" s="72" t="str">
        <f t="shared" si="2"/>
        <v>--</v>
      </c>
      <c r="H24" s="72" t="str">
        <f t="shared" si="2"/>
        <v>--</v>
      </c>
      <c r="I24" s="72" t="str">
        <f t="shared" si="2"/>
        <v>--</v>
      </c>
      <c r="J24" s="73">
        <f t="shared" si="2"/>
        <v>4.3613678373382623</v>
      </c>
    </row>
    <row r="25" spans="2:10" ht="15" customHeight="1">
      <c r="B25" s="71" t="s">
        <v>14</v>
      </c>
      <c r="C25" s="72">
        <f t="shared" si="2"/>
        <v>1</v>
      </c>
      <c r="D25" s="72" t="str">
        <f t="shared" si="2"/>
        <v>--</v>
      </c>
      <c r="E25" s="72">
        <f t="shared" si="2"/>
        <v>4.9349019607843134</v>
      </c>
      <c r="F25" s="72" t="str">
        <f t="shared" si="2"/>
        <v>--</v>
      </c>
      <c r="G25" s="72" t="str">
        <f t="shared" si="2"/>
        <v>--</v>
      </c>
      <c r="H25" s="72" t="str">
        <f t="shared" si="2"/>
        <v>--</v>
      </c>
      <c r="I25" s="72" t="str">
        <f t="shared" si="2"/>
        <v>--</v>
      </c>
      <c r="J25" s="73">
        <f t="shared" si="2"/>
        <v>3.8767714109673452</v>
      </c>
    </row>
    <row r="26" spans="2:10" ht="25.5" customHeight="1">
      <c r="B26" s="71" t="s">
        <v>15</v>
      </c>
      <c r="C26" s="72">
        <f t="shared" si="2"/>
        <v>1</v>
      </c>
      <c r="D26" s="72" t="str">
        <f t="shared" si="2"/>
        <v>--</v>
      </c>
      <c r="E26" s="72">
        <f t="shared" si="2"/>
        <v>11.103529411764706</v>
      </c>
      <c r="F26" s="72" t="str">
        <f t="shared" si="2"/>
        <v>--</v>
      </c>
      <c r="G26" s="72" t="str">
        <f t="shared" si="2"/>
        <v>--</v>
      </c>
      <c r="H26" s="72" t="str">
        <f t="shared" si="2"/>
        <v>--</v>
      </c>
      <c r="I26" s="72" t="str">
        <f t="shared" si="2"/>
        <v>--</v>
      </c>
      <c r="J26" s="73">
        <f t="shared" si="2"/>
        <v>8.7227356746765246</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Gratiot</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3146</v>
      </c>
      <c r="D7" s="104">
        <f>'Data Entry'!D6</f>
        <v>56</v>
      </c>
      <c r="E7" s="105"/>
      <c r="F7" s="106">
        <f>'Data Entry'!E6</f>
        <v>425</v>
      </c>
      <c r="G7" s="105"/>
      <c r="H7" s="106">
        <f>'Data Entry'!F6</f>
        <v>32</v>
      </c>
      <c r="I7" s="105"/>
      <c r="J7" s="106">
        <f>'Data Entry'!G6</f>
        <v>0</v>
      </c>
      <c r="K7" s="105"/>
      <c r="L7" s="106">
        <f>'Data Entry'!H6</f>
        <v>28</v>
      </c>
      <c r="M7" s="105"/>
      <c r="N7" s="106">
        <f>'Data Entry'!I6</f>
        <v>0</v>
      </c>
      <c r="O7" s="105"/>
      <c r="P7" s="106">
        <f>'Data Entry'!J6</f>
        <v>541</v>
      </c>
      <c r="Q7" s="107"/>
    </row>
    <row r="8" spans="2:26" s="1" customFormat="1" ht="15" customHeight="1">
      <c r="B8" s="142" t="s">
        <v>8</v>
      </c>
      <c r="C8" s="103">
        <f>'Data Entry'!C7</f>
        <v>11</v>
      </c>
      <c r="D8" s="104">
        <f>'Data Entry'!D7</f>
        <v>2</v>
      </c>
      <c r="E8" s="105" t="str">
        <f>'Black or African-American'!$G7</f>
        <v>**</v>
      </c>
      <c r="F8" s="106">
        <f>'Data Entry'!E7</f>
        <v>3</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5</v>
      </c>
      <c r="Q8" s="107" t="str">
        <f>'All Minorities'!G7</f>
        <v>**</v>
      </c>
      <c r="R8"/>
      <c r="T8" s="1">
        <f>'Black or African-American'!L7</f>
        <v>20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21</v>
      </c>
      <c r="D9" s="108">
        <f>'Data Entry'!D8</f>
        <v>0</v>
      </c>
      <c r="E9" s="109" t="str">
        <f>'Black or African-American'!$G8</f>
        <v>**</v>
      </c>
      <c r="F9" s="110">
        <f>'Data Entry'!E8</f>
        <v>10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10</v>
      </c>
      <c r="Q9" s="111" t="str">
        <f>'All Minorities'!G8</f>
        <v>**</v>
      </c>
      <c r="R9"/>
      <c r="T9" s="1">
        <f>'Black or African-American'!L8</f>
        <v>20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2</v>
      </c>
      <c r="D11" s="108">
        <f>'Data Entry'!D10</f>
        <v>0</v>
      </c>
      <c r="E11" s="109" t="str">
        <f>'Black or African-American'!$G10</f>
        <v>--</v>
      </c>
      <c r="F11" s="110">
        <f>'Data Entry'!E10</f>
        <v>1</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1</v>
      </c>
      <c r="Q11" s="111" t="str">
        <f>'All Minorities'!G10</f>
        <v>**</v>
      </c>
      <c r="R11"/>
      <c r="T11" s="1" t="e">
        <f>'Black or African-American'!L10</f>
        <v>#VALUE!</v>
      </c>
      <c r="U11" s="1">
        <f>Hispanic!L10</f>
        <v>40</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14</v>
      </c>
      <c r="D12" s="112">
        <f>'Data Entry'!D11</f>
        <v>0</v>
      </c>
      <c r="E12" s="113" t="str">
        <f>'Black or African-American'!$G11</f>
        <v>--</v>
      </c>
      <c r="F12" s="114">
        <f>'Data Entry'!E11</f>
        <v>10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10</v>
      </c>
      <c r="Q12" s="115" t="str">
        <f>'All Minorities'!G11</f>
        <v>**</v>
      </c>
      <c r="R12"/>
      <c r="T12" s="1" t="e">
        <f>'Black or African-American'!L11</f>
        <v>#VALUE!</v>
      </c>
      <c r="U12" s="1">
        <f>Hispanic!L11</f>
        <v>20</v>
      </c>
      <c r="V12" s="1" t="e">
        <f>Asian!L11</f>
        <v>#VALUE!</v>
      </c>
      <c r="W12" s="1" t="e">
        <f>Hawaiian!L11</f>
        <v>#VALUE!</v>
      </c>
      <c r="X12" s="1" t="e">
        <f>'Am Indian'!L11</f>
        <v>#VALUE!</v>
      </c>
      <c r="Y12" s="1" t="e">
        <f>'Other - Mixed'!L11</f>
        <v>#VALUE!</v>
      </c>
      <c r="Z12" s="1">
        <f>'All Minorities'!L11</f>
        <v>20</v>
      </c>
    </row>
    <row r="13" spans="2:26" s="1" customFormat="1" ht="15" customHeight="1">
      <c r="B13" s="142" t="s">
        <v>13</v>
      </c>
      <c r="C13" s="103">
        <f>'Data Entry'!C12</f>
        <v>12</v>
      </c>
      <c r="D13" s="108">
        <f>'Data Entry'!D12</f>
        <v>0</v>
      </c>
      <c r="E13" s="109" t="str">
        <f>'Black or African-American'!$G12</f>
        <v>--</v>
      </c>
      <c r="F13" s="110">
        <f>'Data Entry'!E12</f>
        <v>9</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9</v>
      </c>
      <c r="Q13" s="111" t="str">
        <f>'All Minorities'!G12</f>
        <v>**</v>
      </c>
      <c r="R13"/>
      <c r="T13" s="1" t="e">
        <f>'Black or African-American'!L12</f>
        <v>#VALUE!</v>
      </c>
      <c r="U13" s="1">
        <f>Hispanic!L12</f>
        <v>40</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15</v>
      </c>
      <c r="D14" s="112">
        <f>'Data Entry'!D13</f>
        <v>0</v>
      </c>
      <c r="E14" s="113" t="str">
        <f>'Black or African-American'!$G13</f>
        <v>--</v>
      </c>
      <c r="F14" s="114">
        <f>'Data Entry'!E13</f>
        <v>10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10</v>
      </c>
      <c r="Q14" s="115" t="str">
        <f>'All Minorities'!G13</f>
        <v>**</v>
      </c>
      <c r="R14"/>
      <c r="T14" s="1" t="e">
        <f>'Black or African-American'!L13</f>
        <v>#VALUE!</v>
      </c>
      <c r="U14" s="1">
        <f>Hispanic!L13</f>
        <v>40</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2</v>
      </c>
      <c r="D15" s="108">
        <f>'Data Entry'!D14</f>
        <v>0</v>
      </c>
      <c r="E15" s="109" t="str">
        <f>'Black or African-American'!$G14</f>
        <v>--</v>
      </c>
      <c r="F15" s="110">
        <f>'Data Entry'!E14</f>
        <v>3</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3</v>
      </c>
      <c r="Q15" s="111" t="str">
        <f>'All Minorities'!G14</f>
        <v>**</v>
      </c>
      <c r="R15"/>
      <c r="T15" s="1" t="e">
        <f>'Black or African-American'!L14</f>
        <v>#VALUE!</v>
      </c>
      <c r="U15" s="1">
        <f>Hispanic!L14</f>
        <v>40</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Gratiot</v>
      </c>
    </row>
    <row r="6" spans="1:12">
      <c r="A6" s="135" t="str">
        <f>CONCATENATE("Percentage of Minorities at Stages of the Juvenile Justice System, ", A5, " 2022")</f>
        <v>Percentage of Minorities at Stages of the Juvenile Justice System, County: Gratiot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5.815157116451017</v>
      </c>
    </row>
    <row r="8" spans="1:12" ht="25.5" customHeight="1">
      <c r="A8" s="151" t="str">
        <f>CONCATENATE("Confinement, total N=", 'Data Entry'!B14)</f>
        <v>Confinement, total N=5</v>
      </c>
      <c r="B8" s="150">
        <f>'Data Entry'!D14/'Data Entry'!B14</f>
        <v>0</v>
      </c>
      <c r="C8" s="150">
        <f>'Data Entry'!E14/'Data Entry'!B14</f>
        <v>0.6</v>
      </c>
      <c r="D8" s="150">
        <f>'Data Entry'!F14/'Data Entry'!B14</f>
        <v>0</v>
      </c>
      <c r="E8" s="150">
        <f>'Data Entry'!G14/'Data Entry'!B14</f>
        <v>0</v>
      </c>
      <c r="F8" s="150">
        <f>'Data Entry'!H14/'Data Entry'!B14</f>
        <v>0</v>
      </c>
      <c r="G8" s="150">
        <f>'Data Entry'!I14/'Data Entry'!B14</f>
        <v>0</v>
      </c>
      <c r="H8" s="150">
        <f>SUM(D8:G8)/'Data Entry'!B14</f>
        <v>0</v>
      </c>
      <c r="I8" s="150">
        <f>'Data Entry'!C14/'Data Entry'!B14</f>
        <v>0.4</v>
      </c>
      <c r="K8" s="96" t="str">
        <f>A8</f>
        <v>Confinement, total N=5</v>
      </c>
      <c r="L8">
        <f>I14/(SUM(B14:G14))</f>
        <v>5.815157116451017</v>
      </c>
    </row>
    <row r="9" spans="1:12">
      <c r="A9" s="128" t="str">
        <f>CONCATENATE("Delinquent Findings, total N=", 'Data Entry'!B12)</f>
        <v>Delinquent Findings, total N=28</v>
      </c>
      <c r="B9" s="150">
        <f>'Data Entry'!D12/'Data Entry'!B12</f>
        <v>0</v>
      </c>
      <c r="C9" s="150">
        <f>'Data Entry'!E12/'Data Entry'!B12</f>
        <v>0.32142857142857145</v>
      </c>
      <c r="D9" s="150">
        <f>'Data Entry'!F12/'Data Entry'!B12</f>
        <v>0</v>
      </c>
      <c r="E9" s="150">
        <f>'Data Entry'!G12/'Data Entry'!B12</f>
        <v>0</v>
      </c>
      <c r="F9" s="150">
        <f>'Data Entry'!H12/'Data Entry'!B12</f>
        <v>0</v>
      </c>
      <c r="G9" s="150">
        <f>'Data Entry'!I12/'Data Entry'!B12</f>
        <v>0</v>
      </c>
      <c r="H9" s="150">
        <f>SUM(D9:G9)/'Data Entry'!B12</f>
        <v>0</v>
      </c>
      <c r="I9" s="150">
        <f>'Data Entry'!C12/'Data Entry'!B12</f>
        <v>0.42857142857142855</v>
      </c>
      <c r="K9" s="96" t="str">
        <f t="shared" si="0"/>
        <v>Delinquent Findings, total N=28</v>
      </c>
      <c r="L9">
        <f>I14/(SUM(B14:G14))</f>
        <v>5.815157116451017</v>
      </c>
    </row>
    <row r="10" spans="1:12">
      <c r="A10" s="128" t="str">
        <f>CONCATENATE("Petitions, total N=", 'Data Entry'!B11)</f>
        <v>Petitions, total N=31</v>
      </c>
      <c r="B10" s="150">
        <f>'Data Entry'!D11/'Data Entry'!B11</f>
        <v>0</v>
      </c>
      <c r="C10" s="150">
        <f>'Data Entry'!E11/'Data Entry'!B11</f>
        <v>0.32258064516129031</v>
      </c>
      <c r="D10" s="150">
        <f>'Data Entry'!F11/'Data Entry'!B11</f>
        <v>0</v>
      </c>
      <c r="E10" s="150">
        <f>'Data Entry'!G11/'Data Entry'!B11</f>
        <v>0</v>
      </c>
      <c r="F10" s="150">
        <f>'Data Entry'!H11/'Data Entry'!B11</f>
        <v>0</v>
      </c>
      <c r="G10" s="150">
        <f>'Data Entry'!I11/'Data Entry'!B11</f>
        <v>0</v>
      </c>
      <c r="H10" s="150">
        <f>SUM(D10:G10)/'Data Entry'!B11</f>
        <v>0</v>
      </c>
      <c r="I10" s="150">
        <f>'Data Entry'!C11/'Data Entry'!B11</f>
        <v>0.45161290322580644</v>
      </c>
      <c r="K10" s="96" t="str">
        <f t="shared" si="0"/>
        <v>Petitions, total N=31</v>
      </c>
      <c r="L10">
        <f>I14/(SUM(B14:G14))</f>
        <v>5.815157116451017</v>
      </c>
    </row>
    <row r="11" spans="1:12">
      <c r="A11" s="128" t="str">
        <f>CONCATENATE("Detentions, total N=", 'Data Entry'!B10)</f>
        <v>Detentions, total N=4</v>
      </c>
      <c r="B11" s="150">
        <f>'Data Entry'!D10/'Data Entry'!B10</f>
        <v>0</v>
      </c>
      <c r="C11" s="150">
        <f>'Data Entry'!E10/'Data Entry'!B10</f>
        <v>0.25</v>
      </c>
      <c r="D11" s="150">
        <f>'Data Entry'!F10/'Data Entry'!B10</f>
        <v>0</v>
      </c>
      <c r="E11" s="150">
        <f>'Data Entry'!G10/'Data Entry'!B10</f>
        <v>0</v>
      </c>
      <c r="F11" s="150">
        <f>'Data Entry'!H10/'Data Entry'!B10</f>
        <v>0</v>
      </c>
      <c r="G11" s="150">
        <f>'Data Entry'!I10/'Data Entry'!B10</f>
        <v>0</v>
      </c>
      <c r="H11" s="150">
        <f>SUM(D11:G11)/'Data Entry'!B10</f>
        <v>0</v>
      </c>
      <c r="I11" s="150">
        <f>'Data Entry'!C10/'Data Entry'!B10</f>
        <v>0.5</v>
      </c>
      <c r="K11" s="96" t="str">
        <f t="shared" si="0"/>
        <v>Detentions, total N=4</v>
      </c>
      <c r="L11">
        <f>I14/(SUM(B14:G14))</f>
        <v>5.815157116451017</v>
      </c>
    </row>
    <row r="12" spans="1:12">
      <c r="A12" s="128" t="str">
        <f>CONCATENATE("Referrals, total N=", 'Data Entry'!B8)</f>
        <v>Referrals, total N=71</v>
      </c>
      <c r="B12" s="150">
        <f>'Data Entry'!D8/'Data Entry'!B8</f>
        <v>0</v>
      </c>
      <c r="C12" s="150">
        <f>'Data Entry'!E8/'Data Entry'!B8</f>
        <v>0.14084507042253522</v>
      </c>
      <c r="D12" s="150">
        <f>'Data Entry'!F8/'Data Entry'!B8</f>
        <v>0</v>
      </c>
      <c r="E12" s="150">
        <f>'Data Entry'!G8/'Data Entry'!B8</f>
        <v>0</v>
      </c>
      <c r="F12" s="150">
        <f>'Data Entry'!H8/'Data Entry'!B8</f>
        <v>0</v>
      </c>
      <c r="G12" s="150">
        <f>'Data Entry'!I8/'Data Entry'!B8</f>
        <v>0</v>
      </c>
      <c r="H12" s="150">
        <f>SUM(D12:G12)/'Data Entry'!B8</f>
        <v>0</v>
      </c>
      <c r="I12" s="150">
        <f>'Data Entry'!C8/'Data Entry'!B8</f>
        <v>0.29577464788732394</v>
      </c>
      <c r="K12" s="96" t="str">
        <f t="shared" si="0"/>
        <v>Referrals, total N=71</v>
      </c>
      <c r="L12">
        <f>I14/(SUM(B14:G14))</f>
        <v>5.815157116451017</v>
      </c>
    </row>
    <row r="13" spans="1:12">
      <c r="A13" s="128" t="str">
        <f>CONCATENATE("Arrests, total N=", 'Data Entry'!B7)</f>
        <v>Arrests, total N=17</v>
      </c>
      <c r="B13" s="150">
        <f>'Data Entry'!D7/'Data Entry'!B7</f>
        <v>0.11764705882352941</v>
      </c>
      <c r="C13" s="150">
        <f>'Data Entry'!E7/'Data Entry'!B7</f>
        <v>0.17647058823529413</v>
      </c>
      <c r="D13" s="150">
        <f>'Data Entry'!F7/'Data Entry'!B7</f>
        <v>0</v>
      </c>
      <c r="E13" s="150">
        <f>'Data Entry'!G7/'Data Entry'!B7</f>
        <v>0</v>
      </c>
      <c r="F13" s="150">
        <f>'Data Entry'!H7/'Data Entry'!B7</f>
        <v>0</v>
      </c>
      <c r="G13" s="150">
        <f>'Data Entry'!I7/'Data Entry'!B7</f>
        <v>0</v>
      </c>
      <c r="H13" s="150">
        <f>SUM(D13:G13)/'Data Entry'!B7</f>
        <v>0</v>
      </c>
      <c r="I13" s="150">
        <f>'Data Entry'!C7/'Data Entry'!B7</f>
        <v>0.6470588235294118</v>
      </c>
      <c r="K13" s="96" t="str">
        <f t="shared" si="0"/>
        <v>Arrests, total N=17</v>
      </c>
      <c r="L13">
        <f>I14/(SUM(B14:G14))</f>
        <v>5.815157116451017</v>
      </c>
    </row>
    <row r="14" spans="1:12">
      <c r="A14" s="128" t="str">
        <f>CONCATENATE("Population, total N=", 'Data Entry'!B6)</f>
        <v>Population, total N=3687</v>
      </c>
      <c r="B14" s="150">
        <f>'Data Entry'!D6/'Data Entry'!B6</f>
        <v>1.5188500135611608E-2</v>
      </c>
      <c r="C14" s="150">
        <f>'Data Entry'!E6/'Data Entry'!B6</f>
        <v>0.11526986710062381</v>
      </c>
      <c r="D14" s="150">
        <f>'Data Entry'!F6/'Data Entry'!B6</f>
        <v>8.6791429346352051E-3</v>
      </c>
      <c r="E14" s="150">
        <f>'Data Entry'!G6/'Data Entry'!B6</f>
        <v>0</v>
      </c>
      <c r="F14" s="150">
        <f>'Data Entry'!H6/'Data Entry'!B6</f>
        <v>7.5942500678058038E-3</v>
      </c>
      <c r="G14" s="150">
        <f>'Data Entry'!I6/'Data Entry'!B6</f>
        <v>0</v>
      </c>
      <c r="H14" s="150">
        <f>SUM(D14:G14)/'Data Entry'!B6</f>
        <v>4.4137219968649337E-6</v>
      </c>
      <c r="I14" s="150">
        <f>'Data Entry'!C6/'Data Entry'!B6</f>
        <v>0.8532682397613236</v>
      </c>
      <c r="K14" s="96" t="str">
        <f t="shared" si="0"/>
        <v>Population, total N=3687</v>
      </c>
      <c r="L14">
        <f>I14/(SUM(B14:G14))</f>
        <v>5.815157116451017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Gratiot</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3146</v>
      </c>
      <c r="D7" s="104">
        <f>'Data Entry'!D6</f>
        <v>56</v>
      </c>
      <c r="E7" s="105"/>
      <c r="F7" s="106">
        <f>'Data Entry'!E6</f>
        <v>425</v>
      </c>
      <c r="G7" s="105"/>
      <c r="H7" s="106">
        <f>'Data Entry'!F6</f>
        <v>32</v>
      </c>
      <c r="I7" s="105"/>
      <c r="J7" s="106">
        <f>'Data Entry'!J6</f>
        <v>541</v>
      </c>
      <c r="K7" s="107"/>
    </row>
    <row r="8" spans="2:30" s="1" customFormat="1" ht="15" customHeight="1">
      <c r="B8" s="121" t="s">
        <v>8</v>
      </c>
      <c r="C8" s="103">
        <f>'Data Entry'!C7</f>
        <v>11</v>
      </c>
      <c r="D8" s="104">
        <f>'Data Entry'!D7</f>
        <v>2</v>
      </c>
      <c r="E8" s="105" t="str">
        <f>'Black or African-American'!$G7</f>
        <v>**</v>
      </c>
      <c r="F8" s="106">
        <f>'Data Entry'!E7</f>
        <v>3</v>
      </c>
      <c r="G8" s="105" t="str">
        <f>Hispanic!G7</f>
        <v>**</v>
      </c>
      <c r="H8" s="106">
        <f>'Data Entry'!F7</f>
        <v>0</v>
      </c>
      <c r="I8" s="105" t="str">
        <f>Asian!G7</f>
        <v>*</v>
      </c>
      <c r="J8" s="106">
        <f>'Data Entry'!J7</f>
        <v>5</v>
      </c>
      <c r="K8" s="107" t="str">
        <f>'All Minorities'!G7</f>
        <v>**</v>
      </c>
      <c r="L8"/>
      <c r="N8" s="1">
        <f>'Black or African-American'!L7</f>
        <v>20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21</v>
      </c>
      <c r="D9" s="108">
        <f>'Data Entry'!D8</f>
        <v>0</v>
      </c>
      <c r="E9" s="109" t="str">
        <f>'Black or African-American'!$G8</f>
        <v>**</v>
      </c>
      <c r="F9" s="110">
        <f>'Data Entry'!E8</f>
        <v>10</v>
      </c>
      <c r="G9" s="109" t="str">
        <f>Hispanic!G8</f>
        <v>**</v>
      </c>
      <c r="H9" s="110">
        <f>'Data Entry'!F8</f>
        <v>0</v>
      </c>
      <c r="I9" s="109" t="str">
        <f>Asian!G8</f>
        <v>*</v>
      </c>
      <c r="J9" s="110">
        <f>'Data Entry'!J8</f>
        <v>10</v>
      </c>
      <c r="K9" s="111" t="str">
        <f>'All Minorities'!G8</f>
        <v>**</v>
      </c>
      <c r="L9"/>
      <c r="N9" s="1">
        <f>'Black or African-American'!L8</f>
        <v>20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2</v>
      </c>
      <c r="D11" s="108">
        <f>'Data Entry'!D10</f>
        <v>0</v>
      </c>
      <c r="E11" s="109" t="str">
        <f>'Black or African-American'!$G10</f>
        <v>--</v>
      </c>
      <c r="F11" s="110">
        <f>'Data Entry'!E10</f>
        <v>1</v>
      </c>
      <c r="G11" s="109" t="str">
        <f>Hispanic!G10</f>
        <v>**</v>
      </c>
      <c r="H11" s="110">
        <f>'Data Entry'!F10</f>
        <v>0</v>
      </c>
      <c r="I11" s="109" t="str">
        <f>Asian!G10</f>
        <v>*</v>
      </c>
      <c r="J11" s="110">
        <f>'Data Entry'!J10</f>
        <v>1</v>
      </c>
      <c r="K11" s="111" t="str">
        <f>'All Minorities'!G10</f>
        <v>**</v>
      </c>
      <c r="L11"/>
      <c r="N11" s="1" t="e">
        <f>'Black or African-American'!L10</f>
        <v>#VALUE!</v>
      </c>
      <c r="O11" s="1">
        <f>Hispanic!L10</f>
        <v>40</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14</v>
      </c>
      <c r="D12" s="112">
        <f>'Data Entry'!D11</f>
        <v>0</v>
      </c>
      <c r="E12" s="113" t="str">
        <f>'Black or African-American'!$G11</f>
        <v>--</v>
      </c>
      <c r="F12" s="114">
        <f>'Data Entry'!E11</f>
        <v>10</v>
      </c>
      <c r="G12" s="113" t="str">
        <f>Hispanic!G11</f>
        <v>**</v>
      </c>
      <c r="H12" s="114">
        <f>'Data Entry'!F11</f>
        <v>0</v>
      </c>
      <c r="I12" s="113" t="str">
        <f>Asian!G11</f>
        <v>*</v>
      </c>
      <c r="J12" s="114">
        <f>'Data Entry'!J11</f>
        <v>10</v>
      </c>
      <c r="K12" s="115" t="str">
        <f>'All Minorities'!G11</f>
        <v>**</v>
      </c>
      <c r="L12"/>
      <c r="N12" s="1" t="e">
        <f>'Black or African-American'!L11</f>
        <v>#VALUE!</v>
      </c>
      <c r="O12" s="1">
        <f>Hispanic!L11</f>
        <v>20</v>
      </c>
      <c r="P12" s="1" t="e">
        <f>Asian!L11</f>
        <v>#VALUE!</v>
      </c>
      <c r="Q12" s="1" t="e">
        <f>Hawaiian!L11</f>
        <v>#VALUE!</v>
      </c>
      <c r="R12" s="1" t="e">
        <f>'Am Indian'!L11</f>
        <v>#VALUE!</v>
      </c>
      <c r="S12" s="1" t="e">
        <f>'Other - Mixed'!L11</f>
        <v>#VALUE!</v>
      </c>
      <c r="T12" s="1">
        <f>'All Minorities'!L11</f>
        <v>20</v>
      </c>
    </row>
    <row r="13" spans="2:30" s="1" customFormat="1" ht="15" customHeight="1">
      <c r="B13" s="121" t="s">
        <v>13</v>
      </c>
      <c r="C13" s="103">
        <f>'Data Entry'!C12</f>
        <v>12</v>
      </c>
      <c r="D13" s="108">
        <f>'Data Entry'!D12</f>
        <v>0</v>
      </c>
      <c r="E13" s="109" t="str">
        <f>'Black or African-American'!$G12</f>
        <v>--</v>
      </c>
      <c r="F13" s="110">
        <f>'Data Entry'!E12</f>
        <v>9</v>
      </c>
      <c r="G13" s="109" t="str">
        <f>Hispanic!G12</f>
        <v>**</v>
      </c>
      <c r="H13" s="110">
        <f>'Data Entry'!F12</f>
        <v>0</v>
      </c>
      <c r="I13" s="109" t="str">
        <f>Asian!G12</f>
        <v>*</v>
      </c>
      <c r="J13" s="110">
        <f>'Data Entry'!J12</f>
        <v>9</v>
      </c>
      <c r="K13" s="111" t="str">
        <f>'All Minorities'!G12</f>
        <v>**</v>
      </c>
      <c r="L13"/>
      <c r="N13" s="1" t="e">
        <f>'Black or African-American'!L12</f>
        <v>#VALUE!</v>
      </c>
      <c r="O13" s="1">
        <f>Hispanic!L12</f>
        <v>40</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15</v>
      </c>
      <c r="D14" s="112">
        <f>'Data Entry'!D13</f>
        <v>0</v>
      </c>
      <c r="E14" s="113" t="str">
        <f>'Black or African-American'!$G13</f>
        <v>--</v>
      </c>
      <c r="F14" s="114">
        <f>'Data Entry'!E13</f>
        <v>10</v>
      </c>
      <c r="G14" s="113" t="str">
        <f>Hispanic!G13</f>
        <v>**</v>
      </c>
      <c r="H14" s="114">
        <f>'Data Entry'!F13</f>
        <v>0</v>
      </c>
      <c r="I14" s="113" t="str">
        <f>Asian!G13</f>
        <v>*</v>
      </c>
      <c r="J14" s="114">
        <f>'Data Entry'!J13</f>
        <v>10</v>
      </c>
      <c r="K14" s="115" t="str">
        <f>'All Minorities'!G13</f>
        <v>**</v>
      </c>
      <c r="L14"/>
      <c r="N14" s="1" t="e">
        <f>'Black or African-American'!L13</f>
        <v>#VALUE!</v>
      </c>
      <c r="O14" s="1">
        <f>Hispanic!L13</f>
        <v>40</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2</v>
      </c>
      <c r="D15" s="108">
        <f>'Data Entry'!D14</f>
        <v>0</v>
      </c>
      <c r="E15" s="109" t="str">
        <f>'Black or African-American'!$G14</f>
        <v>--</v>
      </c>
      <c r="F15" s="110">
        <f>'Data Entry'!E14</f>
        <v>3</v>
      </c>
      <c r="G15" s="109" t="str">
        <f>Hispanic!G14</f>
        <v>**</v>
      </c>
      <c r="H15" s="110">
        <f>'Data Entry'!F14</f>
        <v>0</v>
      </c>
      <c r="I15" s="109" t="str">
        <f>Asian!G14</f>
        <v>*</v>
      </c>
      <c r="J15" s="110">
        <f>'Data Entry'!J14</f>
        <v>3</v>
      </c>
      <c r="K15" s="111" t="str">
        <f>'All Minorities'!G14</f>
        <v>**</v>
      </c>
      <c r="L15"/>
      <c r="N15" s="1" t="e">
        <f>'Black or African-American'!L14</f>
        <v>#VALUE!</v>
      </c>
      <c r="O15" s="1">
        <f>Hispanic!L14</f>
        <v>40</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3146</v>
      </c>
      <c r="D6" s="34"/>
      <c r="E6" s="33">
        <f>'Data Entry'!D6</f>
        <v>56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3.4965034965034967</v>
      </c>
      <c r="E7" s="33">
        <f>'Data Entry'!D7</f>
        <v>2</v>
      </c>
      <c r="F7" s="34">
        <f>IF((AND($E$7&gt;0,$D$66&gt;0)),($E$7/$D$66),0)</f>
        <v>35.714285714285715</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2</v>
      </c>
      <c r="O7" s="42">
        <f>E6-E7</f>
        <v>54</v>
      </c>
      <c r="P7" s="42">
        <f t="shared" ref="P7:P15" si="2">C7</f>
        <v>11</v>
      </c>
      <c r="Q7" s="42">
        <f>C6-C7</f>
        <v>3135</v>
      </c>
      <c r="R7" s="42">
        <f t="shared" ref="R7:R15" si="3">SUM(N7:Q7)</f>
        <v>3202</v>
      </c>
      <c r="S7" s="30">
        <f t="shared" ref="S7:S15" si="4">R7*((((N7*Q7)-(O7*P7))^2))</f>
        <v>103158757152</v>
      </c>
      <c r="T7" s="30">
        <f t="shared" ref="T7:T15" si="5">(N7+O7)*(P7+Q7)*(N7+P7)*(O7+Q7)</f>
        <v>7303728432</v>
      </c>
      <c r="U7" s="31">
        <f t="shared" ref="U7:U15" si="6">IF((S7&gt;0),S7/T7,"- -")</f>
        <v>14.124122783649522</v>
      </c>
    </row>
    <row r="8" spans="2:21" ht="18" customHeight="1">
      <c r="B8" s="32" t="str">
        <f>'Data Entry'!A8</f>
        <v>3. Refer to Juvenile Court</v>
      </c>
      <c r="C8" s="33">
        <f>'Data Entry'!C8</f>
        <v>21</v>
      </c>
      <c r="D8" s="34">
        <f>IF((AND(C67&gt;0,C8&gt;0)),(C8/C67),0)</f>
        <v>190.90909090909091</v>
      </c>
      <c r="E8" s="33">
        <f>'Data Entry'!D8</f>
        <v>0</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0</v>
      </c>
      <c r="O8" s="42">
        <f>((D67*L67)-E8)+0.05</f>
        <v>2.0499999999999998</v>
      </c>
      <c r="P8" s="42">
        <f t="shared" si="2"/>
        <v>21</v>
      </c>
      <c r="Q8" s="42">
        <f>(C$67*L67)-C8</f>
        <v>-10</v>
      </c>
      <c r="R8" s="42">
        <f t="shared" si="3"/>
        <v>13.05</v>
      </c>
      <c r="S8" s="30">
        <f t="shared" si="4"/>
        <v>24185.597624999999</v>
      </c>
      <c r="T8" s="30">
        <f t="shared" si="5"/>
        <v>-3764.7224999999999</v>
      </c>
      <c r="U8" s="31">
        <f t="shared" si="6"/>
        <v>-6.4242710120068613</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21</v>
      </c>
      <c r="R9" s="42">
        <f t="shared" si="3"/>
        <v>21</v>
      </c>
      <c r="S9" s="30">
        <f t="shared" si="4"/>
        <v>0</v>
      </c>
      <c r="T9" s="30">
        <f t="shared" si="5"/>
        <v>0</v>
      </c>
      <c r="U9" s="31" t="str">
        <f t="shared" si="6"/>
        <v>- -</v>
      </c>
    </row>
    <row r="10" spans="2:21" ht="18" customHeight="1">
      <c r="B10" s="32" t="str">
        <f>'Data Entry'!A10</f>
        <v>5. Cases Involving Secure Detention</v>
      </c>
      <c r="C10" s="33">
        <f>'Data Entry'!C10</f>
        <v>2</v>
      </c>
      <c r="D10" s="34">
        <f>IF(((AND(C68&gt;0,C10&gt;0))),(C10/(C68)),0)</f>
        <v>9.5238095238095237</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2</v>
      </c>
      <c r="Q10" s="42">
        <f>(C$68*L68)-C10</f>
        <v>19</v>
      </c>
      <c r="R10" s="42">
        <f t="shared" si="3"/>
        <v>21</v>
      </c>
      <c r="S10" s="30">
        <f t="shared" si="4"/>
        <v>0</v>
      </c>
      <c r="T10" s="30">
        <f t="shared" si="5"/>
        <v>0</v>
      </c>
      <c r="U10" s="31" t="str">
        <f t="shared" si="6"/>
        <v>- -</v>
      </c>
    </row>
    <row r="11" spans="2:21" ht="18" customHeight="1">
      <c r="B11" s="32" t="str">
        <f>'Data Entry'!A11</f>
        <v>6. Cases Petitioned (Charge Filed)</v>
      </c>
      <c r="C11" s="33">
        <f>'Data Entry'!C11</f>
        <v>14</v>
      </c>
      <c r="D11" s="34">
        <f>IF(((AND(C68&gt;0,C11&gt;0))),(C11/(C68)),0)</f>
        <v>66.666666666666671</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14</v>
      </c>
      <c r="Q11" s="42">
        <f>(C$68*L68)-C11</f>
        <v>7</v>
      </c>
      <c r="R11" s="42">
        <f t="shared" si="3"/>
        <v>21</v>
      </c>
      <c r="S11" s="30">
        <f t="shared" si="4"/>
        <v>0</v>
      </c>
      <c r="T11" s="30">
        <f t="shared" si="5"/>
        <v>0</v>
      </c>
      <c r="U11" s="31" t="str">
        <f t="shared" si="6"/>
        <v>- -</v>
      </c>
    </row>
    <row r="12" spans="2:21" ht="18" customHeight="1">
      <c r="B12" s="32" t="str">
        <f>'Data Entry'!A12</f>
        <v>7. Cases Resulting in Delinquent Findings</v>
      </c>
      <c r="C12" s="33">
        <f>'Data Entry'!C12</f>
        <v>12</v>
      </c>
      <c r="D12" s="34">
        <f>IF(((AND(C69&gt;0,C12&gt;0))),(C12/(C69)),0)</f>
        <v>85.714285714285708</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12</v>
      </c>
      <c r="Q12" s="42">
        <f>(C69*L69)-C12</f>
        <v>2.0000000000000018</v>
      </c>
      <c r="R12" s="42">
        <f t="shared" si="3"/>
        <v>14.000000000000002</v>
      </c>
      <c r="S12" s="30">
        <f t="shared" si="4"/>
        <v>0</v>
      </c>
      <c r="T12" s="30">
        <f t="shared" si="5"/>
        <v>0</v>
      </c>
      <c r="U12" s="31" t="str">
        <f t="shared" si="6"/>
        <v>- -</v>
      </c>
    </row>
    <row r="13" spans="2:21" ht="18" customHeight="1">
      <c r="B13" s="32" t="str">
        <f>'Data Entry'!A13</f>
        <v>8. Cases Resulting in Probation Placement</v>
      </c>
      <c r="C13" s="33">
        <f>'Data Entry'!C13</f>
        <v>15</v>
      </c>
      <c r="D13" s="34">
        <f>IF(((AND(C70&gt;0,C13&gt;0))),(C13/(C70)),0)</f>
        <v>125</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15</v>
      </c>
      <c r="Q13" s="42">
        <f>(C70*L70)-C13</f>
        <v>-3</v>
      </c>
      <c r="R13" s="42">
        <f t="shared" si="3"/>
        <v>12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2</v>
      </c>
      <c r="Q14" s="42">
        <f>(C70*L70)-C14</f>
        <v>10</v>
      </c>
      <c r="R14" s="42">
        <f t="shared" si="3"/>
        <v>12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14.000000000000002</v>
      </c>
      <c r="R15" s="42">
        <f t="shared" si="3"/>
        <v>14.000000000000002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3.1459999999999999</v>
      </c>
      <c r="D42" s="56">
        <f>E6/1000</f>
        <v>5.6000000000000001E-2</v>
      </c>
      <c r="E42" s="56">
        <f>MAX(C42:D42)</f>
        <v>3.1459999999999999</v>
      </c>
      <c r="G42" s="1" t="str">
        <f>B42</f>
        <v>per 1000 youth</v>
      </c>
      <c r="L42" s="57">
        <v>1000</v>
      </c>
      <c r="M42" s="57"/>
      <c r="R42" s="49"/>
    </row>
    <row r="43" spans="2:18" ht="15" hidden="1" customHeight="1">
      <c r="B43" s="49" t="s">
        <v>87</v>
      </c>
      <c r="C43" s="56">
        <f>C7/100</f>
        <v>0.11</v>
      </c>
      <c r="D43" s="56">
        <f>E7/100</f>
        <v>0.02</v>
      </c>
      <c r="E43" s="56">
        <f>MAX(C43:D43,0)</f>
        <v>0.11</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0.14000000000000001</v>
      </c>
      <c r="D45" s="49">
        <f>E11/100</f>
        <v>0</v>
      </c>
      <c r="E45" s="56">
        <f>MAX(C45:D45,0)</f>
        <v>0.14000000000000001</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3.1459999999999999</v>
      </c>
      <c r="D48" s="56">
        <f>D42</f>
        <v>5.6000000000000001E-2</v>
      </c>
      <c r="E48" s="56">
        <f>MAX(C48:D48)</f>
        <v>3.1459999999999999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0.11</v>
      </c>
      <c r="D49" s="49">
        <f t="shared" si="9"/>
        <v>0.02</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3.1459999999999999</v>
      </c>
      <c r="D54" s="56">
        <f>D48</f>
        <v>5.6000000000000001E-2</v>
      </c>
      <c r="E54" s="56">
        <f>MAX(C54:D54)</f>
        <v>3.1459999999999999</v>
      </c>
      <c r="G54" s="1" t="str">
        <f>G48</f>
        <v>per 1000 youth</v>
      </c>
      <c r="L54" s="58">
        <f>L48</f>
        <v>1000</v>
      </c>
      <c r="M54" s="58"/>
    </row>
    <row r="55" spans="2:18" ht="15" hidden="1" customHeight="1">
      <c r="B55" s="49" t="str">
        <f t="shared" ref="B55:D56" si="10">IF(($E49&gt;0),B49,B48)</f>
        <v>per 100 arrests</v>
      </c>
      <c r="C55" s="49">
        <f t="shared" si="10"/>
        <v>0.11</v>
      </c>
      <c r="D55" s="49">
        <f t="shared" si="10"/>
        <v>0.02</v>
      </c>
      <c r="E55" s="49">
        <f>MAX(C55:D55)</f>
        <v>0.11</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3.1459999999999999</v>
      </c>
      <c r="D60" s="56">
        <f>D54</f>
        <v>5.6000000000000001E-2</v>
      </c>
      <c r="E60" s="56">
        <f>MAX(C60:D60)</f>
        <v>3.1459999999999999</v>
      </c>
      <c r="G60" s="1" t="str">
        <f>G54</f>
        <v>per 1000 youth</v>
      </c>
      <c r="L60" s="58">
        <f>L54</f>
        <v>1000</v>
      </c>
      <c r="M60" s="58"/>
    </row>
    <row r="61" spans="2:18" ht="15" hidden="1" customHeight="1">
      <c r="B61" s="49" t="str">
        <f t="shared" ref="B61:D62" si="11">IF(($E55&gt;0),B55,B54)</f>
        <v>per 100 arrests</v>
      </c>
      <c r="C61" s="49">
        <f t="shared" si="11"/>
        <v>0.11</v>
      </c>
      <c r="D61" s="49">
        <f t="shared" si="11"/>
        <v>0.02</v>
      </c>
      <c r="E61" s="49">
        <f>MAX(C61:D61)</f>
        <v>0.11</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3.1459999999999999</v>
      </c>
      <c r="D66" s="56">
        <f>D60</f>
        <v>5.6000000000000001E-2</v>
      </c>
      <c r="E66" s="56">
        <f>MAX(C66:D66)</f>
        <v>3.1459999999999999</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0.02</v>
      </c>
      <c r="E67" s="49">
        <f>MAX(C67:D67)</f>
        <v>0.11</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3146</v>
      </c>
      <c r="D6" s="34"/>
      <c r="E6" s="33">
        <f>'Data Entry'!F6</f>
        <v>32</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3.4965034965034967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32</v>
      </c>
      <c r="P7" s="42">
        <f t="shared" ref="P7:P15" si="4">C7</f>
        <v>11</v>
      </c>
      <c r="Q7" s="42">
        <f>C6-C7</f>
        <v>3135</v>
      </c>
      <c r="R7" s="42">
        <f t="shared" ref="R7:R15" si="5">SUM(N7:Q7)</f>
        <v>3178</v>
      </c>
      <c r="S7" s="30">
        <f t="shared" ref="S7:S15" si="6">R7*((((N7*Q7)-(O7*P7))^2))</f>
        <v>393766912</v>
      </c>
      <c r="T7" s="30">
        <f t="shared" ref="T7:T15" si="7">(N7+O7)*(P7+Q7)*(N7+P7)*(O7+Q7)</f>
        <v>3507110464</v>
      </c>
      <c r="U7" s="31">
        <f t="shared" ref="U7:U15" si="8">IF((S7&gt;0),S7/T7,"- -")</f>
        <v>0.11227673494803271</v>
      </c>
    </row>
    <row r="8" spans="2:21" ht="18" customHeight="1">
      <c r="B8" s="32" t="str">
        <f>'Data Entry'!A8</f>
        <v>3. Refer to Juvenile Court</v>
      </c>
      <c r="C8" s="33">
        <f>'Data Entry'!C8</f>
        <v>21</v>
      </c>
      <c r="D8" s="34">
        <f>IF((AND(C67&gt;0,C8&gt;0)),(C8/C67),0)</f>
        <v>190.90909090909091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-10</v>
      </c>
      <c r="R8" s="42">
        <f t="shared" si="5"/>
        <v>11.05</v>
      </c>
      <c r="S8" s="30">
        <f t="shared" si="6"/>
        <v>12.182625000000002</v>
      </c>
      <c r="T8" s="30">
        <f t="shared" si="7"/>
        <v>-114.9225</v>
      </c>
      <c r="U8" s="31">
        <f t="shared" si="8"/>
        <v>-0.10600730927364095</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21</v>
      </c>
      <c r="R9" s="42">
        <f t="shared" si="5"/>
        <v>21</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9.5238095238095237</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19</v>
      </c>
      <c r="R10" s="42">
        <f t="shared" si="5"/>
        <v>21</v>
      </c>
      <c r="S10" s="30">
        <f t="shared" si="6"/>
        <v>0</v>
      </c>
      <c r="T10" s="30">
        <f t="shared" si="7"/>
        <v>0</v>
      </c>
      <c r="U10" s="31" t="str">
        <f t="shared" si="8"/>
        <v>- -</v>
      </c>
    </row>
    <row r="11" spans="2:21" ht="18" customHeight="1">
      <c r="B11" s="32" t="str">
        <f>'Data Entry'!A11</f>
        <v>6. Cases Petitioned (Charge Filed)</v>
      </c>
      <c r="C11" s="33">
        <f>'Data Entry'!C11</f>
        <v>14</v>
      </c>
      <c r="D11" s="34">
        <f>IF(((AND(C68&gt;0,C11&gt;0))),(C11/(C68)),0)</f>
        <v>66.666666666666671</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14</v>
      </c>
      <c r="Q11" s="42">
        <f>(C$68*L68)-C11</f>
        <v>7</v>
      </c>
      <c r="R11" s="42">
        <f t="shared" si="5"/>
        <v>21</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85.714285714285708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2.0000000000000018</v>
      </c>
      <c r="R12" s="42">
        <f t="shared" si="5"/>
        <v>14.000000000000002</v>
      </c>
      <c r="S12" s="30">
        <f t="shared" si="6"/>
        <v>0</v>
      </c>
      <c r="T12" s="30">
        <f t="shared" si="7"/>
        <v>0</v>
      </c>
      <c r="U12" s="31" t="str">
        <f t="shared" si="8"/>
        <v>- -</v>
      </c>
    </row>
    <row r="13" spans="2:21" ht="18" customHeight="1">
      <c r="B13" s="32" t="str">
        <f>'Data Entry'!A13</f>
        <v>8. Cases Resulting in Probation Placement</v>
      </c>
      <c r="C13" s="33">
        <f>'Data Entry'!C13</f>
        <v>15</v>
      </c>
      <c r="D13" s="34">
        <f>IF(((AND(C70&gt;0,C13&gt;0))),(C13/(C70)),0)</f>
        <v>125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15</v>
      </c>
      <c r="Q13" s="42">
        <f>(C70*L70)-C13</f>
        <v>-3</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10</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3.1459999999999999</v>
      </c>
      <c r="D42" s="56">
        <f>E6/1000</f>
        <v>3.2000000000000001E-2</v>
      </c>
      <c r="E42" s="56">
        <f>MAX(C42:D42)</f>
        <v>3.1459999999999999</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0.14000000000000001</v>
      </c>
      <c r="D45" s="49">
        <f>E11/100</f>
        <v>0</v>
      </c>
      <c r="E45" s="56">
        <f>MAX(C45:D45,0)</f>
        <v>0.14000000000000001</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3.1459999999999999</v>
      </c>
      <c r="D48" s="56">
        <f>D42</f>
        <v>3.2000000000000001E-2</v>
      </c>
      <c r="E48" s="56">
        <f>MAX(C48:D48)</f>
        <v>3.1459999999999999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3.1459999999999999</v>
      </c>
      <c r="D54" s="56">
        <f>D48</f>
        <v>3.2000000000000001E-2</v>
      </c>
      <c r="E54" s="56">
        <f>MAX(C54:D54)</f>
        <v>3.1459999999999999</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3.1459999999999999</v>
      </c>
      <c r="D60" s="56">
        <f>D54</f>
        <v>3.2000000000000001E-2</v>
      </c>
      <c r="E60" s="56">
        <f>MAX(C60:D60)</f>
        <v>3.1459999999999999</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3.1459999999999999</v>
      </c>
      <c r="D66" s="56">
        <f>D60</f>
        <v>3.2000000000000001E-2</v>
      </c>
      <c r="E66" s="56">
        <f>MAX(C66:D66)</f>
        <v>3.1459999999999999</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3146</v>
      </c>
      <c r="D6" s="34"/>
      <c r="E6" s="33">
        <f>'Data Entry'!E6</f>
        <v>425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3.4965034965034967</v>
      </c>
      <c r="E7" s="33">
        <f>'Data Entry'!E7</f>
        <v>3</v>
      </c>
      <c r="F7" s="34">
        <f>IF((AND($E$7&gt;0,$D$66&gt;0)),($E$7/$D$66),0)</f>
        <v>7.0588235294117645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422</v>
      </c>
      <c r="P7" s="42">
        <f t="shared" ref="P7:P15" si="4">C7</f>
        <v>11</v>
      </c>
      <c r="Q7" s="42">
        <f>C6-C7</f>
        <v>3135</v>
      </c>
      <c r="R7" s="42">
        <f t="shared" ref="R7:R15" si="5">SUM(N7:Q7)</f>
        <v>3571</v>
      </c>
      <c r="S7" s="30">
        <f t="shared" ref="S7:S15" si="6">R7*((((N7*Q7)-(O7*P7))^2))</f>
        <v>81012309499</v>
      </c>
      <c r="T7" s="30">
        <f t="shared" ref="T7:T15" si="7">(N7+O7)*(P7+Q7)*(N7+P7)*(O7+Q7)</f>
        <v>66582415900</v>
      </c>
      <c r="U7" s="31">
        <f t="shared" ref="U7:U15" si="8">IF((S7&gt;0),S7/T7,"- -")</f>
        <v>1.2167222892703717</v>
      </c>
    </row>
    <row r="8" spans="2:21" ht="18" customHeight="1">
      <c r="B8" s="32" t="str">
        <f>'Data Entry'!A8</f>
        <v>3. Refer to Juvenile Court</v>
      </c>
      <c r="C8" s="33">
        <f>'Data Entry'!C8</f>
        <v>21</v>
      </c>
      <c r="D8" s="34">
        <f>IF((AND(C67&gt;0,C8&gt;0)),(C8/C67),0)</f>
        <v>190.90909090909091</v>
      </c>
      <c r="E8" s="33">
        <f>'Data Entry'!E8</f>
        <v>10</v>
      </c>
      <c r="F8" s="34">
        <f>IF((AND($E$8&gt;0,$D$67&gt;0)),($E8/$D67),0)</f>
        <v>333.33333333333337</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10</v>
      </c>
      <c r="O8" s="42">
        <f>((D67*L67)-E8)+0.05</f>
        <v>-6.95</v>
      </c>
      <c r="P8" s="42">
        <f t="shared" si="4"/>
        <v>21</v>
      </c>
      <c r="Q8" s="42">
        <f>(C$67*L67)-C8</f>
        <v>-10</v>
      </c>
      <c r="R8" s="42">
        <f t="shared" si="5"/>
        <v>14.05</v>
      </c>
      <c r="S8" s="30">
        <f t="shared" si="6"/>
        <v>29665.205125000022</v>
      </c>
      <c r="T8" s="30">
        <f t="shared" si="7"/>
        <v>-17628.8475</v>
      </c>
      <c r="U8" s="31">
        <f t="shared" si="8"/>
        <v>-1.6827648616848052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10</v>
      </c>
      <c r="P9" s="42">
        <f t="shared" si="4"/>
        <v>0</v>
      </c>
      <c r="Q9" s="42">
        <f>(C$68*L68)-C9</f>
        <v>21</v>
      </c>
      <c r="R9" s="42">
        <f t="shared" si="5"/>
        <v>31</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9.5238095238095237</v>
      </c>
      <c r="E10" s="33">
        <f>'Data Entry'!E10</f>
        <v>1</v>
      </c>
      <c r="F10" s="34">
        <f>IF(((AND($E$10&gt;0,$D$68&gt;0))),($E$10/($D$68)),0)</f>
        <v>10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9</v>
      </c>
      <c r="P10" s="42">
        <f t="shared" si="4"/>
        <v>2</v>
      </c>
      <c r="Q10" s="42">
        <f>(C$68*L68)-C10</f>
        <v>19</v>
      </c>
      <c r="R10" s="42">
        <f t="shared" si="5"/>
        <v>31</v>
      </c>
      <c r="S10" s="30">
        <f t="shared" si="6"/>
        <v>31</v>
      </c>
      <c r="T10" s="30">
        <f t="shared" si="7"/>
        <v>17640</v>
      </c>
      <c r="U10" s="31">
        <f t="shared" si="8"/>
        <v>1.7573696145124717E-3</v>
      </c>
    </row>
    <row r="11" spans="2:21" ht="18" customHeight="1">
      <c r="B11" s="32" t="str">
        <f>'Data Entry'!A11</f>
        <v>6. Cases Petitioned (Charge Filed)</v>
      </c>
      <c r="C11" s="33">
        <f>'Data Entry'!C11</f>
        <v>14</v>
      </c>
      <c r="D11" s="34">
        <f>IF(((AND(C68&gt;0,C11&gt;0))),(C11/(C68)),0)</f>
        <v>66.666666666666671</v>
      </c>
      <c r="E11" s="33">
        <f>'Data Entry'!E11</f>
        <v>10</v>
      </c>
      <c r="F11" s="34">
        <f>IF(((AND($E$11&gt;0,$D$68&gt;0))),($E$11/($D$68)),0)</f>
        <v>100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10</v>
      </c>
      <c r="O11" s="42">
        <f>(D$68*L68)-E11</f>
        <v>0</v>
      </c>
      <c r="P11" s="42">
        <f t="shared" si="4"/>
        <v>14</v>
      </c>
      <c r="Q11" s="42">
        <f>(C$68*L68)-C11</f>
        <v>7</v>
      </c>
      <c r="R11" s="42">
        <f t="shared" si="5"/>
        <v>31</v>
      </c>
      <c r="S11" s="30">
        <f t="shared" si="6"/>
        <v>151900</v>
      </c>
      <c r="T11" s="30">
        <f t="shared" si="7"/>
        <v>35280</v>
      </c>
      <c r="U11" s="31">
        <f t="shared" si="8"/>
        <v>4.3055555555555554</v>
      </c>
    </row>
    <row r="12" spans="2:21" ht="18" customHeight="1">
      <c r="B12" s="32" t="str">
        <f>'Data Entry'!A12</f>
        <v>7. Cases Resulting in Delinquent Findings</v>
      </c>
      <c r="C12" s="33">
        <f>'Data Entry'!C12</f>
        <v>12</v>
      </c>
      <c r="D12" s="34">
        <f>IF(((AND(C69&gt;0,C12&gt;0))),(C12/(C69)),0)</f>
        <v>85.714285714285708</v>
      </c>
      <c r="E12" s="33">
        <f>'Data Entry'!E12</f>
        <v>9</v>
      </c>
      <c r="F12" s="34">
        <f>IF(((AND($D$69&gt;0,$E$12&gt;0))),(E12/(D69)),0)</f>
        <v>90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9</v>
      </c>
      <c r="O12" s="42">
        <f>(D69*L69)-E12</f>
        <v>1</v>
      </c>
      <c r="P12" s="42">
        <f t="shared" si="4"/>
        <v>12</v>
      </c>
      <c r="Q12" s="42">
        <f>(C69*L69)-C12</f>
        <v>2.0000000000000018</v>
      </c>
      <c r="R12" s="42">
        <f t="shared" si="5"/>
        <v>24</v>
      </c>
      <c r="S12" s="30">
        <f t="shared" si="6"/>
        <v>864.00000000000409</v>
      </c>
      <c r="T12" s="30">
        <f t="shared" si="7"/>
        <v>8820.0000000000073</v>
      </c>
      <c r="U12" s="31">
        <f t="shared" si="8"/>
        <v>9.7959183673469771E-2</v>
      </c>
    </row>
    <row r="13" spans="2:21" ht="18" customHeight="1">
      <c r="B13" s="32" t="str">
        <f>'Data Entry'!A13</f>
        <v>8. Cases Resulting in Probation Placement</v>
      </c>
      <c r="C13" s="33">
        <f>'Data Entry'!C13</f>
        <v>15</v>
      </c>
      <c r="D13" s="34">
        <f>IF(((AND(C70&gt;0,C13&gt;0))),(C13/(C70)),0)</f>
        <v>125</v>
      </c>
      <c r="E13" s="33">
        <f>'Data Entry'!E13</f>
        <v>10</v>
      </c>
      <c r="F13" s="34">
        <f>IF(((AND($D$70&gt;0,$E$13&gt;0))),($E$13/($D$70)),0)</f>
        <v>111.11111111111111</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10</v>
      </c>
      <c r="O13" s="42">
        <f>(D70*L70)-E13</f>
        <v>-1</v>
      </c>
      <c r="P13" s="42">
        <f t="shared" si="4"/>
        <v>15</v>
      </c>
      <c r="Q13" s="42">
        <f>(C70*L70)-C13</f>
        <v>-3</v>
      </c>
      <c r="R13" s="42">
        <f t="shared" si="5"/>
        <v>21</v>
      </c>
      <c r="S13" s="30">
        <f t="shared" si="6"/>
        <v>4725</v>
      </c>
      <c r="T13" s="30">
        <f t="shared" si="7"/>
        <v>-10800</v>
      </c>
      <c r="U13" s="31">
        <f t="shared" si="8"/>
        <v>-0.4375</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Entry'!E14</f>
        <v>3</v>
      </c>
      <c r="F14" s="34">
        <f>IF(((AND($D$70&gt;0,$E$14&gt;0))), (($E$14/($D$70))),0)</f>
        <v>33.333333333333336</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3</v>
      </c>
      <c r="O14" s="42">
        <f>(D70*L70)-E14</f>
        <v>6</v>
      </c>
      <c r="P14" s="42">
        <f t="shared" si="4"/>
        <v>2</v>
      </c>
      <c r="Q14" s="42">
        <f>(C70*L70)-C14</f>
        <v>10</v>
      </c>
      <c r="R14" s="42">
        <f t="shared" si="5"/>
        <v>21</v>
      </c>
      <c r="S14" s="30">
        <f t="shared" si="6"/>
        <v>6804</v>
      </c>
      <c r="T14" s="30">
        <f t="shared" si="7"/>
        <v>8640</v>
      </c>
      <c r="U14" s="31">
        <f t="shared" si="8"/>
        <v>0.78749999999999998</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10</v>
      </c>
      <c r="P15" s="42">
        <f t="shared" si="4"/>
        <v>0</v>
      </c>
      <c r="Q15" s="42">
        <f>(C69*L69)-C15</f>
        <v>14.000000000000002</v>
      </c>
      <c r="R15" s="42">
        <f t="shared" si="5"/>
        <v>24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3.1459999999999999</v>
      </c>
      <c r="D42" s="56">
        <f>E6/1000</f>
        <v>0.42499999999999999</v>
      </c>
      <c r="E42" s="56">
        <f>MAX(C42:D42)</f>
        <v>3.1459999999999999</v>
      </c>
      <c r="G42" s="1" t="str">
        <f>B42</f>
        <v>per 1000 youth</v>
      </c>
      <c r="L42" s="57">
        <v>1000</v>
      </c>
      <c r="M42" s="57"/>
      <c r="R42" s="49"/>
    </row>
    <row r="43" spans="2:18" ht="15" hidden="1" customHeight="1">
      <c r="B43" s="49" t="s">
        <v>87</v>
      </c>
      <c r="C43" s="56">
        <f>C7/100</f>
        <v>0.11</v>
      </c>
      <c r="D43" s="56">
        <f>E7/100</f>
        <v>0.03</v>
      </c>
      <c r="E43" s="56">
        <f>MAX(C43:D43,0)</f>
        <v>0.11</v>
      </c>
      <c r="G43" s="1" t="str">
        <f>B43</f>
        <v>per 100 arrests</v>
      </c>
      <c r="L43" s="57">
        <v>100</v>
      </c>
      <c r="M43" s="57"/>
      <c r="R43" s="49"/>
    </row>
    <row r="44" spans="2:18" ht="15" hidden="1" customHeight="1">
      <c r="B44" s="49" t="s">
        <v>88</v>
      </c>
      <c r="C44" s="56">
        <f>C8/100</f>
        <v>0.21</v>
      </c>
      <c r="D44" s="56">
        <f>E8/100</f>
        <v>0.1</v>
      </c>
      <c r="E44" s="56">
        <f>MAX(C44:D44,0)</f>
        <v>0.21</v>
      </c>
      <c r="G44" s="1" t="str">
        <f>B44</f>
        <v>per 100 referrals</v>
      </c>
      <c r="L44" s="57">
        <v>100</v>
      </c>
      <c r="M44" s="57"/>
      <c r="R44" s="49"/>
    </row>
    <row r="45" spans="2:18" ht="15" hidden="1" customHeight="1">
      <c r="B45" s="49" t="s">
        <v>89</v>
      </c>
      <c r="C45" s="49">
        <f>C11/100</f>
        <v>0.14000000000000001</v>
      </c>
      <c r="D45" s="49">
        <f>E11/100</f>
        <v>0.1</v>
      </c>
      <c r="E45" s="56">
        <f>MAX(C45:D45,0)</f>
        <v>0.14000000000000001</v>
      </c>
      <c r="G45" s="1" t="str">
        <f>B45</f>
        <v>per 100 youth petitioned</v>
      </c>
      <c r="L45" s="57">
        <v>100</v>
      </c>
      <c r="M45" s="57"/>
      <c r="R45" s="49"/>
    </row>
    <row r="46" spans="2:18" ht="15" hidden="1" customHeight="1">
      <c r="B46" s="49" t="s">
        <v>90</v>
      </c>
      <c r="C46" s="49">
        <f>C12/100</f>
        <v>0.12</v>
      </c>
      <c r="D46" s="49">
        <f>E12/100</f>
        <v>0.09</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3.1459999999999999</v>
      </c>
      <c r="D48" s="56">
        <f>D42</f>
        <v>0.42499999999999999</v>
      </c>
      <c r="E48" s="56">
        <f>MAX(C48:D48)</f>
        <v>3.1459999999999999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0.03</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0.1</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0.1</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0.09</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3.1459999999999999</v>
      </c>
      <c r="D54" s="56">
        <f>D48</f>
        <v>0.42499999999999999</v>
      </c>
      <c r="E54" s="56">
        <f>MAX(C54:D54)</f>
        <v>3.1459999999999999</v>
      </c>
      <c r="G54" s="1" t="str">
        <f>G48</f>
        <v>per 1000 youth</v>
      </c>
      <c r="L54" s="58">
        <f>L48</f>
        <v>1000</v>
      </c>
      <c r="M54" s="58"/>
    </row>
    <row r="55" spans="2:18" ht="15" hidden="1" customHeight="1">
      <c r="B55" s="49" t="str">
        <f t="shared" ref="B55:D56" si="10">IF(($E49&gt;0),B49,B48)</f>
        <v>per 100 arrests</v>
      </c>
      <c r="C55" s="49">
        <f t="shared" si="10"/>
        <v>0.11</v>
      </c>
      <c r="D55" s="49">
        <f t="shared" si="10"/>
        <v>0.03</v>
      </c>
      <c r="E55" s="49">
        <f>MAX(C55:D55)</f>
        <v>0.11</v>
      </c>
      <c r="G55" s="1" t="str">
        <f>G49</f>
        <v>per 100 arrests</v>
      </c>
      <c r="L55" s="58">
        <f>IF(($E49&gt;0),L49,L48)</f>
        <v>100</v>
      </c>
      <c r="M55" s="58"/>
    </row>
    <row r="56" spans="2:18" ht="15" hidden="1" customHeight="1">
      <c r="B56" s="49" t="str">
        <f t="shared" si="10"/>
        <v>per 100 referrals</v>
      </c>
      <c r="C56" s="49">
        <f t="shared" si="10"/>
        <v>0.21</v>
      </c>
      <c r="D56" s="49">
        <f t="shared" si="10"/>
        <v>0.1</v>
      </c>
      <c r="E56" s="49">
        <f>MAX(C56:D56)</f>
        <v>0.21</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0.1</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0.09</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3.1459999999999999</v>
      </c>
      <c r="D60" s="56">
        <f>D54</f>
        <v>0.42499999999999999</v>
      </c>
      <c r="E60" s="56">
        <f>MAX(C60:D60)</f>
        <v>3.1459999999999999</v>
      </c>
      <c r="G60" s="1" t="str">
        <f>G54</f>
        <v>per 1000 youth</v>
      </c>
      <c r="L60" s="58">
        <f>L54</f>
        <v>1000</v>
      </c>
      <c r="M60" s="58"/>
    </row>
    <row r="61" spans="2:18" ht="15" hidden="1" customHeight="1">
      <c r="B61" s="49" t="str">
        <f t="shared" ref="B61:D62" si="11">IF(($E55&gt;0),B55,B54)</f>
        <v>per 100 arrests</v>
      </c>
      <c r="C61" s="49">
        <f t="shared" si="11"/>
        <v>0.11</v>
      </c>
      <c r="D61" s="49">
        <f t="shared" si="11"/>
        <v>0.03</v>
      </c>
      <c r="E61" s="49">
        <f>MAX(C61:D61)</f>
        <v>0.11</v>
      </c>
      <c r="G61" s="1" t="str">
        <f>G55</f>
        <v>per 100 arrests</v>
      </c>
      <c r="L61" s="58">
        <f>IF(($E55&gt;0),L55,L54)</f>
        <v>100</v>
      </c>
      <c r="M61" s="58"/>
    </row>
    <row r="62" spans="2:18" ht="15" hidden="1" customHeight="1">
      <c r="B62" s="49" t="str">
        <f t="shared" si="11"/>
        <v>per 100 referrals</v>
      </c>
      <c r="C62" s="49">
        <f t="shared" si="11"/>
        <v>0.21</v>
      </c>
      <c r="D62" s="49">
        <f t="shared" si="11"/>
        <v>0.1</v>
      </c>
      <c r="E62" s="49">
        <f>MAX(C62:D62)</f>
        <v>0.21</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0.1</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0.09</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3.1459999999999999</v>
      </c>
      <c r="D66" s="56">
        <f>D60</f>
        <v>0.42499999999999999</v>
      </c>
      <c r="E66" s="56">
        <f>MAX(C66:D66)</f>
        <v>3.1459999999999999</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0.03</v>
      </c>
      <c r="E67" s="49">
        <f>MAX(C67:D67)</f>
        <v>0.11</v>
      </c>
      <c r="G67" s="1" t="str">
        <f>G61</f>
        <v>per 100 arrests</v>
      </c>
      <c r="L67" s="58">
        <f>IF(($E61&gt;0),L61,L60)</f>
        <v>100</v>
      </c>
      <c r="M67" s="58">
        <f>IF((B67=G67),1,2)</f>
        <v>1</v>
      </c>
    </row>
    <row r="68" spans="2:13" ht="15" hidden="1" customHeight="1">
      <c r="B68" s="49" t="str">
        <f t="shared" si="12"/>
        <v>per 100 referrals</v>
      </c>
      <c r="C68" s="49">
        <f t="shared" si="12"/>
        <v>0.21</v>
      </c>
      <c r="D68" s="49">
        <f t="shared" si="12"/>
        <v>0.1</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0.1</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0.09</v>
      </c>
      <c r="E70" s="56">
        <f>MAX(C70:D70)</f>
        <v>0.12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3146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3.4965034965034967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3135</v>
      </c>
      <c r="R7" s="42">
        <f t="shared" ref="R7:R15" si="5">SUM(N7:Q7)</f>
        <v>3146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21</v>
      </c>
      <c r="D8" s="34">
        <f>IF((AND(C67&gt;0,C8&gt;0)),(C8/C67),0)</f>
        <v>190.90909090909091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-10</v>
      </c>
      <c r="R8" s="42">
        <f t="shared" si="5"/>
        <v>11.05</v>
      </c>
      <c r="S8" s="30">
        <f t="shared" si="6"/>
        <v>12.182625000000002</v>
      </c>
      <c r="T8" s="30">
        <f t="shared" si="7"/>
        <v>-114.9225</v>
      </c>
      <c r="U8" s="31">
        <f t="shared" si="8"/>
        <v>-0.10600730927364095</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21</v>
      </c>
      <c r="R9" s="42">
        <f t="shared" si="5"/>
        <v>21</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9.5238095238095237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19</v>
      </c>
      <c r="R10" s="42">
        <f t="shared" si="5"/>
        <v>21</v>
      </c>
      <c r="S10" s="30">
        <f t="shared" si="6"/>
        <v>0</v>
      </c>
      <c r="T10" s="30">
        <f t="shared" si="7"/>
        <v>0</v>
      </c>
      <c r="U10" s="31" t="str">
        <f t="shared" si="8"/>
        <v>- -</v>
      </c>
    </row>
    <row r="11" spans="2:21" ht="18" customHeight="1">
      <c r="B11" s="32" t="str">
        <f>'Data Entry'!A11</f>
        <v>6. Cases Petitioned (Charge Filed)</v>
      </c>
      <c r="C11" s="33">
        <f>'Data Entry'!C11</f>
        <v>14</v>
      </c>
      <c r="D11" s="34">
        <f>IF(((AND(C68&gt;0,C11&gt;0))),(C11/(C68)),0)</f>
        <v>66.666666666666671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14</v>
      </c>
      <c r="Q11" s="42">
        <f>(C$68*L68)-C11</f>
        <v>7</v>
      </c>
      <c r="R11" s="42">
        <f t="shared" si="5"/>
        <v>21</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85.714285714285708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2.0000000000000018</v>
      </c>
      <c r="R12" s="42">
        <f t="shared" si="5"/>
        <v>14.000000000000002</v>
      </c>
      <c r="S12" s="30">
        <f t="shared" si="6"/>
        <v>0</v>
      </c>
      <c r="T12" s="30">
        <f t="shared" si="7"/>
        <v>0</v>
      </c>
      <c r="U12" s="31" t="str">
        <f t="shared" si="8"/>
        <v>- -</v>
      </c>
    </row>
    <row r="13" spans="2:21" ht="18" customHeight="1">
      <c r="B13" s="32" t="str">
        <f>'Data Entry'!A13</f>
        <v>8. Cases Resulting in Probation Placement</v>
      </c>
      <c r="C13" s="33">
        <f>'Data Entry'!C13</f>
        <v>15</v>
      </c>
      <c r="D13" s="34">
        <f>IF(((AND(C70&gt;0,C13&gt;0))),(C13/(C70)),0)</f>
        <v>125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15</v>
      </c>
      <c r="Q13" s="42">
        <f>(C70*L70)-C13</f>
        <v>-3</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10</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3.1459999999999999</v>
      </c>
      <c r="D42" s="56">
        <f>E6/1000</f>
        <v>0</v>
      </c>
      <c r="E42" s="56">
        <f>MAX(C42:D42)</f>
        <v>3.1459999999999999</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0.14000000000000001</v>
      </c>
      <c r="D45" s="49">
        <f>E11/100</f>
        <v>0</v>
      </c>
      <c r="E45" s="56">
        <f>MAX(C45:D45,0)</f>
        <v>0.14000000000000001</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3.1459999999999999</v>
      </c>
      <c r="D48" s="56">
        <f>D42</f>
        <v>0</v>
      </c>
      <c r="E48" s="56">
        <f>MAX(C48:D48)</f>
        <v>3.1459999999999999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3.1459999999999999</v>
      </c>
      <c r="D54" s="56">
        <f>D48</f>
        <v>0</v>
      </c>
      <c r="E54" s="56">
        <f>MAX(C54:D54)</f>
        <v>3.1459999999999999</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3.1459999999999999</v>
      </c>
      <c r="D60" s="56">
        <f>D54</f>
        <v>0</v>
      </c>
      <c r="E60" s="56">
        <f>MAX(C60:D60)</f>
        <v>3.1459999999999999</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3.1459999999999999</v>
      </c>
      <c r="D66" s="56">
        <f>D60</f>
        <v>0</v>
      </c>
      <c r="E66" s="56">
        <f>MAX(C66:D66)</f>
        <v>3.1459999999999999</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Gratiot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3146</v>
      </c>
      <c r="D6" s="34"/>
      <c r="E6" s="33">
        <f>'Data Entry'!H6</f>
        <v>28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3.4965034965034967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28</v>
      </c>
      <c r="P7" s="42">
        <f t="shared" ref="P7:P15" si="4">C7</f>
        <v>11</v>
      </c>
      <c r="Q7" s="42">
        <f>C6-C7</f>
        <v>3135</v>
      </c>
      <c r="R7" s="42">
        <f t="shared" ref="R7:R15" si="5">SUM(N7:Q7)</f>
        <v>3174</v>
      </c>
      <c r="S7" s="30">
        <f t="shared" ref="S7:S15" si="6">R7*((((N7*Q7)-(O7*P7))^2))</f>
        <v>301098336</v>
      </c>
      <c r="T7" s="30">
        <f t="shared" ref="T7:T15" si="7">(N7+O7)*(P7+Q7)*(N7+P7)*(O7+Q7)</f>
        <v>3064845784</v>
      </c>
      <c r="U7" s="31">
        <f t="shared" ref="U7:U15" si="8">IF((S7&gt;0),S7/T7,"- -")</f>
        <v>9.8242573108206999E-2</v>
      </c>
    </row>
    <row r="8" spans="2:21" ht="18" customHeight="1">
      <c r="B8" s="32" t="str">
        <f>'Data Entry'!A8</f>
        <v>3. Refer to Juvenile Court</v>
      </c>
      <c r="C8" s="33">
        <f>'Data Entry'!C8</f>
        <v>21</v>
      </c>
      <c r="D8" s="34">
        <f>IF((AND(C67&gt;0,C8&gt;0)),(C8/C67),0)</f>
        <v>190.90909090909091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-10</v>
      </c>
      <c r="R8" s="42">
        <f t="shared" si="5"/>
        <v>11.05</v>
      </c>
      <c r="S8" s="30">
        <f t="shared" si="6"/>
        <v>12.182625000000002</v>
      </c>
      <c r="T8" s="30">
        <f t="shared" si="7"/>
        <v>-114.9225</v>
      </c>
      <c r="U8" s="31">
        <f t="shared" si="8"/>
        <v>-0.10600730927364095</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21</v>
      </c>
      <c r="R9" s="42">
        <f t="shared" si="5"/>
        <v>21</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9.5238095238095237</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19</v>
      </c>
      <c r="R10" s="42">
        <f t="shared" si="5"/>
        <v>21</v>
      </c>
      <c r="S10" s="30">
        <f t="shared" si="6"/>
        <v>0</v>
      </c>
      <c r="T10" s="30">
        <f t="shared" si="7"/>
        <v>0</v>
      </c>
      <c r="U10" s="31" t="str">
        <f t="shared" si="8"/>
        <v>- -</v>
      </c>
    </row>
    <row r="11" spans="2:21" ht="18" customHeight="1">
      <c r="B11" s="32" t="str">
        <f>'Data Entry'!A11</f>
        <v>6. Cases Petitioned (Charge Filed)</v>
      </c>
      <c r="C11" s="33">
        <f>'Data Entry'!C11</f>
        <v>14</v>
      </c>
      <c r="D11" s="34">
        <f>IF(((AND(C68&gt;0,C11&gt;0))),(C11/(C68)),0)</f>
        <v>66.666666666666671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14</v>
      </c>
      <c r="Q11" s="42">
        <f>(C$68*L68)-C11</f>
        <v>7</v>
      </c>
      <c r="R11" s="42">
        <f t="shared" si="5"/>
        <v>21</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85.714285714285708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2.0000000000000018</v>
      </c>
      <c r="R12" s="42">
        <f t="shared" si="5"/>
        <v>14.000000000000002</v>
      </c>
      <c r="S12" s="30">
        <f t="shared" si="6"/>
        <v>0</v>
      </c>
      <c r="T12" s="30">
        <f t="shared" si="7"/>
        <v>0</v>
      </c>
      <c r="U12" s="31" t="str">
        <f t="shared" si="8"/>
        <v>- -</v>
      </c>
    </row>
    <row r="13" spans="2:21" ht="18" customHeight="1">
      <c r="B13" s="32" t="str">
        <f>'Data Entry'!A13</f>
        <v>8. Cases Resulting in Probation Placement</v>
      </c>
      <c r="C13" s="33">
        <f>'Data Entry'!C13</f>
        <v>15</v>
      </c>
      <c r="D13" s="34">
        <f>IF(((AND(C70&gt;0,C13&gt;0))),(C13/(C70)),0)</f>
        <v>125</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15</v>
      </c>
      <c r="Q13" s="42">
        <f>(C70*L70)-C13</f>
        <v>-3</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10</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3.1459999999999999</v>
      </c>
      <c r="D42" s="56">
        <f>E6/1000</f>
        <v>2.8000000000000001E-2</v>
      </c>
      <c r="E42" s="56">
        <f>MAX(C42:D42)</f>
        <v>3.1459999999999999</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0.14000000000000001</v>
      </c>
      <c r="D45" s="49">
        <f>E11/100</f>
        <v>0</v>
      </c>
      <c r="E45" s="56">
        <f>MAX(C45:D45,0)</f>
        <v>0.14000000000000001</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3.1459999999999999</v>
      </c>
      <c r="D48" s="56">
        <f>D42</f>
        <v>2.8000000000000001E-2</v>
      </c>
      <c r="E48" s="56">
        <f>MAX(C48:D48)</f>
        <v>3.1459999999999999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3.1459999999999999</v>
      </c>
      <c r="D54" s="56">
        <f>D48</f>
        <v>2.8000000000000001E-2</v>
      </c>
      <c r="E54" s="56">
        <f>MAX(C54:D54)</f>
        <v>3.1459999999999999</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3.1459999999999999</v>
      </c>
      <c r="D60" s="56">
        <f>D54</f>
        <v>2.8000000000000001E-2</v>
      </c>
      <c r="E60" s="56">
        <f>MAX(C60:D60)</f>
        <v>3.1459999999999999</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3.1459999999999999</v>
      </c>
      <c r="D66" s="56">
        <f>D60</f>
        <v>2.8000000000000001E-2</v>
      </c>
      <c r="E66" s="56">
        <f>MAX(C66:D66)</f>
        <v>3.1459999999999999</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U47JMPN4QEAR-1806752177-30459</_dlc_DocId>
    <_dlc_DocIdUrl xmlns="ac3811b5-0f3e-49e2-ba69-f2ffa0c782af">
      <Url>https://michiganphi.sharepoint.com/sites/CMDMC/_layouts/15/DocIdRedir.aspx?ID=U47JMPN4QEAR-1806752177-30459</Url>
      <Description>U47JMPN4QEAR-1806752177-30459</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1BFF63A-DDA2-4C0E-B980-6E1F2280DFC4}">
  <ds:schemaRefs>
    <ds:schemaRef ds:uri="http://schemas.microsoft.com/sharepoint/v3/contenttype/forms"/>
  </ds:schemaRefs>
</ds:datastoreItem>
</file>

<file path=customXml/itemProps2.xml><?xml version="1.0" encoding="utf-8"?>
<ds:datastoreItem xmlns:ds="http://schemas.openxmlformats.org/officeDocument/2006/customXml" ds:itemID="{838CAF73-1A2E-49EC-8F89-A00052D74C88}"/>
</file>

<file path=customXml/itemProps3.xml><?xml version="1.0" encoding="utf-8"?>
<ds:datastoreItem xmlns:ds="http://schemas.openxmlformats.org/officeDocument/2006/customXml" ds:itemID="{0AA19459-8B26-4A52-8050-5AA3A7D26AD5}">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85A7A513-79AE-4102-B5A0-BEA2A64966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8b36c0eb-0b7c-4c09-8953-6812b846cee8</vt:lpwstr>
  </property>
</Properties>
</file>