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6145976B-ACA2-4E16-9241-CE902C3BCF82}"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50" i="6" s="1"/>
  <c r="G56" i="6" s="1"/>
  <c r="G62" i="6" s="1"/>
  <c r="G68" i="6" s="1"/>
  <c r="G45" i="6"/>
  <c r="G51" i="6"/>
  <c r="G57" i="6" s="1"/>
  <c r="G63" i="6" s="1"/>
  <c r="G69" i="6" s="1"/>
  <c r="G46" i="6"/>
  <c r="G52" i="6"/>
  <c r="G58" i="6" s="1"/>
  <c r="G64" i="6" s="1"/>
  <c r="G70" i="6" s="1"/>
  <c r="L48" i="6"/>
  <c r="L54" i="6" s="1"/>
  <c r="L60" i="6" s="1"/>
  <c r="L66"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5"/>
  <c r="M66" i="5"/>
  <c r="F27" i="4"/>
  <c r="M66" i="4"/>
  <c r="F27" i="2"/>
  <c r="M66" i="2"/>
  <c r="F27" i="6"/>
  <c r="M66" i="6"/>
  <c r="M66" i="8"/>
  <c r="F27"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D64" i="5" l="1"/>
  <c r="E64" i="5" s="1"/>
  <c r="L64" i="3"/>
  <c r="B56" i="8"/>
  <c r="C57" i="8"/>
  <c r="L56" i="8"/>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E63" i="3"/>
  <c r="C69" i="3" s="1"/>
  <c r="D15" i="3" s="1"/>
  <c r="D70" i="6"/>
  <c r="F13" i="6" s="1"/>
  <c r="L69" i="7"/>
  <c r="C69" i="7"/>
  <c r="D12" i="7" s="1"/>
  <c r="C63" i="8"/>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2" i="3" l="1"/>
  <c r="O14" i="6"/>
  <c r="B69" i="6"/>
  <c r="M69" i="6" s="1"/>
  <c r="B69" i="3"/>
  <c r="M69" i="3" s="1"/>
  <c r="D69" i="3"/>
  <c r="E69" i="3" s="1"/>
  <c r="E63" i="8"/>
  <c r="D69" i="8" s="1"/>
  <c r="F15" i="8" s="1"/>
  <c r="F33" i="3"/>
  <c r="F34" i="3"/>
  <c r="Q13" i="8"/>
  <c r="D13" i="3"/>
  <c r="O13" i="6"/>
  <c r="F14" i="6"/>
  <c r="E70" i="6"/>
  <c r="E70" i="3"/>
  <c r="O13" i="3"/>
  <c r="L69" i="3"/>
  <c r="Q12" i="3" s="1"/>
  <c r="F14" i="3"/>
  <c r="Q12" i="7"/>
  <c r="E69" i="7"/>
  <c r="D15" i="7"/>
  <c r="Q15" i="7"/>
  <c r="D13" i="6"/>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U13" i="4" l="1"/>
  <c r="J13" i="4" s="1"/>
  <c r="M13" i="4" s="1"/>
  <c r="G13" i="4" s="1"/>
  <c r="G14" i="16" s="1"/>
  <c r="F12" i="8"/>
  <c r="F32" i="6"/>
  <c r="F15" i="3"/>
  <c r="R14" i="3"/>
  <c r="S14" i="3" s="1"/>
  <c r="U14" i="3" s="1"/>
  <c r="J14" i="3" s="1"/>
  <c r="M14" i="3" s="1"/>
  <c r="G14" i="3" s="1"/>
  <c r="I15" i="16" s="1"/>
  <c r="K12" i="7"/>
  <c r="F12" i="3"/>
  <c r="F35" i="3"/>
  <c r="R14" i="6"/>
  <c r="S14" i="6" s="1"/>
  <c r="U14" i="6" s="1"/>
  <c r="J14" i="6" s="1"/>
  <c r="M14" i="6" s="1"/>
  <c r="G14" i="6" s="1"/>
  <c r="M15" i="13" s="1"/>
  <c r="F35" i="6"/>
  <c r="O15" i="3"/>
  <c r="F32" i="3"/>
  <c r="B69" i="8"/>
  <c r="M69" i="8" s="1"/>
  <c r="C69" i="8"/>
  <c r="E69" i="8" s="1"/>
  <c r="L69" i="8"/>
  <c r="O15" i="8" s="1"/>
  <c r="R13" i="8"/>
  <c r="S13" i="8" s="1"/>
  <c r="T13" i="6"/>
  <c r="R12" i="7"/>
  <c r="S12" i="7" s="1"/>
  <c r="T12" i="7"/>
  <c r="U14" i="4"/>
  <c r="J14" i="4" s="1"/>
  <c r="M14" i="4" s="1"/>
  <c r="G14" i="4" s="1"/>
  <c r="G15" i="16" s="1"/>
  <c r="T14" i="6"/>
  <c r="R13" i="6"/>
  <c r="S13" i="6" s="1"/>
  <c r="U13" i="6" s="1"/>
  <c r="J13" i="6" s="1"/>
  <c r="M13" i="6" s="1"/>
  <c r="G13" i="6" s="1"/>
  <c r="G13" i="9" s="1"/>
  <c r="R15" i="7"/>
  <c r="S15" i="7" s="1"/>
  <c r="U15" i="7" s="1"/>
  <c r="J15" i="7" s="1"/>
  <c r="M15" i="7" s="1"/>
  <c r="K13" i="6"/>
  <c r="Q15" i="3"/>
  <c r="O12" i="3"/>
  <c r="R12" i="3" s="1"/>
  <c r="S12" i="3" s="1"/>
  <c r="U12" i="3" s="1"/>
  <c r="J12" i="3" s="1"/>
  <c r="K13" i="3"/>
  <c r="T15" i="7"/>
  <c r="O12" i="6"/>
  <c r="U10" i="4"/>
  <c r="J10" i="4" s="1"/>
  <c r="M10" i="4" s="1"/>
  <c r="G10" i="4" s="1"/>
  <c r="G11" i="16" s="1"/>
  <c r="K14" i="6"/>
  <c r="D15" i="6"/>
  <c r="R14" i="8"/>
  <c r="S14" i="8" s="1"/>
  <c r="T13" i="8"/>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D12" i="8"/>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L9" i="4"/>
  <c r="O10" i="16" s="1"/>
  <c r="R13" i="7"/>
  <c r="S13" i="7" s="1"/>
  <c r="Q13" i="2"/>
  <c r="U9" i="3"/>
  <c r="J9" i="3" s="1"/>
  <c r="L9" i="3" s="1"/>
  <c r="N30" i="5"/>
  <c r="L14" i="5"/>
  <c r="Q15" i="16" s="1"/>
  <c r="L13" i="5"/>
  <c r="Q14" i="16" s="1"/>
  <c r="K13" i="7"/>
  <c r="T8" i="2"/>
  <c r="U8" i="2" s="1"/>
  <c r="J8" i="2" s="1"/>
  <c r="M11" i="4"/>
  <c r="G11" i="4" s="1"/>
  <c r="T14" i="7"/>
  <c r="U14" i="7" s="1"/>
  <c r="J14" i="7" s="1"/>
  <c r="K14" i="7"/>
  <c r="E10" i="9"/>
  <c r="I11" i="13"/>
  <c r="D9" i="9"/>
  <c r="G10"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I15" i="13" l="1"/>
  <c r="N30" i="3"/>
  <c r="E14" i="9"/>
  <c r="L13" i="4"/>
  <c r="O14" i="16" s="1"/>
  <c r="L14" i="3"/>
  <c r="P15" i="16" s="1"/>
  <c r="F35" i="8"/>
  <c r="F32" i="8"/>
  <c r="D15" i="8"/>
  <c r="L14" i="4"/>
  <c r="O15" i="16" s="1"/>
  <c r="T15" i="3"/>
  <c r="N30" i="4"/>
  <c r="U13" i="8"/>
  <c r="J13" i="8" s="1"/>
  <c r="M13" i="8" s="1"/>
  <c r="G13" i="8" s="1"/>
  <c r="K14" i="16" s="1"/>
  <c r="Q15" i="8"/>
  <c r="R15" i="8" s="1"/>
  <c r="S15" i="8" s="1"/>
  <c r="Q12" i="8"/>
  <c r="O12" i="8"/>
  <c r="L13" i="3"/>
  <c r="P14" i="16" s="1"/>
  <c r="L10" i="4"/>
  <c r="O11" i="16" s="1"/>
  <c r="D10" i="9"/>
  <c r="G11" i="13"/>
  <c r="L15" i="7"/>
  <c r="S16" i="16" s="1"/>
  <c r="U12" i="7"/>
  <c r="J12" i="7" s="1"/>
  <c r="U13" i="7"/>
  <c r="J13" i="7" s="1"/>
  <c r="M13" i="7" s="1"/>
  <c r="K15" i="3"/>
  <c r="M14" i="13"/>
  <c r="T12" i="6"/>
  <c r="L13" i="6"/>
  <c r="R14" i="16" s="1"/>
  <c r="R12" i="6"/>
  <c r="S12" i="6" s="1"/>
  <c r="U12" i="6" s="1"/>
  <c r="J12" i="6" s="1"/>
  <c r="M12" i="6" s="1"/>
  <c r="G12" i="6" s="1"/>
  <c r="T12" i="3"/>
  <c r="R15" i="3"/>
  <c r="S15" i="3" s="1"/>
  <c r="U15" i="3" s="1"/>
  <c r="J15" i="3" s="1"/>
  <c r="M15" i="3" s="1"/>
  <c r="G15" i="3" s="1"/>
  <c r="I16" i="16" s="1"/>
  <c r="K12" i="3"/>
  <c r="L12" i="3" s="1"/>
  <c r="P13" i="16" s="1"/>
  <c r="K12" i="6"/>
  <c r="K15" i="6"/>
  <c r="U14" i="8"/>
  <c r="J14" i="8" s="1"/>
  <c r="N30" i="8" s="1"/>
  <c r="R15" i="6"/>
  <c r="S15" i="6" s="1"/>
  <c r="U15" i="6" s="1"/>
  <c r="J15" i="6" s="1"/>
  <c r="T15" i="6"/>
  <c r="U12" i="13"/>
  <c r="M11" i="9"/>
  <c r="T13" i="2"/>
  <c r="U8" i="6"/>
  <c r="J8" i="6" s="1"/>
  <c r="M8" i="6" s="1"/>
  <c r="G8" i="6" s="1"/>
  <c r="M9" i="13" s="1"/>
  <c r="R13" i="2"/>
  <c r="S13" i="2" s="1"/>
  <c r="U13" i="2" s="1"/>
  <c r="J13" i="2" s="1"/>
  <c r="M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M9" i="3"/>
  <c r="G9" i="3" s="1"/>
  <c r="I10" i="13" s="1"/>
  <c r="I14" i="13"/>
  <c r="I14" i="16"/>
  <c r="G12" i="13"/>
  <c r="G12" i="16"/>
  <c r="N9" i="9"/>
  <c r="P10" i="16"/>
  <c r="M14" i="7"/>
  <c r="N30" i="7"/>
  <c r="L14" i="7"/>
  <c r="S15" i="16" s="1"/>
  <c r="L8" i="7"/>
  <c r="S9" i="16" s="1"/>
  <c r="O13" i="9"/>
  <c r="M9" i="9"/>
  <c r="O14" i="9"/>
  <c r="V10" i="13"/>
  <c r="W15" i="13"/>
  <c r="U12" i="2"/>
  <c r="J12" i="2" s="1"/>
  <c r="L12" i="2" s="1"/>
  <c r="N13" i="16" s="1"/>
  <c r="D11" i="9"/>
  <c r="E13" i="9"/>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G13" i="2" l="1"/>
  <c r="E14" i="16" s="1"/>
  <c r="V14" i="13"/>
  <c r="U10" i="7"/>
  <c r="J10" i="7" s="1"/>
  <c r="L10" i="7" s="1"/>
  <c r="S11" i="16" s="1"/>
  <c r="M13" i="9"/>
  <c r="N13" i="9"/>
  <c r="N14" i="9"/>
  <c r="U14" i="13"/>
  <c r="V15" i="13"/>
  <c r="U15" i="13"/>
  <c r="M14" i="9"/>
  <c r="L13" i="8"/>
  <c r="T14" i="16" s="1"/>
  <c r="U11" i="13"/>
  <c r="M10" i="9"/>
  <c r="P13" i="9"/>
  <c r="K15" i="8"/>
  <c r="I13" i="9"/>
  <c r="T15" i="8"/>
  <c r="U15" i="8" s="1"/>
  <c r="J15" i="8" s="1"/>
  <c r="M15" i="8" s="1"/>
  <c r="G15" i="8" s="1"/>
  <c r="K16" i="16" s="1"/>
  <c r="R12" i="8"/>
  <c r="S12" i="8" s="1"/>
  <c r="T12" i="8"/>
  <c r="K12" i="8"/>
  <c r="Y16" i="13"/>
  <c r="Q15" i="9"/>
  <c r="Q14" i="13"/>
  <c r="M12" i="7"/>
  <c r="L12" i="7"/>
  <c r="L13" i="7"/>
  <c r="S14" i="16" s="1"/>
  <c r="X14" i="13"/>
  <c r="U11" i="7"/>
  <c r="J11" i="7" s="1"/>
  <c r="L11" i="7" s="1"/>
  <c r="S12" i="16" s="1"/>
  <c r="L12" i="6"/>
  <c r="R13" i="16" s="1"/>
  <c r="L15" i="6"/>
  <c r="R16" i="16" s="1"/>
  <c r="I16" i="13"/>
  <c r="L15" i="3"/>
  <c r="P16" i="16" s="1"/>
  <c r="E15" i="9"/>
  <c r="M14" i="8"/>
  <c r="G14" i="8" s="1"/>
  <c r="K15" i="16" s="1"/>
  <c r="L14" i="8"/>
  <c r="T15" i="16" s="1"/>
  <c r="M15" i="6"/>
  <c r="G15" i="6" s="1"/>
  <c r="G15" i="9" s="1"/>
  <c r="L8" i="6"/>
  <c r="R9" i="16" s="1"/>
  <c r="L15" i="5"/>
  <c r="Q16" i="16" s="1"/>
  <c r="T9" i="13"/>
  <c r="L8" i="9"/>
  <c r="X15" i="13"/>
  <c r="P14" i="9"/>
  <c r="G8" i="9"/>
  <c r="Q14" i="9"/>
  <c r="Y15" i="13"/>
  <c r="E9" i="13"/>
  <c r="L10" i="2"/>
  <c r="N11" i="16" s="1"/>
  <c r="M10" i="7"/>
  <c r="L11" i="6"/>
  <c r="R12" i="16" s="1"/>
  <c r="I10" i="16"/>
  <c r="C8" i="9"/>
  <c r="E9" i="9"/>
  <c r="G12"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R13" i="9" l="1"/>
  <c r="L15" i="8"/>
  <c r="T16" i="16" s="1"/>
  <c r="U12" i="8"/>
  <c r="J12" i="8" s="1"/>
  <c r="M12" i="8" s="1"/>
  <c r="G12" i="8" s="1"/>
  <c r="K13" i="16" s="1"/>
  <c r="Z14" i="13"/>
  <c r="Q15" i="13"/>
  <c r="M11" i="7"/>
  <c r="Y14" i="13"/>
  <c r="Q13" i="9"/>
  <c r="R14" i="9"/>
  <c r="S13" i="16"/>
  <c r="Q12" i="9"/>
  <c r="Y13" i="13"/>
  <c r="M16" i="13"/>
  <c r="P15" i="9"/>
  <c r="P12" i="9"/>
  <c r="I14" i="9"/>
  <c r="X16" i="13"/>
  <c r="X13" i="13"/>
  <c r="N15" i="9"/>
  <c r="V16"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I9" i="9"/>
  <c r="Q10" i="13"/>
  <c r="Q11" i="9"/>
  <c r="Y12" i="13"/>
  <c r="D15" i="9"/>
  <c r="G16" i="13"/>
  <c r="M10" i="8"/>
  <c r="G10" i="8" s="1"/>
  <c r="K11" i="16" s="1"/>
  <c r="L10" i="8"/>
  <c r="T11" i="16" s="1"/>
  <c r="L11" i="8"/>
  <c r="T12" i="16" s="1"/>
  <c r="M11" i="8"/>
  <c r="G11" i="8" s="1"/>
  <c r="K12" i="16" s="1"/>
  <c r="Z16" i="13" l="1"/>
  <c r="R15" i="9"/>
  <c r="L12" i="8"/>
  <c r="Z13" i="13"/>
  <c r="I12" i="9"/>
  <c r="Q13" i="13"/>
  <c r="R9" i="9"/>
  <c r="Z10" i="13"/>
  <c r="R10" i="9"/>
  <c r="Z11" i="13"/>
  <c r="I11" i="9"/>
  <c r="Q12" i="13"/>
  <c r="I10" i="9"/>
  <c r="Q11" i="13"/>
  <c r="R11" i="9"/>
  <c r="Z12" i="13"/>
  <c r="T13" i="16" l="1"/>
  <c r="R12" i="9"/>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<sst xmlns="http://schemas.openxmlformats.org/spreadsheetml/2006/main" count="654" uniqueCount="141">
  <si>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</si>
  <si>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</si>
  <si>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</si>
  <si>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</si>
  <si>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</si>
  <si>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</si>
  <si>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</si>
  <si>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</si>
  <si>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</si>
  <si>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</si>
  <si>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</si>
  <si>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</si>
  <si>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</si>
  <si>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</si>
  <si>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</si>
  <si>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</si>
  <si>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</si>
  <si>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</si>
  <si>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</si>
  <si>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</si>
  <si>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</si>
  <si>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</si>
  <si>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</si>
  <si>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</si>
  <si>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</si>
  <si>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</si>
  <si>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</si>
  <si>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</si>
  <si>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</si>
  <si>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</si>
  <si>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</si>
  <si>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</si>
  <si>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</si>
  <si>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</si>
  <si>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</si>
  <si>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</si>
  <si>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</si>
  <si>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</si>
  <si>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</si>
  <si>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</si>
  <si>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</si>
  <si>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</si>
  <si>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</si>
  <si>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</si>
  <si>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</si>
  <si>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</si>
  <si>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</si>
  <si>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</si>
  <si>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</si>
  <si>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</si>
  <si>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</si>
  <si>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</si>
  <si>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</si>
  <si>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</si>
  <si>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</si>
  <si>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</si>
  <si>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</si>
  <si>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</si>
  <si>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</si>
  <si>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</si>
  <si>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</si>
  <si>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</si>
  <si>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</si>
  <si>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</si>
  <si>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</si>
  <si>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</si>
  <si>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</si>
  <si>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</si>
  <si>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</si>
  <si>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</si>
  <si>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</si>
  <si>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</si>
  <si>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</si>
  <si>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</si>
  <si>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</si>
  <si>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</si>
  <si>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</si>
  <si>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</si>
  <si>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</si>
  <si>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</si>
  <si>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</si>
  <si>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</si>
  <si>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</si>
  <si>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</si>
  <si>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</si>
  <si>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</si>
  <si>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</si>
  <si>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</si>
  <si>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</si>
  <si>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</si>
  <si>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</si>
  <si>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</si>
  <si>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</si>
  <si>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</si>
  <si>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</si>
  <si>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</si>
  <si>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</si>
  <si>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</si>
  <si>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</si>
  <si>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</si>
  <si>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</si>
  <si>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</si>
  <si>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</si>
  <si>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</si>
  <si>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</si>
  <si>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</si>
  <si>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</si>
  <si>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</si>
  <si>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</si>
  <si>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</si>
  <si>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</si>
  <si>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</si>
  <si>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</si>
  <si>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</si>
  <si>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</si>
  <si>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</si>
  <si>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</si>
  <si>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</si>
  <si>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</si>
  <si>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</si>
  <si>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</si>
  <si>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</si>
  <si>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</si>
  <si>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</si>
  <si>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</si>
  <si>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</si>
  <si>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</si>
  <si>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</si>
  <si>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</si>
  <si>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</si>
  <si>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</si>
  <si>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</si>
  <si>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</si>
  <si>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</si>
  <si>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</si>
  <si>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</si>
  <si>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</si>
  <si>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Gratiot</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</si>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</sst>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Gratiot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N=28</c:v>
                </c:pt>
                <c:pt idx="3">
                  <c:v>Petitions, total N=23</c:v>
                </c:pt>
                <c:pt idx="4">
                  <c:v>Detentions, total N=7</c:v>
                </c:pt>
                <c:pt idx="5">
                  <c:v>Referrals, total N=78</c:v>
                </c:pt>
                <c:pt idx="6">
                  <c:v>Arrests, total N=11</c:v>
                </c:pt>
                <c:pt idx="7">
                  <c:v>Population, total N=3235</c:v>
                </c:pt>
              </c:strCache>
            </c:strRef>
          </c:cat>
          <c:val>
            <c:numRef>
              <c:f>'Stacked 100%'!$B$7:$B$14</c:f>
              <c:numCache>
                <c:formatCode>0%</c:formatCode>
                <c:ptCount val="8"/>
                <c:pt idx="0">
                  <c:v>0</c:v>
                </c:pt>
                <c:pt idx="1">
                  <c:v>0</c:v>
                </c:pt>
                <c:pt idx="2">
                  <c:v>3.5714285714285712E-2</c:v>
                </c:pt>
                <c:pt idx="3">
                  <c:v>4.3478260869565216E-2</c:v>
                </c:pt>
                <c:pt idx="4">
                  <c:v>0</c:v>
                </c:pt>
                <c:pt idx="5">
                  <c:v>1.282051282051282E-2</c:v>
                </c:pt>
                <c:pt idx="6">
                  <c:v>0</c:v>
                </c:pt>
                <c:pt idx="7">
                  <c:v>1.5455950540958269E-2</c:v>
                </c:pt>
              </c:numCache>
            </c:numRef>
          </c:val>
          <c:extLst>
            <c:ext xmlns:c16="http://schemas.microsoft.com/office/drawing/2014/chart" uri="{C3380CC4-5D6E-409C-BE32-E72D297353CC}">
              <c16:uniqueId val="{00000000-4A53-488F-B775-C77A398BE5A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N=28</c:v>
                </c:pt>
                <c:pt idx="3">
                  <c:v>Petitions, total N=23</c:v>
                </c:pt>
                <c:pt idx="4">
                  <c:v>Detentions, total N=7</c:v>
                </c:pt>
                <c:pt idx="5">
                  <c:v>Referrals, total N=78</c:v>
                </c:pt>
                <c:pt idx="6">
                  <c:v>Arrests, total N=11</c:v>
                </c:pt>
                <c:pt idx="7">
                  <c:v>Population, total N=3235</c:v>
                </c:pt>
              </c:strCache>
            </c:strRef>
          </c:cat>
          <c:val>
            <c:numRef>
              <c:f>'Stacked 100%'!$C$7:$C$14</c:f>
              <c:numCache>
                <c:formatCode>0%</c:formatCode>
                <c:ptCount val="8"/>
                <c:pt idx="0">
                  <c:v>0</c:v>
                </c:pt>
                <c:pt idx="1">
                  <c:v>0.27272727272727271</c:v>
                </c:pt>
                <c:pt idx="2">
                  <c:v>0.14285714285714285</c:v>
                </c:pt>
                <c:pt idx="3">
                  <c:v>0.17391304347826086</c:v>
                </c:pt>
                <c:pt idx="4">
                  <c:v>0.14285714285714285</c:v>
                </c:pt>
                <c:pt idx="5">
                  <c:v>0.14102564102564102</c:v>
                </c:pt>
                <c:pt idx="6">
                  <c:v>0.18181818181818182</c:v>
                </c:pt>
                <c:pt idx="7">
                  <c:v>0.11901081916537867</c:v>
                </c:pt>
              </c:numCache>
            </c:numRef>
          </c:val>
          <c:extLst>
            <c:ext xmlns:c16="http://schemas.microsoft.com/office/drawing/2014/chart" uri="{C3380CC4-5D6E-409C-BE32-E72D297353CC}">
              <c16:uniqueId val="{00000001-4A53-488F-B775-C77A398BE5A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N=11</c:v>
                </c:pt>
                <c:pt idx="2">
                  <c:v>Delinquent Findings, total N=28</c:v>
                </c:pt>
                <c:pt idx="3">
                  <c:v>Petitions, total N=23</c:v>
                </c:pt>
                <c:pt idx="4">
                  <c:v>Detentions, total N=7</c:v>
                </c:pt>
                <c:pt idx="5">
                  <c:v>Referrals, total N=78</c:v>
                </c:pt>
                <c:pt idx="6">
                  <c:v>Arrests, total N=11</c:v>
                </c:pt>
                <c:pt idx="7">
                  <c:v>Population, total N=3235</c:v>
                </c:pt>
              </c:strCache>
            </c:strRef>
          </c:cat>
          <c:val>
            <c:numRef>
              <c:f>'Stacked 100%'!$H$7:$H$14</c:f>
              <c:numCache>
                <c:formatCode>0%</c:formatCode>
                <c:ptCount val="8"/>
                <c:pt idx="0">
                  <c:v>0</c:v>
                </c:pt>
                <c:pt idx="1">
                  <c:v>0</c:v>
                </c:pt>
                <c:pt idx="2">
                  <c:v>1.2755102040816326E-3</c:v>
                </c:pt>
                <c:pt idx="3">
                  <c:v>3.780718336483932E-3</c:v>
                </c:pt>
                <c:pt idx="4">
                  <c:v>0</c:v>
                </c:pt>
                <c:pt idx="5">
                  <c:v>6.5746219592373431E-4</c:v>
                </c:pt>
                <c:pt idx="6">
                  <c:v>0</c:v>
                </c:pt>
                <c:pt idx="7">
                  <c:v>4.8732827053407841E-6</c:v>
                </c:pt>
              </c:numCache>
            </c:numRef>
          </c:val>
          <c:extLst>
            <c:ext xmlns:c16="http://schemas.microsoft.com/office/drawing/2014/chart" uri="{C3380CC4-5D6E-409C-BE32-E72D297353CC}">
              <c16:uniqueId val="{00000002-4A53-488F-B775-C77A398BE5A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N=11</c:v>
                </c:pt>
                <c:pt idx="2">
                  <c:v>Delinquent Findings, total N=28</c:v>
                </c:pt>
                <c:pt idx="3">
                  <c:v>Petitions, total N=23</c:v>
                </c:pt>
                <c:pt idx="4">
                  <c:v>Detentions, total N=7</c:v>
                </c:pt>
                <c:pt idx="5">
                  <c:v>Referrals, total N=78</c:v>
                </c:pt>
                <c:pt idx="6">
                  <c:v>Arrests, total N=11</c:v>
                </c:pt>
                <c:pt idx="7">
                  <c:v>Population, total N=3235</c:v>
                </c:pt>
              </c:strCache>
            </c:strRef>
          </c:cat>
          <c:val>
            <c:numRef>
              <c:f>'Stacked 100%'!$I$7:$I$14</c:f>
              <c:numCache>
                <c:formatCode>0%</c:formatCode>
                <c:ptCount val="8"/>
                <c:pt idx="0">
                  <c:v>0</c:v>
                </c:pt>
                <c:pt idx="1">
                  <c:v>0.63636363636363635</c:v>
                </c:pt>
                <c:pt idx="2">
                  <c:v>0.7142857142857143</c:v>
                </c:pt>
                <c:pt idx="3">
                  <c:v>0.60869565217391308</c:v>
                </c:pt>
                <c:pt idx="4">
                  <c:v>0.7142857142857143</c:v>
                </c:pt>
                <c:pt idx="5">
                  <c:v>0.5</c:v>
                </c:pt>
                <c:pt idx="6">
                  <c:v>0.63636363636363635</c:v>
                </c:pt>
                <c:pt idx="7">
                  <c:v>0.84976816074188566</c:v>
                </c:pt>
              </c:numCache>
            </c:numRef>
          </c:val>
          <c:extLst>
            <c:ext xmlns:c16="http://schemas.microsoft.com/office/drawing/2014/chart" uri="{C3380CC4-5D6E-409C-BE32-E72D297353CC}">
              <c16:uniqueId val="{00000003-4A53-488F-B775-C77A398BE5A0}"/>
            </c:ext>
          </c:extLst>
        </c:ser>
        <c:dLbls>
          <c:showLegendKey val="0"/>
          <c:showVal val="0"/>
          <c:showCatName val="0"/>
          <c:showSerName val="0"/>
          <c:showPercent val="0"/>
          <c:showBubbleSize val="0"/>
        </c:dLbls>
        <c:gapWidth val="150"/>
        <c:overlap val="100"/>
        <c:axId val="70322816"/>
        <c:axId val="703368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N=11</c:v>
                </c:pt>
                <c:pt idx="2">
                  <c:v>Delinquent Findings, total N=28</c:v>
                </c:pt>
                <c:pt idx="3">
                  <c:v>Petitions, total N=23</c:v>
                </c:pt>
                <c:pt idx="4">
                  <c:v>Detentions, total N=7</c:v>
                </c:pt>
                <c:pt idx="5">
                  <c:v>Referrals, total N=78</c:v>
                </c:pt>
                <c:pt idx="6">
                  <c:v>Arrests, total N=11</c:v>
                </c:pt>
                <c:pt idx="7">
                  <c:v>Population, total N=3235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4A53-488F-B775-C77A398BE5A0}"/>
            </c:ext>
          </c:extLst>
        </c:ser>
        <c:dLbls>
          <c:showLegendKey val="0"/>
          <c:showVal val="0"/>
          <c:showCatName val="0"/>
          <c:showSerName val="0"/>
          <c:showPercent val="0"/>
          <c:showBubbleSize val="0"/>
        </c:dLbls>
        <c:gapWidth val="150"/>
        <c:overlap val="100"/>
        <c:axId val="70339968"/>
        <c:axId val="70338432"/>
      </c:barChart>
      <c:catAx>
        <c:axId val="70322816"/>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70336896"/>
        <c:crosses val="autoZero"/>
        <c:auto val="1"/>
        <c:lblAlgn val="ctr"/>
        <c:lblOffset val="100"/>
        <c:noMultiLvlLbl val="0"/>
      </c:catAx>
      <c:valAx>
        <c:axId val="703368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70322816"/>
        <c:crosses val="autoZero"/>
        <c:crossBetween val="between"/>
      </c:valAx>
      <c:valAx>
        <c:axId val="70338432"/>
        <c:scaling>
          <c:orientation val="minMax"/>
        </c:scaling>
        <c:delete val="1"/>
        <c:axPos val="t"/>
        <c:numFmt formatCode="0%" sourceLinked="1"/>
        <c:majorTickMark val="out"/>
        <c:minorTickMark val="none"/>
        <c:tickLblPos val="nextTo"/>
        <c:crossAx val="70339968"/>
        <c:crosses val="max"/>
        <c:crossBetween val="between"/>
      </c:valAx>
      <c:catAx>
        <c:axId val="70339968"/>
        <c:scaling>
          <c:orientation val="minMax"/>
        </c:scaling>
        <c:delete val="1"/>
        <c:axPos val="l"/>
        <c:numFmt formatCode="General" sourceLinked="1"/>
        <c:majorTickMark val="out"/>
        <c:minorTickMark val="none"/>
        <c:tickLblPos val="nextTo"/>
        <c:crossAx val="703384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3235</v>
      </c>
      <c r="C6" s="11">
        <v>2749</v>
      </c>
      <c r="D6" s="11">
        <v>50</v>
      </c>
      <c r="E6" s="11">
        <v>385</v>
      </c>
      <c r="F6" s="11">
        <v>27</v>
      </c>
      <c r="G6" s="11"/>
      <c r="H6" s="11">
        <v>24</v>
      </c>
      <c r="I6" s="11"/>
      <c r="J6" s="91">
        <f>SUM(D6:I6)</f>
        <v>486</v>
      </c>
      <c r="K6" s="92"/>
    </row>
    <row r="7" spans="1:11" ht="15.75" customHeight="1" thickBot="1" x14ac:dyDescent="0.25">
      <c r="A7" s="10" t="s">
        <v>8</v>
      </c>
      <c r="B7" s="11">
        <f t="shared" ref="B7:B15" si="0">SUM(C7:I7)+K7</f>
        <v>11</v>
      </c>
      <c r="C7" s="11">
        <v>7</v>
      </c>
      <c r="D7" s="11"/>
      <c r="E7" s="11">
        <v>2</v>
      </c>
      <c r="F7" s="11"/>
      <c r="G7" s="11"/>
      <c r="H7" s="11"/>
      <c r="I7" s="11"/>
      <c r="J7" s="91">
        <f t="shared" ref="J7:J15" si="1">SUM(D7:I7)</f>
        <v>2</v>
      </c>
      <c r="K7" s="92">
        <v>2</v>
      </c>
    </row>
    <row r="8" spans="1:11" ht="15.75" customHeight="1" thickBot="1" x14ac:dyDescent="0.25">
      <c r="A8" s="10" t="s">
        <v>9</v>
      </c>
      <c r="B8" s="11">
        <f t="shared" si="0"/>
        <v>78</v>
      </c>
      <c r="C8" s="11">
        <v>39</v>
      </c>
      <c r="D8" s="11">
        <v>1</v>
      </c>
      <c r="E8" s="11">
        <v>11</v>
      </c>
      <c r="F8" s="11"/>
      <c r="G8" s="11"/>
      <c r="H8" s="11"/>
      <c r="I8" s="11">
        <v>4</v>
      </c>
      <c r="J8" s="91">
        <f t="shared" si="1"/>
        <v>16</v>
      </c>
      <c r="K8" s="92">
        <v>23</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7</v>
      </c>
      <c r="C10" s="11">
        <v>5</v>
      </c>
      <c r="D10" s="11"/>
      <c r="E10" s="11">
        <v>1</v>
      </c>
      <c r="F10" s="11"/>
      <c r="G10" s="11"/>
      <c r="H10" s="11"/>
      <c r="I10" s="11"/>
      <c r="J10" s="91">
        <f t="shared" si="1"/>
        <v>1</v>
      </c>
      <c r="K10" s="92">
        <v>1</v>
      </c>
    </row>
    <row r="11" spans="1:11" ht="15.75" customHeight="1" thickBot="1" x14ac:dyDescent="0.25">
      <c r="A11" s="10" t="s">
        <v>12</v>
      </c>
      <c r="B11" s="11">
        <f t="shared" si="0"/>
        <v>23</v>
      </c>
      <c r="C11" s="11">
        <v>14</v>
      </c>
      <c r="D11" s="11">
        <v>1</v>
      </c>
      <c r="E11" s="11">
        <v>4</v>
      </c>
      <c r="F11" s="11"/>
      <c r="G11" s="11"/>
      <c r="H11" s="11"/>
      <c r="I11" s="11">
        <v>2</v>
      </c>
      <c r="J11" s="91">
        <f t="shared" si="1"/>
        <v>7</v>
      </c>
      <c r="K11" s="92">
        <v>2</v>
      </c>
    </row>
    <row r="12" spans="1:11" ht="15.75" customHeight="1" thickBot="1" x14ac:dyDescent="0.25">
      <c r="A12" s="10" t="s">
        <v>13</v>
      </c>
      <c r="B12" s="11">
        <f t="shared" si="0"/>
        <v>28</v>
      </c>
      <c r="C12" s="11">
        <v>20</v>
      </c>
      <c r="D12" s="11">
        <v>1</v>
      </c>
      <c r="E12" s="11">
        <v>4</v>
      </c>
      <c r="F12" s="11"/>
      <c r="G12" s="11"/>
      <c r="H12" s="11"/>
      <c r="I12" s="11">
        <v>1</v>
      </c>
      <c r="J12" s="91">
        <f t="shared" si="1"/>
        <v>6</v>
      </c>
      <c r="K12" s="92">
        <v>2</v>
      </c>
    </row>
    <row r="13" spans="1:11" ht="15.75" customHeight="1" thickBot="1" x14ac:dyDescent="0.25">
      <c r="A13" s="10" t="s">
        <v>133</v>
      </c>
      <c r="B13" s="11">
        <f t="shared" si="0"/>
        <v>6</v>
      </c>
      <c r="C13" s="11">
        <v>4</v>
      </c>
      <c r="D13" s="11"/>
      <c r="E13" s="11"/>
      <c r="F13" s="11"/>
      <c r="G13" s="11"/>
      <c r="H13" s="11"/>
      <c r="I13" s="11"/>
      <c r="J13" s="91">
        <f t="shared" si="1"/>
        <v>0</v>
      </c>
      <c r="K13" s="92">
        <v>2</v>
      </c>
    </row>
    <row r="14" spans="1:11" ht="26.25" customHeight="1" thickBot="1" x14ac:dyDescent="0.25">
      <c r="A14" s="10" t="s">
        <v>123</v>
      </c>
      <c r="B14" s="11">
        <f t="shared" si="0"/>
        <v>11</v>
      </c>
      <c r="C14" s="11">
        <v>7</v>
      </c>
      <c r="D14" s="11"/>
      <c r="E14" s="11">
        <v>3</v>
      </c>
      <c r="F14" s="11"/>
      <c r="G14" s="11"/>
      <c r="H14" s="11"/>
      <c r="I14" s="11"/>
      <c r="J14" s="91">
        <f t="shared" si="1"/>
        <v>3</v>
      </c>
      <c r="K14" s="92">
        <v>1</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138</v>
      </c>
      <c r="B19" s="176"/>
      <c r="C19" s="8"/>
      <c r="D19" s="176" t="s">
        <v>139</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Gratiot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2749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2.5463805020007273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2742</v>
      </c>
      <c r="R7" s="42">
        <f t="shared" ref="R7:R15" si="5">SUM(N7:Q7)</f>
        <v>2749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39</v>
      </c>
      <c r="D8" s="34">
        <f>IF((AND(C67&gt;0,C8&gt;0)),(C8/C67),0)</f>
        <v>557.14285714285711</v>
      </c>
      <c r="E8" s="33">
        <f>'Data Entry'!I8</f>
        <v>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v>
      </c>
      <c r="O8" s="42">
        <f>((D67*L67)-E8)+0.05</f>
        <v>-3.95</v>
      </c>
      <c r="P8" s="42">
        <f t="shared" si="4"/>
        <v>39</v>
      </c>
      <c r="Q8" s="42">
        <f>(C$67*L67)-C8</f>
        <v>-32</v>
      </c>
      <c r="R8" s="42">
        <f t="shared" si="5"/>
        <v>7.0499999999999972</v>
      </c>
      <c r="S8" s="30">
        <f t="shared" si="6"/>
        <v>4784.1476250000023</v>
      </c>
      <c r="T8" s="30">
        <f t="shared" si="7"/>
        <v>-541.04749999999819</v>
      </c>
      <c r="U8" s="31">
        <f t="shared" si="8"/>
        <v>-8.8423800590521502</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39</v>
      </c>
      <c r="R9" s="42">
        <f t="shared" si="5"/>
        <v>43</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12.820512820512819</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4</v>
      </c>
      <c r="P10" s="42">
        <f t="shared" si="4"/>
        <v>5</v>
      </c>
      <c r="Q10" s="42">
        <f>(C$68*L68)-C10</f>
        <v>34</v>
      </c>
      <c r="R10" s="42">
        <f t="shared" si="5"/>
        <v>43</v>
      </c>
      <c r="S10" s="30">
        <f t="shared" si="6"/>
        <v>17200</v>
      </c>
      <c r="T10" s="30">
        <f t="shared" si="7"/>
        <v>29640</v>
      </c>
      <c r="U10" s="31">
        <f t="shared" si="8"/>
        <v>0.58029689608636981</v>
      </c>
    </row>
    <row r="11" spans="2:21" ht="18" customHeight="1" x14ac:dyDescent="0.25">
      <c r="B11" s="32" t="str">
        <f>'Data Entry'!A11</f>
        <v>6. Cases Petitioned (Charge Filed)</v>
      </c>
      <c r="C11" s="33">
        <f>'Data Entry'!C11</f>
        <v>14</v>
      </c>
      <c r="D11" s="34">
        <f>IF(((AND(C68&gt;0,C11&gt;0))),(C11/(C68)),0)</f>
        <v>35.897435897435898</v>
      </c>
      <c r="E11" s="33">
        <f>'Data Entry'!I11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2</v>
      </c>
      <c r="P11" s="42">
        <f t="shared" si="4"/>
        <v>14</v>
      </c>
      <c r="Q11" s="42">
        <f>(C$68*L68)-C11</f>
        <v>25</v>
      </c>
      <c r="R11" s="42">
        <f t="shared" si="5"/>
        <v>43</v>
      </c>
      <c r="S11" s="30">
        <f t="shared" si="6"/>
        <v>20812</v>
      </c>
      <c r="T11" s="30">
        <f t="shared" si="7"/>
        <v>67392</v>
      </c>
      <c r="U11" s="31">
        <f t="shared" si="8"/>
        <v>0.30882003798670465</v>
      </c>
    </row>
    <row r="12" spans="2:21" ht="18" customHeight="1" x14ac:dyDescent="0.25">
      <c r="B12" s="32" t="str">
        <f>'Data Entry'!A12</f>
        <v>7. Cases Resulting in Delinquent Findings</v>
      </c>
      <c r="C12" s="33">
        <f>'Data Entry'!C12</f>
        <v>20</v>
      </c>
      <c r="D12" s="34">
        <f>IF(((AND(C69&gt;0,C12&gt;0))),(C12/(C69)),0)</f>
        <v>142.85714285714283</v>
      </c>
      <c r="E12" s="33">
        <f>'Data Entry'!I12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1</v>
      </c>
      <c r="P12" s="42">
        <f t="shared" si="4"/>
        <v>20</v>
      </c>
      <c r="Q12" s="42">
        <f>(C69*L69)-C12</f>
        <v>-5.9999999999999982</v>
      </c>
      <c r="R12" s="42">
        <f t="shared" si="5"/>
        <v>16</v>
      </c>
      <c r="S12" s="30">
        <f t="shared" si="6"/>
        <v>10816</v>
      </c>
      <c r="T12" s="30">
        <f t="shared" si="7"/>
        <v>-2939.9999999999995</v>
      </c>
      <c r="U12" s="31">
        <f t="shared" si="8"/>
        <v>-3.6789115646258508</v>
      </c>
    </row>
    <row r="13" spans="2:21" ht="18" customHeight="1" x14ac:dyDescent="0.25">
      <c r="B13" s="32" t="str">
        <f>'Data Entry'!A13</f>
        <v>8. Cases Resulting in Probation Placement</v>
      </c>
      <c r="C13" s="33">
        <f>'Data Entry'!C13</f>
        <v>4</v>
      </c>
      <c r="D13" s="34">
        <f>IF(((AND(C70&gt;0,C13&gt;0))),(C13/(C70)),0)</f>
        <v>20</v>
      </c>
      <c r="E13" s="33">
        <f>'Data Entry'!I13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0</v>
      </c>
      <c r="O13" s="42">
        <f>(D70*L70)-E13</f>
        <v>1</v>
      </c>
      <c r="P13" s="42">
        <f t="shared" si="4"/>
        <v>4</v>
      </c>
      <c r="Q13" s="42">
        <f>(C70*L70)-C13</f>
        <v>16</v>
      </c>
      <c r="R13" s="42">
        <f t="shared" si="5"/>
        <v>21</v>
      </c>
      <c r="S13" s="30">
        <f t="shared" si="6"/>
        <v>336</v>
      </c>
      <c r="T13" s="30">
        <f t="shared" si="7"/>
        <v>1360</v>
      </c>
      <c r="U13" s="31">
        <f t="shared" si="8"/>
        <v>0.24705882352941178</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7</v>
      </c>
      <c r="Q14" s="42">
        <f>(C70*L70)-C14</f>
        <v>13</v>
      </c>
      <c r="R14" s="42">
        <f t="shared" si="5"/>
        <v>21</v>
      </c>
      <c r="S14" s="30">
        <f t="shared" si="6"/>
        <v>1029</v>
      </c>
      <c r="T14" s="30">
        <f t="shared" si="7"/>
        <v>1960</v>
      </c>
      <c r="U14" s="31">
        <f t="shared" si="8"/>
        <v>0.52500000000000002</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14.000000000000002</v>
      </c>
      <c r="R15" s="42">
        <f t="shared" si="5"/>
        <v>16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2.7490000000000001</v>
      </c>
      <c r="D42" s="56">
        <f>E6/1000</f>
        <v>0</v>
      </c>
      <c r="E42" s="56">
        <f>MAX(C42:D42)</f>
        <v>2.7490000000000001</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0.39</v>
      </c>
      <c r="D44" s="56">
        <f>E8/100</f>
        <v>0.04</v>
      </c>
      <c r="E44" s="56">
        <f>MAX(C44:D44,0)</f>
        <v>0.39</v>
      </c>
      <c r="G44" s="1" t="str">
        <f>B44</f>
        <v>per 100 referrals</v>
      </c>
      <c r="L44" s="57">
        <v>100</v>
      </c>
      <c r="M44" s="57"/>
      <c r="R44" s="49"/>
    </row>
    <row r="45" spans="2:18" ht="15" hidden="1" customHeight="1" x14ac:dyDescent="0.25">
      <c r="B45" s="49" t="s">
        <v>89</v>
      </c>
      <c r="C45" s="49">
        <f>C11/100</f>
        <v>0.14000000000000001</v>
      </c>
      <c r="D45" s="49">
        <f>E11/100</f>
        <v>0.02</v>
      </c>
      <c r="E45" s="56">
        <f>MAX(C45:D45,0)</f>
        <v>0.14000000000000001</v>
      </c>
      <c r="G45" s="1" t="str">
        <f>B45</f>
        <v>per 100 youth petitioned</v>
      </c>
      <c r="L45" s="57">
        <v>100</v>
      </c>
      <c r="M45" s="57"/>
      <c r="R45" s="49"/>
    </row>
    <row r="46" spans="2:18" ht="15" hidden="1" customHeight="1" x14ac:dyDescent="0.25">
      <c r="B46" s="49" t="s">
        <v>90</v>
      </c>
      <c r="C46" s="49">
        <f>C12/100</f>
        <v>0.2</v>
      </c>
      <c r="D46" s="49">
        <f>E12/100</f>
        <v>0.01</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2.7490000000000001</v>
      </c>
      <c r="D48" s="56">
        <f>D42</f>
        <v>0</v>
      </c>
      <c r="E48" s="56">
        <f>MAX(C48:D48)</f>
        <v>2.7490000000000001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0.39</v>
      </c>
      <c r="D50" s="49">
        <f t="shared" si="9"/>
        <v>0.04</v>
      </c>
      <c r="E50" s="49">
        <f>MAX(C50:D50)</f>
        <v>0.39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0.14000000000000001</v>
      </c>
      <c r="D51" s="49">
        <f>IF(($E45&gt;0),D45,D44)</f>
        <v>0.02</v>
      </c>
      <c r="E51" s="49">
        <f>MAX(C51:D51)</f>
        <v>0.14000000000000001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0.01</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2.7490000000000001</v>
      </c>
      <c r="D54" s="56">
        <f>D48</f>
        <v>0</v>
      </c>
      <c r="E54" s="56">
        <f>MAX(C54:D54)</f>
        <v>2.7490000000000001</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0.39</v>
      </c>
      <c r="D56" s="49">
        <f t="shared" si="10"/>
        <v>0.04</v>
      </c>
      <c r="E56" s="49">
        <f>MAX(C56:D56)</f>
        <v>0.39</v>
      </c>
      <c r="G56" s="1" t="str">
        <f>G50</f>
        <v>per 100 referrals</v>
      </c>
      <c r="L56" s="58">
        <f>IF(($E50&gt;0),L50,L49)</f>
        <v>100</v>
      </c>
      <c r="M56" s="58"/>
    </row>
    <row r="57" spans="2:18" ht="15" hidden="1" customHeight="1" x14ac:dyDescent="0.25">
      <c r="B57" s="49" t="str">
        <f>IF(($E51&gt;0),B51,B49)</f>
        <v>per 100 youth petitioned</v>
      </c>
      <c r="C57" s="49">
        <f>IF(($E51&gt;0),C51,C50)</f>
        <v>0.14000000000000001</v>
      </c>
      <c r="D57" s="49">
        <f>IF(($E51&gt;0),D51,D50)</f>
        <v>0.02</v>
      </c>
      <c r="E57" s="49">
        <f>MAX(C57:D57)</f>
        <v>0.14000000000000001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0.01</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2.7490000000000001</v>
      </c>
      <c r="D60" s="56">
        <f>D54</f>
        <v>0</v>
      </c>
      <c r="E60" s="56">
        <f>MAX(C60:D60)</f>
        <v>2.7490000000000001</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0.39</v>
      </c>
      <c r="D62" s="49">
        <f t="shared" si="11"/>
        <v>0.04</v>
      </c>
      <c r="E62" s="49">
        <f>MAX(C62:D62)</f>
        <v>0.39</v>
      </c>
      <c r="G62" s="1" t="str">
        <f>G56</f>
        <v>per 100 referrals</v>
      </c>
      <c r="L62" s="58">
        <f>IF(($E56&gt;0),L56,L55)</f>
        <v>100</v>
      </c>
      <c r="M62" s="58"/>
    </row>
    <row r="63" spans="2:18" ht="15" hidden="1" customHeight="1" x14ac:dyDescent="0.25">
      <c r="B63" s="49" t="str">
        <f>IF(($E57&gt;0),B57,B55)</f>
        <v>per 100 youth petitioned</v>
      </c>
      <c r="C63" s="49">
        <f>IF(($E57&gt;0),C57,C56)</f>
        <v>0.14000000000000001</v>
      </c>
      <c r="D63" s="49">
        <f>IF(($E57&gt;0),D57,D56)</f>
        <v>0.02</v>
      </c>
      <c r="E63" s="49">
        <f>MAX(C63:D63)</f>
        <v>0.14000000000000001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0.01</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2.7490000000000001</v>
      </c>
      <c r="D66" s="56">
        <f>D60</f>
        <v>0</v>
      </c>
      <c r="E66" s="56">
        <f>MAX(C66:D66)</f>
        <v>2.7490000000000001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0.39</v>
      </c>
      <c r="D68" s="49">
        <f t="shared" si="12"/>
        <v>0.04</v>
      </c>
      <c r="E68" s="49">
        <f>MAX(C68:D68)</f>
        <v>0.39</v>
      </c>
      <c r="G68" s="1" t="str">
        <f>G62</f>
        <v>per 100 referrals</v>
      </c>
      <c r="L68" s="58">
        <f>IF(($E62&gt;0),L62,L61)</f>
        <v>100</v>
      </c>
      <c r="M68" s="58">
        <f>IF((B68=G68),1,2)</f>
        <v>1</v>
      </c>
    </row>
    <row r="69" spans="2:13" ht="15" hidden="1" customHeight="1" x14ac:dyDescent="0.25">
      <c r="B69" s="49" t="str">
        <f>IF(($E63&gt;0),B63,B61)</f>
        <v>per 100 youth petitioned</v>
      </c>
      <c r="C69" s="49">
        <f>IF(($E63&gt;0),C63,C62)</f>
        <v>0.14000000000000001</v>
      </c>
      <c r="D69" s="49">
        <f>IF(($E63&gt;0),D63,D62)</f>
        <v>0.02</v>
      </c>
      <c r="E69" s="49">
        <f>MAX(C69:D69)</f>
        <v>0.14000000000000001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0.01</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Gratiot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2749</v>
      </c>
      <c r="D6" s="34"/>
      <c r="E6" s="33">
        <f>'Data Entry'!J6</f>
        <v>486</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2.5463805020007273</v>
      </c>
      <c r="E7" s="33">
        <f>'Data Entry'!J7</f>
        <v>2</v>
      </c>
      <c r="F7" s="34">
        <f>IF((AND($E$7&gt;0,$D$66&gt;0)),($E$7/$D$66),0)</f>
        <v>4.1152263374485596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484</v>
      </c>
      <c r="P7" s="42">
        <f t="shared" ref="P7:P15" si="4">C7</f>
        <v>7</v>
      </c>
      <c r="Q7" s="42">
        <f>C6-C7</f>
        <v>2742</v>
      </c>
      <c r="R7" s="42">
        <f t="shared" ref="R7:R15" si="5">SUM(N7:Q7)</f>
        <v>3235</v>
      </c>
      <c r="S7" s="30">
        <f t="shared" ref="S7:S15" si="6">R7*((((N7*Q7)-(O7*P7))^2))</f>
        <v>14212053760</v>
      </c>
      <c r="T7" s="30">
        <f t="shared" ref="T7:T15" si="7">(N7+O7)*(P7+Q7)*(N7+P7)*(O7+Q7)</f>
        <v>38789830476</v>
      </c>
      <c r="U7" s="31">
        <f t="shared" ref="U7:U15" si="8">IF((S7&gt;0),S7/T7,"- -")</f>
        <v>0.36638607556672015</v>
      </c>
    </row>
    <row r="8" spans="2:21" ht="18" customHeight="1" x14ac:dyDescent="0.25">
      <c r="B8" s="32" t="str">
        <f>'Data Entry'!A8</f>
        <v>3. Refer to Juvenile Court</v>
      </c>
      <c r="C8" s="33">
        <f>'Data Entry'!C8</f>
        <v>39</v>
      </c>
      <c r="D8" s="34">
        <f>IF((AND(C67&gt;0,C8&gt;0)),(C8/C67),0)</f>
        <v>557.14285714285711</v>
      </c>
      <c r="E8" s="33">
        <f>'Data Entry'!J8</f>
        <v>16</v>
      </c>
      <c r="F8" s="34">
        <f>IF((AND($E$8&gt;0,$D$67&gt;0)),($E8/$D67),0)</f>
        <v>800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16</v>
      </c>
      <c r="O8" s="42">
        <f>((D67*L67)-E8)+0.05</f>
        <v>-13.95</v>
      </c>
      <c r="P8" s="42">
        <f t="shared" si="4"/>
        <v>39</v>
      </c>
      <c r="Q8" s="42">
        <f>(C$67*L67)-C8</f>
        <v>-32</v>
      </c>
      <c r="R8" s="42">
        <f t="shared" si="5"/>
        <v>9.0499999999999972</v>
      </c>
      <c r="S8" s="30">
        <f t="shared" si="6"/>
        <v>9296.1826249999704</v>
      </c>
      <c r="T8" s="30">
        <f t="shared" si="7"/>
        <v>-36266.037500000013</v>
      </c>
      <c r="U8" s="31">
        <f t="shared" si="8"/>
        <v>-0.25633301198125014</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16</v>
      </c>
      <c r="P9" s="42">
        <f t="shared" si="4"/>
        <v>0</v>
      </c>
      <c r="Q9" s="42">
        <f>(C$68*L68)-C9</f>
        <v>39</v>
      </c>
      <c r="R9" s="42">
        <f t="shared" si="5"/>
        <v>55</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12.820512820512819</v>
      </c>
      <c r="E10" s="33">
        <f>'Data Entry'!J10</f>
        <v>1</v>
      </c>
      <c r="F10" s="34">
        <f>IF(((AND($E$10&gt;0,$D$68&gt;0))),($E$10/($D$68)),0)</f>
        <v>6.25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15</v>
      </c>
      <c r="P10" s="42">
        <f t="shared" si="4"/>
        <v>5</v>
      </c>
      <c r="Q10" s="42">
        <f>(C$68*L68)-C10</f>
        <v>34</v>
      </c>
      <c r="R10" s="42">
        <f t="shared" si="5"/>
        <v>55</v>
      </c>
      <c r="S10" s="30">
        <f t="shared" si="6"/>
        <v>92455</v>
      </c>
      <c r="T10" s="30">
        <f t="shared" si="7"/>
        <v>183456</v>
      </c>
      <c r="U10" s="31">
        <f t="shared" si="8"/>
        <v>0.5039628030699459</v>
      </c>
    </row>
    <row r="11" spans="2:21" ht="18" customHeight="1" x14ac:dyDescent="0.25">
      <c r="B11" s="32" t="str">
        <f>'Data Entry'!A11</f>
        <v>6. Cases Petitioned (Charge Filed)</v>
      </c>
      <c r="C11" s="33">
        <f>'Data Entry'!C11</f>
        <v>14</v>
      </c>
      <c r="D11" s="34">
        <f>IF(((AND(C68&gt;0,C11&gt;0))),(C11/(C68)),0)</f>
        <v>35.897435897435898</v>
      </c>
      <c r="E11" s="33">
        <f>'Data Entry'!J11</f>
        <v>7</v>
      </c>
      <c r="F11" s="34">
        <f>IF(((AND($E$11&gt;0,$D$68&gt;0))),($E$11/($D$68)),0)</f>
        <v>43.75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7</v>
      </c>
      <c r="O11" s="42">
        <f>(D$68*L68)-E11</f>
        <v>9</v>
      </c>
      <c r="P11" s="42">
        <f t="shared" si="4"/>
        <v>14</v>
      </c>
      <c r="Q11" s="42">
        <f>(C$68*L68)-C11</f>
        <v>25</v>
      </c>
      <c r="R11" s="42">
        <f t="shared" si="5"/>
        <v>55</v>
      </c>
      <c r="S11" s="30">
        <f t="shared" si="6"/>
        <v>132055</v>
      </c>
      <c r="T11" s="30">
        <f t="shared" si="7"/>
        <v>445536</v>
      </c>
      <c r="U11" s="31">
        <f t="shared" si="8"/>
        <v>0.29639580191050779</v>
      </c>
    </row>
    <row r="12" spans="2:21" ht="18" customHeight="1" x14ac:dyDescent="0.25">
      <c r="B12" s="32" t="str">
        <f>'Data Entry'!A12</f>
        <v>7. Cases Resulting in Delinquent Findings</v>
      </c>
      <c r="C12" s="33">
        <f>'Data Entry'!C12</f>
        <v>20</v>
      </c>
      <c r="D12" s="34">
        <f>IF(((AND(C69&gt;0,C12&gt;0))),(C12/(C69)),0)</f>
        <v>142.85714285714283</v>
      </c>
      <c r="E12" s="33">
        <f>'Data Entry'!J12</f>
        <v>6</v>
      </c>
      <c r="F12" s="34">
        <f>IF(((AND($D$69&gt;0,$E$12&gt;0))),(E12/(D69)),0)</f>
        <v>85.714285714285708</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6</v>
      </c>
      <c r="O12" s="42">
        <f>(D69*L69)-E12</f>
        <v>1.0000000000000009</v>
      </c>
      <c r="P12" s="42">
        <f t="shared" si="4"/>
        <v>20</v>
      </c>
      <c r="Q12" s="42">
        <f>(C69*L69)-C12</f>
        <v>-5.9999999999999982</v>
      </c>
      <c r="R12" s="42">
        <f t="shared" si="5"/>
        <v>21</v>
      </c>
      <c r="S12" s="30">
        <f t="shared" si="6"/>
        <v>65856</v>
      </c>
      <c r="T12" s="30">
        <f t="shared" si="7"/>
        <v>-12739.999999999998</v>
      </c>
      <c r="U12" s="31">
        <f t="shared" si="8"/>
        <v>-5.1692307692307704</v>
      </c>
    </row>
    <row r="13" spans="2:21" ht="18" customHeight="1" x14ac:dyDescent="0.25">
      <c r="B13" s="32" t="str">
        <f>'Data Entry'!A13</f>
        <v>8. Cases Resulting in Probation Placement</v>
      </c>
      <c r="C13" s="33">
        <f>'Data Entry'!C13</f>
        <v>4</v>
      </c>
      <c r="D13" s="34">
        <f>IF(((AND(C70&gt;0,C13&gt;0))),(C13/(C70)),0)</f>
        <v>20</v>
      </c>
      <c r="E13" s="33">
        <f>'Data Entry'!J13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6</v>
      </c>
      <c r="P13" s="42">
        <f t="shared" si="4"/>
        <v>4</v>
      </c>
      <c r="Q13" s="42">
        <f>(C70*L70)-C13</f>
        <v>16</v>
      </c>
      <c r="R13" s="42">
        <f t="shared" si="5"/>
        <v>26</v>
      </c>
      <c r="S13" s="30">
        <f t="shared" si="6"/>
        <v>14976</v>
      </c>
      <c r="T13" s="30">
        <f t="shared" si="7"/>
        <v>10560</v>
      </c>
      <c r="U13" s="31">
        <f t="shared" si="8"/>
        <v>1.4181818181818182</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Entry'!J14</f>
        <v>3</v>
      </c>
      <c r="F14" s="34">
        <f>IF(((AND($D$70&gt;0,$E$14&gt;0))), (($E$14/($D$70))),0)</f>
        <v>50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3</v>
      </c>
      <c r="O14" s="42">
        <f>(D70*L70)-E14</f>
        <v>3</v>
      </c>
      <c r="P14" s="42">
        <f t="shared" si="4"/>
        <v>7</v>
      </c>
      <c r="Q14" s="42">
        <f>(C70*L70)-C14</f>
        <v>13</v>
      </c>
      <c r="R14" s="42">
        <f t="shared" si="5"/>
        <v>26</v>
      </c>
      <c r="S14" s="30">
        <f t="shared" si="6"/>
        <v>8424</v>
      </c>
      <c r="T14" s="30">
        <f t="shared" si="7"/>
        <v>19200</v>
      </c>
      <c r="U14" s="31">
        <f t="shared" si="8"/>
        <v>0.43874999999999997</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14.000000000000002</v>
      </c>
      <c r="R15" s="42">
        <f t="shared" si="5"/>
        <v>21.000000000000004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2.7490000000000001</v>
      </c>
      <c r="D42" s="56">
        <f>E6/1000</f>
        <v>0.48599999999999999</v>
      </c>
      <c r="E42" s="56">
        <f>MAX(C42:D42)</f>
        <v>2.7490000000000001</v>
      </c>
      <c r="G42" s="1" t="str">
        <f>B42</f>
        <v>per 1000 youth</v>
      </c>
      <c r="L42" s="57">
        <v>1000</v>
      </c>
      <c r="M42" s="57"/>
      <c r="R42" s="49"/>
    </row>
    <row r="43" spans="2:18" ht="15" hidden="1" customHeight="1" x14ac:dyDescent="0.25">
      <c r="B43" s="49" t="s">
        <v>87</v>
      </c>
      <c r="C43" s="56">
        <f>C7/100</f>
        <v>7.0000000000000007E-2</v>
      </c>
      <c r="D43" s="56">
        <f>E7/100</f>
        <v>0.02</v>
      </c>
      <c r="E43" s="56">
        <f>MAX(C43:D43,0)</f>
        <v>7.0000000000000007E-2</v>
      </c>
      <c r="G43" s="1" t="str">
        <f>B43</f>
        <v>per 100 arrests</v>
      </c>
      <c r="L43" s="57">
        <v>100</v>
      </c>
      <c r="M43" s="57"/>
      <c r="R43" s="49"/>
    </row>
    <row r="44" spans="2:18" ht="15" hidden="1" customHeight="1" x14ac:dyDescent="0.25">
      <c r="B44" s="49" t="s">
        <v>88</v>
      </c>
      <c r="C44" s="56">
        <f>C8/100</f>
        <v>0.39</v>
      </c>
      <c r="D44" s="56">
        <f>E8/100</f>
        <v>0.16</v>
      </c>
      <c r="E44" s="56">
        <f>MAX(C44:D44,0)</f>
        <v>0.39</v>
      </c>
      <c r="G44" s="1" t="str">
        <f>B44</f>
        <v>per 100 referrals</v>
      </c>
      <c r="L44" s="57">
        <v>100</v>
      </c>
      <c r="M44" s="57"/>
      <c r="R44" s="49"/>
    </row>
    <row r="45" spans="2:18" ht="15" hidden="1" customHeight="1" x14ac:dyDescent="0.25">
      <c r="B45" s="49" t="s">
        <v>89</v>
      </c>
      <c r="C45" s="49">
        <f>C11/100</f>
        <v>0.14000000000000001</v>
      </c>
      <c r="D45" s="49">
        <f>E11/100</f>
        <v>7.0000000000000007E-2</v>
      </c>
      <c r="E45" s="56">
        <f>MAX(C45:D45,0)</f>
        <v>0.14000000000000001</v>
      </c>
      <c r="G45" s="1" t="str">
        <f>B45</f>
        <v>per 100 youth petitioned</v>
      </c>
      <c r="L45" s="57">
        <v>100</v>
      </c>
      <c r="M45" s="57"/>
      <c r="R45" s="49"/>
    </row>
    <row r="46" spans="2:18" ht="15" hidden="1" customHeight="1" x14ac:dyDescent="0.25">
      <c r="B46" s="49" t="s">
        <v>90</v>
      </c>
      <c r="C46" s="49">
        <f>C12/100</f>
        <v>0.2</v>
      </c>
      <c r="D46" s="49">
        <f>E12/100</f>
        <v>0.06</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2.7490000000000001</v>
      </c>
      <c r="D48" s="56">
        <f>D42</f>
        <v>0.48599999999999999</v>
      </c>
      <c r="E48" s="56">
        <f>MAX(C48:D48)</f>
        <v>2.7490000000000001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0.02</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0.39</v>
      </c>
      <c r="D50" s="49">
        <f t="shared" si="9"/>
        <v>0.16</v>
      </c>
      <c r="E50" s="49">
        <f>MAX(C50:D50)</f>
        <v>0.39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0.14000000000000001</v>
      </c>
      <c r="D51" s="49">
        <f>IF(($E45&gt;0),D45,D44)</f>
        <v>7.0000000000000007E-2</v>
      </c>
      <c r="E51" s="49">
        <f>MAX(C51:D51)</f>
        <v>0.14000000000000001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0.06</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2.7490000000000001</v>
      </c>
      <c r="D54" s="56">
        <f>D48</f>
        <v>0.48599999999999999</v>
      </c>
      <c r="E54" s="56">
        <f>MAX(C54:D54)</f>
        <v>2.7490000000000001</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0.02</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0.39</v>
      </c>
      <c r="D56" s="49">
        <f t="shared" si="10"/>
        <v>0.16</v>
      </c>
      <c r="E56" s="49">
        <f>MAX(C56:D56)</f>
        <v>0.39</v>
      </c>
      <c r="G56" s="1" t="str">
        <f>G50</f>
        <v>per 100 referrals</v>
      </c>
      <c r="L56" s="58">
        <f>IF(($E50&gt;0),L50,L49)</f>
        <v>100</v>
      </c>
      <c r="M56" s="58"/>
    </row>
    <row r="57" spans="2:18" ht="15" hidden="1" customHeight="1" x14ac:dyDescent="0.25">
      <c r="B57" s="49" t="str">
        <f>IF(($E51&gt;0),B51,B49)</f>
        <v>per 100 youth petitioned</v>
      </c>
      <c r="C57" s="49">
        <f>IF(($E51&gt;0),C51,C50)</f>
        <v>0.14000000000000001</v>
      </c>
      <c r="D57" s="49">
        <f>IF(($E51&gt;0),D51,D50)</f>
        <v>7.0000000000000007E-2</v>
      </c>
      <c r="E57" s="49">
        <f>MAX(C57:D57)</f>
        <v>0.14000000000000001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0.06</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2.7490000000000001</v>
      </c>
      <c r="D60" s="56">
        <f>D54</f>
        <v>0.48599999999999999</v>
      </c>
      <c r="E60" s="56">
        <f>MAX(C60:D60)</f>
        <v>2.7490000000000001</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0.02</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0.39</v>
      </c>
      <c r="D62" s="49">
        <f t="shared" si="11"/>
        <v>0.16</v>
      </c>
      <c r="E62" s="49">
        <f>MAX(C62:D62)</f>
        <v>0.39</v>
      </c>
      <c r="G62" s="1" t="str">
        <f>G56</f>
        <v>per 100 referrals</v>
      </c>
      <c r="L62" s="58">
        <f>IF(($E56&gt;0),L56,L55)</f>
        <v>100</v>
      </c>
      <c r="M62" s="58"/>
    </row>
    <row r="63" spans="2:18" ht="15" hidden="1" customHeight="1" x14ac:dyDescent="0.25">
      <c r="B63" s="49" t="str">
        <f>IF(($E57&gt;0),B57,B55)</f>
        <v>per 100 youth petitioned</v>
      </c>
      <c r="C63" s="49">
        <f>IF(($E57&gt;0),C57,C56)</f>
        <v>0.14000000000000001</v>
      </c>
      <c r="D63" s="49">
        <f>IF(($E57&gt;0),D57,D56)</f>
        <v>7.0000000000000007E-2</v>
      </c>
      <c r="E63" s="49">
        <f>MAX(C63:D63)</f>
        <v>0.14000000000000001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0.06</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2.7490000000000001</v>
      </c>
      <c r="D66" s="56">
        <f>D60</f>
        <v>0.48599999999999999</v>
      </c>
      <c r="E66" s="56">
        <f>MAX(C66:D66)</f>
        <v>2.7490000000000001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0.02</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0.39</v>
      </c>
      <c r="D68" s="49">
        <f t="shared" si="12"/>
        <v>0.16</v>
      </c>
      <c r="E68" s="49">
        <f>MAX(C68:D68)</f>
        <v>0.39</v>
      </c>
      <c r="G68" s="1" t="str">
        <f>G62</f>
        <v>per 100 referrals</v>
      </c>
      <c r="L68" s="58">
        <f>IF(($E62&gt;0),L62,L61)</f>
        <v>100</v>
      </c>
      <c r="M68" s="58">
        <f>IF((B68=G68),1,2)</f>
        <v>1</v>
      </c>
    </row>
    <row r="69" spans="2:13" ht="15" hidden="1" customHeight="1" x14ac:dyDescent="0.25">
      <c r="B69" s="49" t="str">
        <f>IF(($E63&gt;0),B63,B61)</f>
        <v>per 100 youth petitioned</v>
      </c>
      <c r="C69" s="49">
        <f>IF(($E63&gt;0),C63,C62)</f>
        <v>0.14000000000000001</v>
      </c>
      <c r="D69" s="49">
        <f>IF(($E63&gt;0),D63,D62)</f>
        <v>7.0000000000000007E-2</v>
      </c>
      <c r="E69" s="49">
        <f>MAX(C69:D69)</f>
        <v>0.14000000000000001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0.06</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Gratiot</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20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f>Hispanic!L13</f>
        <v>40</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3235</v>
      </c>
      <c r="D3" s="57">
        <f>'Data Entry'!C6</f>
        <v>2749</v>
      </c>
      <c r="E3" s="57">
        <f>'Data Entry'!D6</f>
        <v>50</v>
      </c>
      <c r="F3" s="57">
        <f>'Data Entry'!E6</f>
        <v>385</v>
      </c>
      <c r="G3" s="57">
        <f>'Data Entry'!F6</f>
        <v>27</v>
      </c>
      <c r="H3" s="57">
        <f>'Data Entry'!G6</f>
        <v>0</v>
      </c>
      <c r="I3" s="57">
        <f>'Data Entry'!H6</f>
        <v>24</v>
      </c>
      <c r="J3" s="57">
        <f>'Data Entry'!I6</f>
        <v>0</v>
      </c>
      <c r="K3" s="57">
        <f>'Data Entry'!J6</f>
        <v>486</v>
      </c>
    </row>
    <row r="4" spans="2:11" ht="15" customHeight="1" x14ac:dyDescent="0.25">
      <c r="B4" s="16" t="s">
        <v>8</v>
      </c>
      <c r="C4" s="1">
        <f>IF((C$3&gt;0),(1000*('Data Entry'!B7/'Data Entry'!B$6)), 0)</f>
        <v>3.400309119010819</v>
      </c>
      <c r="D4" s="1">
        <f>IF((D$3&gt;0),(1000*('Data Entry'!C7/'Data Entry'!C$6)), 0)</f>
        <v>2.5463805020007273</v>
      </c>
      <c r="E4" s="1">
        <f>IF((E$3&gt;0),(1000*('Data Entry'!D7/'Data Entry'!D$6)), 0)</f>
        <v>0</v>
      </c>
      <c r="F4" s="1">
        <f>IF((F$3&gt;0),(1000*('Data Entry'!E7/'Data Entry'!E$6)), 0)</f>
        <v>5.1948051948051948</v>
      </c>
      <c r="G4" s="1">
        <f>IF((G$3&gt;0),(1000*('Data Entry'!F7/'Data Entry'!F$6)), 0)</f>
        <v>0</v>
      </c>
      <c r="H4" s="1">
        <f>IF((H$3&gt;0),(1000*('Data Entry'!G7/'Data Entry'!G$6)), 0)</f>
        <v>0</v>
      </c>
      <c r="I4" s="1">
        <f>IF((I$3&gt;0),(1000*('Data Entry'!H7/'Data Entry'!H$6)), 0)</f>
        <v>0</v>
      </c>
      <c r="J4" s="1">
        <f>IF((J$3&gt;0),(1000*('Data Entry'!I7/'Data Entry'!I$6)), 0)</f>
        <v>0</v>
      </c>
      <c r="K4" s="1">
        <f>IF((K$3&gt;0),(1000*('Data Entry'!J7/'Data Entry'!J$6)), 0)</f>
        <v>4.1152263374485596</v>
      </c>
    </row>
    <row r="5" spans="2:11" ht="15" customHeight="1" x14ac:dyDescent="0.25">
      <c r="B5" s="16" t="s">
        <v>9</v>
      </c>
      <c r="C5" s="1">
        <f>IF((C$3&gt;0),(1000*('Data Entry'!B8/'Data Entry'!B$6)), 0)</f>
        <v>24.111282843894898</v>
      </c>
      <c r="D5" s="1">
        <f>IF((D$3&gt;0),(1000*('Data Entry'!C8/'Data Entry'!C$6)), 0)</f>
        <v>14.186977082575483</v>
      </c>
      <c r="E5" s="1">
        <f>IF((E$3&gt;0),(1000*('Data Entry'!D8/'Data Entry'!D$6)), 0)</f>
        <v>20</v>
      </c>
      <c r="F5" s="1">
        <f>IF((F$3&gt;0),(1000*('Data Entry'!E8/'Data Entry'!E$6)), 0)</f>
        <v>28.571428571428569</v>
      </c>
      <c r="G5" s="1">
        <f>IF((G$3&gt;0),(1000*('Data Entry'!F8/'Data Entry'!F$6)), 0)</f>
        <v>0</v>
      </c>
      <c r="H5" s="1">
        <f>IF((H$3&gt;0),(1000*('Data Entry'!G8/'Data Entry'!G$6)), 0)</f>
        <v>0</v>
      </c>
      <c r="I5" s="1">
        <f>IF((I$3&gt;0),(1000*('Data Entry'!H8/'Data Entry'!H$6)), 0)</f>
        <v>0</v>
      </c>
      <c r="J5" s="1">
        <f>IF((J$3&gt;0),(1000*('Data Entry'!I8/'Data Entry'!I$6)), 0)</f>
        <v>0</v>
      </c>
      <c r="K5" s="1">
        <f>IF((K$3&gt;0),(1000*('Data Entry'!J8/'Data Entry'!J$6)), 0)</f>
        <v>32.921810699588477</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2.1638330757341575</v>
      </c>
      <c r="D7" s="1">
        <f>IF((D$3&gt;0),(1000*('Data Entry'!C10/'Data Entry'!C$6)), 0)</f>
        <v>1.8188432157148053</v>
      </c>
      <c r="E7" s="1">
        <f>IF((E$3&gt;0),(1000*('Data Entry'!D10/'Data Entry'!D$6)), 0)</f>
        <v>0</v>
      </c>
      <c r="F7" s="1">
        <f>IF((F$3&gt;0),(1000*('Data Entry'!E10/'Data Entry'!E$6)), 0)</f>
        <v>2.5974025974025974</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2.0576131687242798</v>
      </c>
    </row>
    <row r="8" spans="2:11" ht="15" customHeight="1" x14ac:dyDescent="0.25">
      <c r="B8" s="16" t="s">
        <v>95</v>
      </c>
      <c r="C8" s="1">
        <f>IF((C$3&gt;0),(1000*('Data Entry'!B11/'Data Entry'!B$6)), 0)</f>
        <v>7.1097372488408039</v>
      </c>
      <c r="D8" s="1">
        <f>IF((D$3&gt;0),(1000*('Data Entry'!C11/'Data Entry'!C$6)), 0)</f>
        <v>5.0927610040014546</v>
      </c>
      <c r="E8" s="1">
        <f>IF((E$3&gt;0),(1000*('Data Entry'!D11/'Data Entry'!D$6)), 0)</f>
        <v>20</v>
      </c>
      <c r="F8" s="1">
        <f>IF((F$3&gt;0),(1000*('Data Entry'!E11/'Data Entry'!E$6)), 0)</f>
        <v>10.38961038961039</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14.403292181069959</v>
      </c>
    </row>
    <row r="9" spans="2:11" ht="15" customHeight="1" x14ac:dyDescent="0.25">
      <c r="B9" s="16" t="s">
        <v>13</v>
      </c>
      <c r="C9" s="1">
        <f>IF((C$3&gt;0),(1000*('Data Entry'!B12/'Data Entry'!B$6)), 0)</f>
        <v>8.65533230293663</v>
      </c>
      <c r="D9" s="1">
        <f>IF((D$3&gt;0),(1000*('Data Entry'!C12/'Data Entry'!C$6)), 0)</f>
        <v>7.2753728628592214</v>
      </c>
      <c r="E9" s="1">
        <f>IF((E$3&gt;0),(1000*('Data Entry'!D12/'Data Entry'!D$6)), 0)</f>
        <v>20</v>
      </c>
      <c r="F9" s="1">
        <f>IF((F$3&gt;0),(1000*('Data Entry'!E12/'Data Entry'!E$6)), 0)</f>
        <v>10.38961038961039</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12.345679012345679</v>
      </c>
    </row>
    <row r="10" spans="2:11" ht="15" customHeight="1" x14ac:dyDescent="0.25">
      <c r="B10" s="16" t="s">
        <v>14</v>
      </c>
      <c r="C10" s="1">
        <f>IF((C$3&gt;0),(1000*('Data Entry'!B13/'Data Entry'!B$6)), 0)</f>
        <v>1.8547140649149925</v>
      </c>
      <c r="D10" s="1">
        <f>IF((D$3&gt;0),(1000*('Data Entry'!C13/'Data Entry'!C$6)), 0)</f>
        <v>1.4550745725718444</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3.400309119010819</v>
      </c>
      <c r="D11" s="1">
        <f>IF((D$3&gt;0),(1000*('Data Entry'!C14/'Data Entry'!C$6)), 0)</f>
        <v>2.5463805020007273</v>
      </c>
      <c r="E11" s="1">
        <f>IF((E$3&gt;0),(1000*('Data Entry'!D14/'Data Entry'!D$6)), 0)</f>
        <v>0</v>
      </c>
      <c r="F11" s="1">
        <f>IF((F$3&gt;0),(1000*('Data Entry'!E14/'Data Entry'!E$6)), 0)</f>
        <v>7.7922077922077921</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6.1728395061728394</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Gratiot</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f t="shared" si="1"/>
        <v>2.040074211502783</v>
      </c>
      <c r="F19" s="72" t="str">
        <f t="shared" si="1"/>
        <v>--</v>
      </c>
      <c r="G19" s="72" t="str">
        <f t="shared" si="1"/>
        <v>--</v>
      </c>
      <c r="H19" s="72" t="str">
        <f t="shared" si="1"/>
        <v>--</v>
      </c>
      <c r="I19" s="72" t="str">
        <f t="shared" si="1"/>
        <v>--</v>
      </c>
      <c r="J19" s="73">
        <f t="shared" si="1"/>
        <v>1.6161081716637273</v>
      </c>
    </row>
    <row r="20" spans="2:10" ht="15" customHeight="1" x14ac:dyDescent="0.25">
      <c r="B20" s="71" t="s">
        <v>9</v>
      </c>
      <c r="C20" s="72">
        <f t="shared" ref="C20:J27" si="2">IF(AND(($D5&gt;0),(D5&gt;0)), (D5/$D5),"--")</f>
        <v>1</v>
      </c>
      <c r="D20" s="72">
        <f t="shared" si="2"/>
        <v>1.4097435897435897</v>
      </c>
      <c r="E20" s="72">
        <f t="shared" si="2"/>
        <v>2.0139194139194134</v>
      </c>
      <c r="F20" s="72" t="str">
        <f t="shared" si="2"/>
        <v>--</v>
      </c>
      <c r="G20" s="72" t="str">
        <f t="shared" si="2"/>
        <v>--</v>
      </c>
      <c r="H20" s="72" t="str">
        <f t="shared" si="2"/>
        <v>--</v>
      </c>
      <c r="I20" s="72" t="str">
        <f t="shared" si="2"/>
        <v>--</v>
      </c>
      <c r="J20" s="73">
        <f t="shared" si="2"/>
        <v>2.320565579824839</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f t="shared" si="2"/>
        <v>1.428051948051948</v>
      </c>
      <c r="F22" s="72" t="str">
        <f t="shared" si="2"/>
        <v>--</v>
      </c>
      <c r="G22" s="72" t="str">
        <f t="shared" si="2"/>
        <v>--</v>
      </c>
      <c r="H22" s="72" t="str">
        <f t="shared" si="2"/>
        <v>--</v>
      </c>
      <c r="I22" s="72" t="str">
        <f t="shared" si="2"/>
        <v>--</v>
      </c>
      <c r="J22" s="73">
        <f t="shared" si="2"/>
        <v>1.1312757201646091</v>
      </c>
    </row>
    <row r="23" spans="2:10" ht="15" customHeight="1" x14ac:dyDescent="0.25">
      <c r="B23" s="71" t="s">
        <v>95</v>
      </c>
      <c r="C23" s="72">
        <f t="shared" si="2"/>
        <v>1</v>
      </c>
      <c r="D23" s="72">
        <f t="shared" si="2"/>
        <v>3.9271428571428575</v>
      </c>
      <c r="E23" s="72">
        <f t="shared" si="2"/>
        <v>2.040074211502783</v>
      </c>
      <c r="F23" s="72" t="str">
        <f t="shared" si="2"/>
        <v>--</v>
      </c>
      <c r="G23" s="72" t="str">
        <f t="shared" si="2"/>
        <v>--</v>
      </c>
      <c r="H23" s="72" t="str">
        <f t="shared" si="2"/>
        <v>--</v>
      </c>
      <c r="I23" s="72" t="str">
        <f t="shared" si="2"/>
        <v>--</v>
      </c>
      <c r="J23" s="73">
        <f t="shared" si="2"/>
        <v>2.8281893004115228</v>
      </c>
    </row>
    <row r="24" spans="2:10" ht="15" customHeight="1" x14ac:dyDescent="0.25">
      <c r="B24" s="71" t="s">
        <v>13</v>
      </c>
      <c r="C24" s="72">
        <f t="shared" si="2"/>
        <v>1</v>
      </c>
      <c r="D24" s="72">
        <f t="shared" si="2"/>
        <v>2.7490000000000001</v>
      </c>
      <c r="E24" s="72">
        <f t="shared" si="2"/>
        <v>1.428051948051948</v>
      </c>
      <c r="F24" s="72" t="str">
        <f t="shared" si="2"/>
        <v>--</v>
      </c>
      <c r="G24" s="72" t="str">
        <f t="shared" si="2"/>
        <v>--</v>
      </c>
      <c r="H24" s="72" t="str">
        <f t="shared" si="2"/>
        <v>--</v>
      </c>
      <c r="I24" s="72" t="str">
        <f t="shared" si="2"/>
        <v>--</v>
      </c>
      <c r="J24" s="73">
        <f t="shared" si="2"/>
        <v>1.6969135802469135</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f t="shared" si="2"/>
        <v>3.0601113172541745</v>
      </c>
      <c r="F26" s="72" t="str">
        <f t="shared" si="2"/>
        <v>--</v>
      </c>
      <c r="G26" s="72" t="str">
        <f t="shared" si="2"/>
        <v>--</v>
      </c>
      <c r="H26" s="72" t="str">
        <f t="shared" si="2"/>
        <v>--</v>
      </c>
      <c r="I26" s="72" t="str">
        <f t="shared" si="2"/>
        <v>--</v>
      </c>
      <c r="J26" s="73">
        <f t="shared" si="2"/>
        <v>2.424162257495591</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Gratiot</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2749</v>
      </c>
      <c r="D7" s="105">
        <f>'Data Entry'!D6</f>
        <v>50</v>
      </c>
      <c r="E7" s="106"/>
      <c r="F7" s="107">
        <f>'Data Entry'!E6</f>
        <v>385</v>
      </c>
      <c r="G7" s="106"/>
      <c r="H7" s="107">
        <f>'Data Entry'!F6</f>
        <v>27</v>
      </c>
      <c r="I7" s="106"/>
      <c r="J7" s="107">
        <f>'Data Entry'!G6</f>
        <v>0</v>
      </c>
      <c r="K7" s="106"/>
      <c r="L7" s="107">
        <f>'Data Entry'!H6</f>
        <v>24</v>
      </c>
      <c r="M7" s="106"/>
      <c r="N7" s="107">
        <f>'Data Entry'!I6</f>
        <v>0</v>
      </c>
      <c r="O7" s="106"/>
      <c r="P7" s="107">
        <f>'Data Entry'!J6</f>
        <v>486</v>
      </c>
      <c r="Q7" s="108"/>
    </row>
    <row r="8" spans="2:26" s="1" customFormat="1" ht="15" customHeight="1" x14ac:dyDescent="0.3">
      <c r="B8" s="149" t="s">
        <v>8</v>
      </c>
      <c r="C8" s="104">
        <f>'Data Entry'!C7</f>
        <v>7</v>
      </c>
      <c r="D8" s="105">
        <f>'Data Entry'!D7</f>
        <v>0</v>
      </c>
      <c r="E8" s="106" t="str">
        <f>'Black or African-American'!$G7</f>
        <v>**</v>
      </c>
      <c r="F8" s="107">
        <f>'Data Entry'!E7</f>
        <v>2</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2</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39</v>
      </c>
      <c r="D9" s="109">
        <f>'Data Entry'!D8</f>
        <v>1</v>
      </c>
      <c r="E9" s="110" t="str">
        <f>'Black or African-American'!$G8</f>
        <v>**</v>
      </c>
      <c r="F9" s="111">
        <f>'Data Entry'!E8</f>
        <v>11</v>
      </c>
      <c r="G9" s="110" t="str">
        <f>Hispanic!G8</f>
        <v>**</v>
      </c>
      <c r="H9" s="111">
        <f>'Data Entry'!F8</f>
        <v>0</v>
      </c>
      <c r="I9" s="110" t="str">
        <f>Asian!G8</f>
        <v>*</v>
      </c>
      <c r="J9" s="111">
        <f>'Data Entry'!G8</f>
        <v>0</v>
      </c>
      <c r="K9" s="110" t="str">
        <f>Hawaiian!G8</f>
        <v>*</v>
      </c>
      <c r="L9" s="111">
        <f>'Data Entry'!H8</f>
        <v>0</v>
      </c>
      <c r="M9" s="110" t="str">
        <f>'Am Indian'!G8</f>
        <v>*</v>
      </c>
      <c r="N9" s="111">
        <f>'Data Entry'!I8</f>
        <v>4</v>
      </c>
      <c r="O9" s="110" t="str">
        <f>'Other - Mixed'!G8</f>
        <v>*</v>
      </c>
      <c r="P9" s="111">
        <f>'Data Entry'!J8</f>
        <v>16</v>
      </c>
      <c r="Q9" s="112" t="str">
        <f>'All Minorities'!G8</f>
        <v>**</v>
      </c>
      <c r="R9"/>
      <c r="T9" s="1">
        <f>'Black or African-American'!L8</f>
        <v>40</v>
      </c>
      <c r="U9" s="1">
        <f>Hispanic!L8</f>
        <v>40</v>
      </c>
      <c r="V9" s="1">
        <f>Asian!L8</f>
        <v>139</v>
      </c>
      <c r="W9" s="1">
        <f>Hawaiian!L8</f>
        <v>139</v>
      </c>
      <c r="X9" s="1">
        <f>'Am Indian'!L8</f>
        <v>139</v>
      </c>
      <c r="Y9" s="1">
        <f>'Other - Mixed'!L8</f>
        <v>119</v>
      </c>
      <c r="Z9" s="1">
        <f>'All Minorities'!L8</f>
        <v>40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5</v>
      </c>
      <c r="D11" s="109">
        <f>'Data Entry'!D10</f>
        <v>0</v>
      </c>
      <c r="E11" s="110" t="str">
        <f>'Black or African-American'!$G10</f>
        <v>**</v>
      </c>
      <c r="F11" s="111">
        <f>'Data Entry'!E10</f>
        <v>1</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1</v>
      </c>
      <c r="Q11" s="112"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14</v>
      </c>
      <c r="D12" s="113">
        <f>'Data Entry'!D11</f>
        <v>1</v>
      </c>
      <c r="E12" s="114" t="str">
        <f>'Black or African-American'!$G11</f>
        <v>**</v>
      </c>
      <c r="F12" s="115">
        <f>'Data Entry'!E11</f>
        <v>4</v>
      </c>
      <c r="G12" s="114" t="str">
        <f>Hispanic!G11</f>
        <v>**</v>
      </c>
      <c r="H12" s="115">
        <f>'Data Entry'!F11</f>
        <v>0</v>
      </c>
      <c r="I12" s="114" t="str">
        <f>Asian!G11</f>
        <v>*</v>
      </c>
      <c r="J12" s="115">
        <f>'Data Entry'!G11</f>
        <v>0</v>
      </c>
      <c r="K12" s="114" t="str">
        <f>Hawaiian!G11</f>
        <v>*</v>
      </c>
      <c r="L12" s="115">
        <f>'Data Entry'!H11</f>
        <v>0</v>
      </c>
      <c r="M12" s="114" t="str">
        <f>'Am Indian'!G11</f>
        <v>*</v>
      </c>
      <c r="N12" s="115">
        <f>'Data Entry'!I11</f>
        <v>2</v>
      </c>
      <c r="O12" s="114" t="str">
        <f>'Other - Mixed'!G11</f>
        <v>*</v>
      </c>
      <c r="P12" s="115">
        <f>'Data Entry'!J11</f>
        <v>7</v>
      </c>
      <c r="Q12" s="116"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x14ac:dyDescent="0.3">
      <c r="B13" s="149" t="s">
        <v>13</v>
      </c>
      <c r="C13" s="104">
        <f>'Data Entry'!C12</f>
        <v>20</v>
      </c>
      <c r="D13" s="109">
        <f>'Data Entry'!D12</f>
        <v>1</v>
      </c>
      <c r="E13" s="110" t="str">
        <f>'Black or African-American'!$G12</f>
        <v>**</v>
      </c>
      <c r="F13" s="111">
        <f>'Data Entry'!E12</f>
        <v>4</v>
      </c>
      <c r="G13" s="110" t="str">
        <f>Hispanic!G12</f>
        <v>**</v>
      </c>
      <c r="H13" s="111">
        <f>'Data Entry'!F12</f>
        <v>0</v>
      </c>
      <c r="I13" s="110" t="str">
        <f>Asian!G12</f>
        <v>*</v>
      </c>
      <c r="J13" s="111">
        <f>'Data Entry'!G12</f>
        <v>0</v>
      </c>
      <c r="K13" s="110" t="str">
        <f>Hawaiian!G12</f>
        <v>*</v>
      </c>
      <c r="L13" s="111">
        <f>'Data Entry'!H12</f>
        <v>0</v>
      </c>
      <c r="M13" s="110" t="str">
        <f>'Am Indian'!G12</f>
        <v>*</v>
      </c>
      <c r="N13" s="111">
        <f>'Data Entry'!I12</f>
        <v>1</v>
      </c>
      <c r="O13" s="110" t="str">
        <f>'Other - Mixed'!G12</f>
        <v>*</v>
      </c>
      <c r="P13" s="111">
        <f>'Data Entry'!J12</f>
        <v>6</v>
      </c>
      <c r="Q13" s="112"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20</v>
      </c>
    </row>
    <row r="14" spans="2:26" s="1" customFormat="1" ht="15" customHeight="1" x14ac:dyDescent="0.3">
      <c r="B14" s="149" t="s">
        <v>133</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f>'Black or African-American'!L13</f>
        <v>40</v>
      </c>
      <c r="U14" s="1">
        <f>Hispanic!L13</f>
        <v>40</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7</v>
      </c>
      <c r="D15" s="109">
        <f>'Data Entry'!D14</f>
        <v>0</v>
      </c>
      <c r="E15" s="110" t="str">
        <f>'Black or African-American'!$G14</f>
        <v>**</v>
      </c>
      <c r="F15" s="111">
        <f>'Data Entry'!E14</f>
        <v>3</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3</v>
      </c>
      <c r="Q15" s="112"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Gratiot</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Gratiot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5.6563786008230457</v>
      </c>
    </row>
    <row r="8" spans="1:12" ht="25.5" customHeight="1" x14ac:dyDescent="0.2">
      <c r="A8" s="158" t="str">
        <f>CONCATENATE("Confinement, total N=", 'Data Entry'!B14)</f>
        <v>Confinement, total N=11</v>
      </c>
      <c r="B8" s="157">
        <f>'Data Entry'!D14/'Data Entry'!B14</f>
        <v>0</v>
      </c>
      <c r="C8" s="157">
        <f>'Data Entry'!E14/'Data Entry'!B14</f>
        <v>0.27272727272727271</v>
      </c>
      <c r="D8" s="157">
        <f>'Data Entry'!F14/'Data Entry'!B14</f>
        <v>0</v>
      </c>
      <c r="E8" s="157">
        <f>'Data Entry'!G14/'Data Entry'!B14</f>
        <v>0</v>
      </c>
      <c r="F8" s="157">
        <f>'Data Entry'!H14/'Data Entry'!B14</f>
        <v>0</v>
      </c>
      <c r="G8" s="157">
        <f>'Data Entry'!I14/'Data Entry'!B14</f>
        <v>0</v>
      </c>
      <c r="H8" s="157">
        <f>SUM(D8:G8)/'Data Entry'!B14</f>
        <v>0</v>
      </c>
      <c r="I8" s="157">
        <f>'Data Entry'!C14/'Data Entry'!B14</f>
        <v>0.63636363636363635</v>
      </c>
      <c r="K8" s="97" t="str">
        <f>A8</f>
        <v>Confinement, total N=11</v>
      </c>
      <c r="L8">
        <f>I14/(SUM(B14:G14))</f>
        <v>5.6563786008230457</v>
      </c>
    </row>
    <row r="9" spans="1:12" x14ac:dyDescent="0.2">
      <c r="A9" s="132" t="str">
        <f>CONCATENATE("Delinquent Findings, total N=", 'Data Entry'!B12)</f>
        <v>Delinquent Findings, total N=28</v>
      </c>
      <c r="B9" s="157">
        <f>'Data Entry'!D12/'Data Entry'!B12</f>
        <v>3.5714285714285712E-2</v>
      </c>
      <c r="C9" s="157">
        <f>'Data Entry'!E12/'Data Entry'!B12</f>
        <v>0.14285714285714285</v>
      </c>
      <c r="D9" s="157">
        <f>'Data Entry'!F12/'Data Entry'!B12</f>
        <v>0</v>
      </c>
      <c r="E9" s="157">
        <f>'Data Entry'!G12/'Data Entry'!B12</f>
        <v>0</v>
      </c>
      <c r="F9" s="157">
        <f>'Data Entry'!H12/'Data Entry'!B12</f>
        <v>0</v>
      </c>
      <c r="G9" s="157">
        <f>'Data Entry'!I12/'Data Entry'!B12</f>
        <v>3.5714285714285712E-2</v>
      </c>
      <c r="H9" s="157">
        <f>SUM(D9:G9)/'Data Entry'!B12</f>
        <v>1.2755102040816326E-3</v>
      </c>
      <c r="I9" s="157">
        <f>'Data Entry'!C12/'Data Entry'!B12</f>
        <v>0.7142857142857143</v>
      </c>
      <c r="K9" s="97" t="str">
        <f t="shared" si="0"/>
        <v>Delinquent Findings, total N=28</v>
      </c>
      <c r="L9">
        <f>I14/(SUM(B14:G14))</f>
        <v>5.6563786008230457</v>
      </c>
    </row>
    <row r="10" spans="1:12" x14ac:dyDescent="0.2">
      <c r="A10" s="132" t="str">
        <f>CONCATENATE("Petitions, total N=", 'Data Entry'!B11)</f>
        <v>Petitions, total N=23</v>
      </c>
      <c r="B10" s="157">
        <f>'Data Entry'!D11/'Data Entry'!B11</f>
        <v>4.3478260869565216E-2</v>
      </c>
      <c r="C10" s="157">
        <f>'Data Entry'!E11/'Data Entry'!B11</f>
        <v>0.17391304347826086</v>
      </c>
      <c r="D10" s="157">
        <f>'Data Entry'!F11/'Data Entry'!B11</f>
        <v>0</v>
      </c>
      <c r="E10" s="157">
        <f>'Data Entry'!G11/'Data Entry'!B11</f>
        <v>0</v>
      </c>
      <c r="F10" s="157">
        <f>'Data Entry'!H11/'Data Entry'!B11</f>
        <v>0</v>
      </c>
      <c r="G10" s="157">
        <f>'Data Entry'!I11/'Data Entry'!B11</f>
        <v>8.6956521739130432E-2</v>
      </c>
      <c r="H10" s="157">
        <f>SUM(D10:G10)/'Data Entry'!B11</f>
        <v>3.780718336483932E-3</v>
      </c>
      <c r="I10" s="157">
        <f>'Data Entry'!C11/'Data Entry'!B11</f>
        <v>0.60869565217391308</v>
      </c>
      <c r="K10" s="97" t="str">
        <f t="shared" si="0"/>
        <v>Petitions, total N=23</v>
      </c>
      <c r="L10">
        <f>I14/(SUM(B14:G14))</f>
        <v>5.6563786008230457</v>
      </c>
    </row>
    <row r="11" spans="1:12" x14ac:dyDescent="0.2">
      <c r="A11" s="132" t="str">
        <f>CONCATENATE("Detentions, total N=", 'Data Entry'!B10)</f>
        <v>Detentions, total N=7</v>
      </c>
      <c r="B11" s="157">
        <f>'Data Entry'!D10/'Data Entry'!B10</f>
        <v>0</v>
      </c>
      <c r="C11" s="157">
        <f>'Data Entry'!E10/'Data Entry'!B10</f>
        <v>0.14285714285714285</v>
      </c>
      <c r="D11" s="157">
        <f>'Data Entry'!F10/'Data Entry'!B10</f>
        <v>0</v>
      </c>
      <c r="E11" s="157">
        <f>'Data Entry'!G10/'Data Entry'!B10</f>
        <v>0</v>
      </c>
      <c r="F11" s="157">
        <f>'Data Entry'!H10/'Data Entry'!B10</f>
        <v>0</v>
      </c>
      <c r="G11" s="157">
        <f>'Data Entry'!I10/'Data Entry'!B10</f>
        <v>0</v>
      </c>
      <c r="H11" s="157">
        <f>SUM(D11:G11)/'Data Entry'!B10</f>
        <v>0</v>
      </c>
      <c r="I11" s="157">
        <f>'Data Entry'!C10/'Data Entry'!B10</f>
        <v>0.7142857142857143</v>
      </c>
      <c r="K11" s="97" t="str">
        <f t="shared" si="0"/>
        <v>Detentions, total N=7</v>
      </c>
      <c r="L11">
        <f>I14/(SUM(B14:G14))</f>
        <v>5.6563786008230457</v>
      </c>
    </row>
    <row r="12" spans="1:12" x14ac:dyDescent="0.2">
      <c r="A12" s="132" t="str">
        <f>CONCATENATE("Referrals, total N=", 'Data Entry'!B8)</f>
        <v>Referrals, total N=78</v>
      </c>
      <c r="B12" s="157">
        <f>'Data Entry'!D8/'Data Entry'!B8</f>
        <v>1.282051282051282E-2</v>
      </c>
      <c r="C12" s="157">
        <f>'Data Entry'!E8/'Data Entry'!B8</f>
        <v>0.14102564102564102</v>
      </c>
      <c r="D12" s="157">
        <f>'Data Entry'!F8/'Data Entry'!B8</f>
        <v>0</v>
      </c>
      <c r="E12" s="157">
        <f>'Data Entry'!G8/'Data Entry'!B8</f>
        <v>0</v>
      </c>
      <c r="F12" s="157">
        <f>'Data Entry'!H8/'Data Entry'!B8</f>
        <v>0</v>
      </c>
      <c r="G12" s="157">
        <f>'Data Entry'!I8/'Data Entry'!B8</f>
        <v>5.128205128205128E-2</v>
      </c>
      <c r="H12" s="157">
        <f>SUM(D12:G12)/'Data Entry'!B8</f>
        <v>6.5746219592373431E-4</v>
      </c>
      <c r="I12" s="157">
        <f>'Data Entry'!C8/'Data Entry'!B8</f>
        <v>0.5</v>
      </c>
      <c r="K12" s="97" t="str">
        <f t="shared" si="0"/>
        <v>Referrals, total N=78</v>
      </c>
      <c r="L12">
        <f>I14/(SUM(B14:G14))</f>
        <v>5.6563786008230457</v>
      </c>
    </row>
    <row r="13" spans="1:12" x14ac:dyDescent="0.2">
      <c r="A13" s="132" t="str">
        <f>CONCATENATE("Arrests, total N=", 'Data Entry'!B7)</f>
        <v>Arrests, total N=11</v>
      </c>
      <c r="B13" s="157">
        <f>'Data Entry'!D7/'Data Entry'!B7</f>
        <v>0</v>
      </c>
      <c r="C13" s="157">
        <f>'Data Entry'!E7/'Data Entry'!B7</f>
        <v>0.18181818181818182</v>
      </c>
      <c r="D13" s="157">
        <f>'Data Entry'!F7/'Data Entry'!B7</f>
        <v>0</v>
      </c>
      <c r="E13" s="157">
        <f>'Data Entry'!G7/'Data Entry'!B7</f>
        <v>0</v>
      </c>
      <c r="F13" s="157">
        <f>'Data Entry'!H7/'Data Entry'!B7</f>
        <v>0</v>
      </c>
      <c r="G13" s="157">
        <f>'Data Entry'!I7/'Data Entry'!B7</f>
        <v>0</v>
      </c>
      <c r="H13" s="157">
        <f>SUM(D13:G13)/'Data Entry'!B7</f>
        <v>0</v>
      </c>
      <c r="I13" s="157">
        <f>'Data Entry'!C7/'Data Entry'!B7</f>
        <v>0.63636363636363635</v>
      </c>
      <c r="K13" s="97" t="str">
        <f t="shared" si="0"/>
        <v>Arrests, total N=11</v>
      </c>
      <c r="L13">
        <f>I14/(SUM(B14:G14))</f>
        <v>5.6563786008230457</v>
      </c>
    </row>
    <row r="14" spans="1:12" x14ac:dyDescent="0.2">
      <c r="A14" s="132" t="str">
        <f>CONCATENATE("Population, total N=", 'Data Entry'!B6)</f>
        <v>Population, total N=3235</v>
      </c>
      <c r="B14" s="157">
        <f>'Data Entry'!D6/'Data Entry'!B6</f>
        <v>1.5455950540958269E-2</v>
      </c>
      <c r="C14" s="157">
        <f>'Data Entry'!E6/'Data Entry'!B6</f>
        <v>0.11901081916537867</v>
      </c>
      <c r="D14" s="157">
        <f>'Data Entry'!F6/'Data Entry'!B6</f>
        <v>8.3462132921174655E-3</v>
      </c>
      <c r="E14" s="157">
        <f>'Data Entry'!G6/'Data Entry'!B6</f>
        <v>0</v>
      </c>
      <c r="F14" s="157">
        <f>'Data Entry'!H6/'Data Entry'!B6</f>
        <v>7.4188562596599695E-3</v>
      </c>
      <c r="G14" s="157">
        <f>'Data Entry'!I6/'Data Entry'!B6</f>
        <v>0</v>
      </c>
      <c r="H14" s="157">
        <f>SUM(D14:G14)/'Data Entry'!B6</f>
        <v>4.8732827053407841E-6</v>
      </c>
      <c r="I14" s="157">
        <f>'Data Entry'!C6/'Data Entry'!B6</f>
        <v>0.84976816074188566</v>
      </c>
      <c r="K14" s="97" t="str">
        <f t="shared" si="0"/>
        <v>Population, total N=3235</v>
      </c>
      <c r="L14">
        <f>I14/(SUM(B14:G14))</f>
        <v>5.6563786008230457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Gratiot</v>
      </c>
      <c r="C4" s="121"/>
      <c r="D4" s="121"/>
      <c r="E4" s="124"/>
      <c r="F4" s="124"/>
      <c r="G4" s="124"/>
      <c r="H4" s="184" t="str">
        <f>'Data Entry'!C4</f>
        <v>10/1/20 through 9/30/21</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2749</v>
      </c>
      <c r="D7" s="105">
        <f>'Data Entry'!D6</f>
        <v>50</v>
      </c>
      <c r="E7" s="106"/>
      <c r="F7" s="107">
        <f>'Data Entry'!E6</f>
        <v>385</v>
      </c>
      <c r="G7" s="106"/>
      <c r="H7" s="107">
        <f>'Data Entry'!F6</f>
        <v>27</v>
      </c>
      <c r="I7" s="106"/>
      <c r="J7" s="107">
        <f>'Data Entry'!J6</f>
        <v>486</v>
      </c>
      <c r="K7" s="108"/>
    </row>
    <row r="8" spans="2:30" s="1" customFormat="1" ht="15" customHeight="1" x14ac:dyDescent="0.3">
      <c r="B8" s="125" t="s">
        <v>8</v>
      </c>
      <c r="C8" s="104">
        <f>'Data Entry'!C7</f>
        <v>7</v>
      </c>
      <c r="D8" s="105">
        <f>'Data Entry'!D7</f>
        <v>0</v>
      </c>
      <c r="E8" s="106" t="str">
        <f>'Black or African-American'!$G7</f>
        <v>**</v>
      </c>
      <c r="F8" s="107">
        <f>'Data Entry'!E7</f>
        <v>2</v>
      </c>
      <c r="G8" s="106" t="str">
        <f>Hispanic!G7</f>
        <v>**</v>
      </c>
      <c r="H8" s="107">
        <f>'Data Entry'!F7</f>
        <v>0</v>
      </c>
      <c r="I8" s="106" t="str">
        <f>Asian!G7</f>
        <v>*</v>
      </c>
      <c r="J8" s="107">
        <f>'Data Entry'!J7</f>
        <v>2</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39</v>
      </c>
      <c r="D9" s="109">
        <f>'Data Entry'!D8</f>
        <v>1</v>
      </c>
      <c r="E9" s="110" t="str">
        <f>'Black or African-American'!$G8</f>
        <v>**</v>
      </c>
      <c r="F9" s="111">
        <f>'Data Entry'!E8</f>
        <v>11</v>
      </c>
      <c r="G9" s="110" t="str">
        <f>Hispanic!G8</f>
        <v>**</v>
      </c>
      <c r="H9" s="111">
        <f>'Data Entry'!F8</f>
        <v>0</v>
      </c>
      <c r="I9" s="110" t="str">
        <f>Asian!G8</f>
        <v>*</v>
      </c>
      <c r="J9" s="111">
        <f>'Data Entry'!J8</f>
        <v>16</v>
      </c>
      <c r="K9" s="112" t="str">
        <f>'All Minorities'!G8</f>
        <v>**</v>
      </c>
      <c r="L9"/>
      <c r="N9" s="1">
        <f>'Black or African-American'!L8</f>
        <v>40</v>
      </c>
      <c r="O9" s="1">
        <f>Hispanic!L8</f>
        <v>40</v>
      </c>
      <c r="P9" s="1">
        <f>Asian!L8</f>
        <v>139</v>
      </c>
      <c r="Q9" s="1">
        <f>Hawaiian!L8</f>
        <v>139</v>
      </c>
      <c r="R9" s="1">
        <f>'Am Indian'!L8</f>
        <v>139</v>
      </c>
      <c r="S9" s="1">
        <f>'Other - Mixed'!L8</f>
        <v>119</v>
      </c>
      <c r="T9" s="1">
        <f>'All Minorities'!L8</f>
        <v>40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5</v>
      </c>
      <c r="D11" s="109">
        <f>'Data Entry'!D10</f>
        <v>0</v>
      </c>
      <c r="E11" s="110" t="str">
        <f>'Black or African-American'!$G10</f>
        <v>**</v>
      </c>
      <c r="F11" s="111">
        <f>'Data Entry'!E10</f>
        <v>1</v>
      </c>
      <c r="G11" s="110" t="str">
        <f>Hispanic!G10</f>
        <v>**</v>
      </c>
      <c r="H11" s="111">
        <f>'Data Entry'!F10</f>
        <v>0</v>
      </c>
      <c r="I11" s="110" t="str">
        <f>Asian!G10</f>
        <v>*</v>
      </c>
      <c r="J11" s="111">
        <f>'Data Entry'!J10</f>
        <v>1</v>
      </c>
      <c r="K11" s="112"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14</v>
      </c>
      <c r="D12" s="113">
        <f>'Data Entry'!D11</f>
        <v>1</v>
      </c>
      <c r="E12" s="114" t="str">
        <f>'Black or African-American'!$G11</f>
        <v>**</v>
      </c>
      <c r="F12" s="115">
        <f>'Data Entry'!E11</f>
        <v>4</v>
      </c>
      <c r="G12" s="114" t="str">
        <f>Hispanic!G11</f>
        <v>**</v>
      </c>
      <c r="H12" s="115">
        <f>'Data Entry'!F11</f>
        <v>0</v>
      </c>
      <c r="I12" s="114" t="str">
        <f>Asian!G11</f>
        <v>*</v>
      </c>
      <c r="J12" s="115">
        <f>'Data Entry'!J11</f>
        <v>7</v>
      </c>
      <c r="K12" s="116"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x14ac:dyDescent="0.3">
      <c r="B13" s="125" t="s">
        <v>13</v>
      </c>
      <c r="C13" s="104">
        <f>'Data Entry'!C12</f>
        <v>20</v>
      </c>
      <c r="D13" s="109">
        <f>'Data Entry'!D12</f>
        <v>1</v>
      </c>
      <c r="E13" s="110" t="str">
        <f>'Black or African-American'!$G12</f>
        <v>**</v>
      </c>
      <c r="F13" s="111">
        <f>'Data Entry'!E12</f>
        <v>4</v>
      </c>
      <c r="G13" s="110" t="str">
        <f>Hispanic!G12</f>
        <v>**</v>
      </c>
      <c r="H13" s="111">
        <f>'Data Entry'!F12</f>
        <v>0</v>
      </c>
      <c r="I13" s="110" t="str">
        <f>Asian!G12</f>
        <v>*</v>
      </c>
      <c r="J13" s="111">
        <f>'Data Entry'!J12</f>
        <v>6</v>
      </c>
      <c r="K13" s="112"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20</v>
      </c>
      <c r="W13" s="135"/>
      <c r="X13" s="135"/>
      <c r="Y13" s="135"/>
      <c r="Z13" s="135"/>
      <c r="AA13" s="135"/>
      <c r="AB13" s="135"/>
      <c r="AC13" s="135"/>
      <c r="AD13" s="135"/>
    </row>
    <row r="14" spans="2:30" s="1" customFormat="1" ht="15" customHeight="1" x14ac:dyDescent="0.3">
      <c r="B14" s="125" t="s">
        <v>14</v>
      </c>
      <c r="C14" s="104">
        <f>'Data Entry'!C13</f>
        <v>4</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f>'Black or African-American'!L13</f>
        <v>40</v>
      </c>
      <c r="O14" s="1">
        <f>Hispanic!L13</f>
        <v>40</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7</v>
      </c>
      <c r="D15" s="109">
        <f>'Data Entry'!D14</f>
        <v>0</v>
      </c>
      <c r="E15" s="110" t="str">
        <f>'Black or African-American'!$G14</f>
        <v>**</v>
      </c>
      <c r="F15" s="111">
        <f>'Data Entry'!E14</f>
        <v>3</v>
      </c>
      <c r="G15" s="110" t="str">
        <f>Hispanic!G14</f>
        <v>**</v>
      </c>
      <c r="H15" s="111">
        <f>'Data Entry'!F14</f>
        <v>0</v>
      </c>
      <c r="I15" s="110" t="str">
        <f>Asian!G14</f>
        <v>*</v>
      </c>
      <c r="J15" s="111">
        <f>'Data Entry'!J14</f>
        <v>3</v>
      </c>
      <c r="K15" s="112"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Gratiot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2749</v>
      </c>
      <c r="D6" s="34"/>
      <c r="E6" s="33">
        <f>'Data Entry'!D6</f>
        <v>50</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2.5463805020007273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50</v>
      </c>
      <c r="P7" s="42">
        <f t="shared" ref="P7:P15" si="2">C7</f>
        <v>7</v>
      </c>
      <c r="Q7" s="42">
        <f>C6-C7</f>
        <v>2742</v>
      </c>
      <c r="R7" s="42">
        <f t="shared" ref="R7:R15" si="3">SUM(N7:Q7)</f>
        <v>2799</v>
      </c>
      <c r="S7" s="30">
        <f t="shared" ref="S7:S15" si="4">R7*((((N7*Q7)-(O7*P7))^2))</f>
        <v>342877500</v>
      </c>
      <c r="T7" s="30">
        <f t="shared" ref="T7:T15" si="5">(N7+O7)*(P7+Q7)*(N7+P7)*(O7+Q7)</f>
        <v>2686322800</v>
      </c>
      <c r="U7" s="31">
        <f t="shared" ref="U7:U15" si="6">IF((S7&gt;0),S7/T7,"- -")</f>
        <v>0.1276382346901869</v>
      </c>
    </row>
    <row r="8" spans="2:21" ht="18" customHeight="1" x14ac:dyDescent="0.25">
      <c r="B8" s="32" t="str">
        <f>'Data Entry'!A8</f>
        <v>3. Refer to Juvenile Court</v>
      </c>
      <c r="C8" s="33">
        <f>'Data Entry'!C8</f>
        <v>39</v>
      </c>
      <c r="D8" s="34">
        <f>IF((AND(C67&gt;0,C8&gt;0)),(C8/C67),0)</f>
        <v>557.14285714285711</v>
      </c>
      <c r="E8" s="33">
        <f>'Data Entry'!D8</f>
        <v>1</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-0.95</v>
      </c>
      <c r="P8" s="42">
        <f t="shared" si="2"/>
        <v>39</v>
      </c>
      <c r="Q8" s="42">
        <f>(C$67*L67)-C8</f>
        <v>-32</v>
      </c>
      <c r="R8" s="42">
        <f t="shared" si="3"/>
        <v>7.0499999999999972</v>
      </c>
      <c r="S8" s="30">
        <f t="shared" si="4"/>
        <v>179.79262499999973</v>
      </c>
      <c r="T8" s="30">
        <f t="shared" si="5"/>
        <v>-461.30000000000047</v>
      </c>
      <c r="U8" s="31">
        <f t="shared" si="6"/>
        <v>-0.3897520593973543</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39</v>
      </c>
      <c r="R9" s="42">
        <f t="shared" si="3"/>
        <v>40</v>
      </c>
      <c r="S9" s="30">
        <f t="shared" si="4"/>
        <v>0</v>
      </c>
      <c r="T9" s="30">
        <f t="shared" si="5"/>
        <v>0</v>
      </c>
      <c r="U9" s="31" t="str">
        <f t="shared" si="6"/>
        <v>- -</v>
      </c>
    </row>
    <row r="10" spans="2:21" ht="18" customHeight="1" x14ac:dyDescent="0.25">
      <c r="B10" s="32" t="str">
        <f>'Data Entry'!A10</f>
        <v>5. Cases Involving Secure Detention</v>
      </c>
      <c r="C10" s="33">
        <f>'Data Entry'!C10</f>
        <v>5</v>
      </c>
      <c r="D10" s="34">
        <f>IF(((AND(C68&gt;0,C10&gt;0))),(C10/(C68)),0)</f>
        <v>12.820512820512819</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5</v>
      </c>
      <c r="Q10" s="42">
        <f>(C$68*L68)-C10</f>
        <v>34</v>
      </c>
      <c r="R10" s="42">
        <f t="shared" si="3"/>
        <v>40</v>
      </c>
      <c r="S10" s="30">
        <f t="shared" si="4"/>
        <v>1000</v>
      </c>
      <c r="T10" s="30">
        <f t="shared" si="5"/>
        <v>6825</v>
      </c>
      <c r="U10" s="31">
        <f t="shared" si="6"/>
        <v>0.14652014652014653</v>
      </c>
    </row>
    <row r="11" spans="2:21" ht="18" customHeight="1" x14ac:dyDescent="0.25">
      <c r="B11" s="32" t="str">
        <f>'Data Entry'!A11</f>
        <v>6. Cases Petitioned (Charge Filed)</v>
      </c>
      <c r="C11" s="33">
        <f>'Data Entry'!C11</f>
        <v>14</v>
      </c>
      <c r="D11" s="34">
        <f>IF(((AND(C68&gt;0,C11&gt;0))),(C11/(C68)),0)</f>
        <v>35.897435897435898</v>
      </c>
      <c r="E11" s="33">
        <f>'Data Entry'!D11</f>
        <v>1</v>
      </c>
      <c r="F11" s="34">
        <f>IF(((AND($E$11&gt;0,$D$68&gt;0))),($E$11/($D$68)),0)</f>
        <v>100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0</v>
      </c>
      <c r="P11" s="42">
        <f t="shared" si="2"/>
        <v>14</v>
      </c>
      <c r="Q11" s="42">
        <f>(C$68*L68)-C11</f>
        <v>25</v>
      </c>
      <c r="R11" s="42">
        <f t="shared" si="3"/>
        <v>40</v>
      </c>
      <c r="S11" s="30">
        <f t="shared" si="4"/>
        <v>25000</v>
      </c>
      <c r="T11" s="30">
        <f t="shared" si="5"/>
        <v>14625</v>
      </c>
      <c r="U11" s="31">
        <f t="shared" si="6"/>
        <v>1.7094017094017093</v>
      </c>
    </row>
    <row r="12" spans="2:21" ht="18" customHeight="1" x14ac:dyDescent="0.25">
      <c r="B12" s="32" t="str">
        <f>'Data Entry'!A12</f>
        <v>7. Cases Resulting in Delinquent Findings</v>
      </c>
      <c r="C12" s="33">
        <f>'Data Entry'!C12</f>
        <v>20</v>
      </c>
      <c r="D12" s="34">
        <f>IF(((AND(C69&gt;0,C12&gt;0))),(C12/(C69)),0)</f>
        <v>142.85714285714283</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20</v>
      </c>
      <c r="Q12" s="42">
        <f>(C69*L69)-C12</f>
        <v>-5.9999999999999982</v>
      </c>
      <c r="R12" s="42">
        <f t="shared" si="3"/>
        <v>15.000000000000002</v>
      </c>
      <c r="S12" s="30">
        <f t="shared" si="4"/>
        <v>539.99999999999977</v>
      </c>
      <c r="T12" s="30">
        <f t="shared" si="5"/>
        <v>-1763.9999999999998</v>
      </c>
      <c r="U12" s="31">
        <f t="shared" si="6"/>
        <v>-0.30612244897959173</v>
      </c>
    </row>
    <row r="13" spans="2:21" ht="18" customHeight="1" x14ac:dyDescent="0.25">
      <c r="B13" s="32" t="str">
        <f>'Data Entry'!A13</f>
        <v>8. Cases Resulting in Probation Placement</v>
      </c>
      <c r="C13" s="33">
        <f>'Data Entry'!C13</f>
        <v>4</v>
      </c>
      <c r="D13" s="34">
        <f>IF(((AND(C70&gt;0,C13&gt;0))),(C13/(C70)),0)</f>
        <v>20</v>
      </c>
      <c r="E13" s="33">
        <f>'Data Entry'!D13</f>
        <v>0</v>
      </c>
      <c r="F13" s="34">
        <f>IF(((AND($D$70&gt;0,$E$13&gt;0))),($E$13/($D$70)),0)</f>
        <v>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0</v>
      </c>
      <c r="O13" s="42">
        <f>(D70*L70)-E13</f>
        <v>1</v>
      </c>
      <c r="P13" s="42">
        <f t="shared" si="2"/>
        <v>4</v>
      </c>
      <c r="Q13" s="42">
        <f>(C70*L70)-C13</f>
        <v>16</v>
      </c>
      <c r="R13" s="42">
        <f t="shared" si="3"/>
        <v>21</v>
      </c>
      <c r="S13" s="30">
        <f t="shared" si="4"/>
        <v>336</v>
      </c>
      <c r="T13" s="30">
        <f t="shared" si="5"/>
        <v>1360</v>
      </c>
      <c r="U13" s="31">
        <f t="shared" si="6"/>
        <v>0.24705882352941178</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7</v>
      </c>
      <c r="Q14" s="42">
        <f>(C70*L70)-C14</f>
        <v>13</v>
      </c>
      <c r="R14" s="42">
        <f t="shared" si="3"/>
        <v>21</v>
      </c>
      <c r="S14" s="30">
        <f t="shared" si="4"/>
        <v>1029</v>
      </c>
      <c r="T14" s="30">
        <f t="shared" si="5"/>
        <v>1960</v>
      </c>
      <c r="U14" s="31">
        <f t="shared" si="6"/>
        <v>0.52500000000000002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14.000000000000002</v>
      </c>
      <c r="R15" s="42">
        <f t="shared" si="3"/>
        <v>15.000000000000002</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2.7490000000000001</v>
      </c>
      <c r="D42" s="56">
        <f>E6/1000</f>
        <v>0.05</v>
      </c>
      <c r="E42" s="56">
        <f>MAX(C42:D42)</f>
        <v>2.7490000000000001</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0.39</v>
      </c>
      <c r="D44" s="56">
        <f>E8/100</f>
        <v>0.01</v>
      </c>
      <c r="E44" s="56">
        <f>MAX(C44:D44,0)</f>
        <v>0.39</v>
      </c>
      <c r="G44" s="1" t="str">
        <f>B44</f>
        <v>per 100 referrals</v>
      </c>
      <c r="L44" s="57">
        <v>100</v>
      </c>
      <c r="M44" s="57"/>
      <c r="R44" s="49"/>
    </row>
    <row r="45" spans="2:18" ht="15" hidden="1" customHeight="1" x14ac:dyDescent="0.25">
      <c r="B45" s="49" t="s">
        <v>89</v>
      </c>
      <c r="C45" s="49">
        <f>C11/100</f>
        <v>0.14000000000000001</v>
      </c>
      <c r="D45" s="49">
        <f>E11/100</f>
        <v>0.01</v>
      </c>
      <c r="E45" s="56">
        <f>MAX(C45:D45,0)</f>
        <v>0.14000000000000001</v>
      </c>
      <c r="G45" s="1" t="str">
        <f>B45</f>
        <v>per 100 youth petitioned</v>
      </c>
      <c r="L45" s="57">
        <v>100</v>
      </c>
      <c r="M45" s="57"/>
      <c r="R45" s="49"/>
    </row>
    <row r="46" spans="2:18" ht="15" hidden="1" customHeight="1" x14ac:dyDescent="0.25">
      <c r="B46" s="49" t="s">
        <v>90</v>
      </c>
      <c r="C46" s="49">
        <f>C12/100</f>
        <v>0.2</v>
      </c>
      <c r="D46" s="49">
        <f>E12/100</f>
        <v>0.01</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2.7490000000000001</v>
      </c>
      <c r="D48" s="56">
        <f>D42</f>
        <v>0.05</v>
      </c>
      <c r="E48" s="56">
        <f>MAX(C48:D48)</f>
        <v>2.7490000000000001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0.39</v>
      </c>
      <c r="D50" s="49">
        <f t="shared" si="9"/>
        <v>0.01</v>
      </c>
      <c r="E50" s="49">
        <f>MAX(C50:D50)</f>
        <v>0.39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0.14000000000000001</v>
      </c>
      <c r="D51" s="49">
        <f>IF(($E45&gt;0),D45,D44)</f>
        <v>0.01</v>
      </c>
      <c r="E51" s="49">
        <f>MAX(C51:D51)</f>
        <v>0.14000000000000001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0.01</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2.7490000000000001</v>
      </c>
      <c r="D54" s="56">
        <f>D48</f>
        <v>0.05</v>
      </c>
      <c r="E54" s="56">
        <f>MAX(C54:D54)</f>
        <v>2.7490000000000001</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0.39</v>
      </c>
      <c r="D56" s="49">
        <f t="shared" si="10"/>
        <v>0.01</v>
      </c>
      <c r="E56" s="49">
        <f>MAX(C56:D56)</f>
        <v>0.39</v>
      </c>
      <c r="G56" s="1" t="str">
        <f>G50</f>
        <v>per 100 referrals</v>
      </c>
      <c r="L56" s="58">
        <f>IF(($E50&gt;0),L50,L49)</f>
        <v>100</v>
      </c>
      <c r="M56" s="58"/>
    </row>
    <row r="57" spans="2:18" ht="15" hidden="1" customHeight="1" x14ac:dyDescent="0.25">
      <c r="B57" s="49" t="str">
        <f>IF(($E51&gt;0),B51,B49)</f>
        <v>per 100 youth petitioned</v>
      </c>
      <c r="C57" s="49">
        <f>IF(($E51&gt;0),C51,C50)</f>
        <v>0.14000000000000001</v>
      </c>
      <c r="D57" s="49">
        <f>IF(($E51&gt;0),D51,D50)</f>
        <v>0.01</v>
      </c>
      <c r="E57" s="49">
        <f>MAX(C57:D57)</f>
        <v>0.14000000000000001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0.01</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2.7490000000000001</v>
      </c>
      <c r="D60" s="56">
        <f>D54</f>
        <v>0.05</v>
      </c>
      <c r="E60" s="56">
        <f>MAX(C60:D60)</f>
        <v>2.7490000000000001</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0.39</v>
      </c>
      <c r="D62" s="49">
        <f t="shared" si="11"/>
        <v>0.01</v>
      </c>
      <c r="E62" s="49">
        <f>MAX(C62:D62)</f>
        <v>0.39</v>
      </c>
      <c r="G62" s="1" t="str">
        <f>G56</f>
        <v>per 100 referrals</v>
      </c>
      <c r="L62" s="58">
        <f>IF(($E56&gt;0),L56,L55)</f>
        <v>100</v>
      </c>
      <c r="M62" s="58"/>
    </row>
    <row r="63" spans="2:18" ht="15" hidden="1" customHeight="1" x14ac:dyDescent="0.25">
      <c r="B63" s="49" t="str">
        <f>IF(($E57&gt;0),B57,B55)</f>
        <v>per 100 youth petitioned</v>
      </c>
      <c r="C63" s="49">
        <f>IF(($E57&gt;0),C57,C56)</f>
        <v>0.14000000000000001</v>
      </c>
      <c r="D63" s="49">
        <f>IF(($E57&gt;0),D57,D56)</f>
        <v>0.01</v>
      </c>
      <c r="E63" s="49">
        <f>MAX(C63:D63)</f>
        <v>0.14000000000000001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0.01</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2.7490000000000001</v>
      </c>
      <c r="D66" s="56">
        <f>D60</f>
        <v>0.05</v>
      </c>
      <c r="E66" s="56">
        <f>MAX(C66:D66)</f>
        <v>2.7490000000000001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0.39</v>
      </c>
      <c r="D68" s="49">
        <f t="shared" si="12"/>
        <v>0.01</v>
      </c>
      <c r="E68" s="49">
        <f>MAX(C68:D68)</f>
        <v>0.39</v>
      </c>
      <c r="G68" s="1" t="str">
        <f>G62</f>
        <v>per 100 referrals</v>
      </c>
      <c r="L68" s="58">
        <f>IF(($E62&gt;0),L62,L61)</f>
        <v>100</v>
      </c>
      <c r="M68" s="58">
        <f>IF((B68=G68),1,2)</f>
        <v>1</v>
      </c>
    </row>
    <row r="69" spans="2:13" ht="15" hidden="1" customHeight="1" x14ac:dyDescent="0.25">
      <c r="B69" s="49" t="str">
        <f>IF(($E63&gt;0),B63,B61)</f>
        <v>per 100 youth petitioned</v>
      </c>
      <c r="C69" s="49">
        <f>IF(($E63&gt;0),C63,C62)</f>
        <v>0.14000000000000001</v>
      </c>
      <c r="D69" s="49">
        <f>IF(($E63&gt;0),D63,D62)</f>
        <v>0.01</v>
      </c>
      <c r="E69" s="49">
        <f>MAX(C69:D69)</f>
        <v>0.14000000000000001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0.01</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Gratiot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2749</v>
      </c>
      <c r="D6" s="34"/>
      <c r="E6" s="33">
        <f>'Data Entry'!F6</f>
        <v>27</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2.5463805020007273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27</v>
      </c>
      <c r="P7" s="42">
        <f t="shared" ref="P7:P15" si="4">C7</f>
        <v>7</v>
      </c>
      <c r="Q7" s="42">
        <f>C6-C7</f>
        <v>2742</v>
      </c>
      <c r="R7" s="42">
        <f t="shared" ref="R7:R15" si="5">SUM(N7:Q7)</f>
        <v>2776</v>
      </c>
      <c r="S7" s="30">
        <f t="shared" ref="S7:S15" si="6">R7*((((N7*Q7)-(O7*P7))^2))</f>
        <v>99161496</v>
      </c>
      <c r="T7" s="30">
        <f t="shared" ref="T7:T15" si="7">(N7+O7)*(P7+Q7)*(N7+P7)*(O7+Q7)</f>
        <v>1438664409</v>
      </c>
      <c r="U7" s="31">
        <f t="shared" ref="U7:U15" si="8">IF((S7&gt;0),S7/T7,"- -")</f>
        <v>6.8926078507027283E-2</v>
      </c>
    </row>
    <row r="8" spans="2:21" ht="18" customHeight="1" x14ac:dyDescent="0.25">
      <c r="B8" s="32" t="str">
        <f>'Data Entry'!A8</f>
        <v>3. Refer to Juvenile Court</v>
      </c>
      <c r="C8" s="33">
        <f>'Data Entry'!C8</f>
        <v>39</v>
      </c>
      <c r="D8" s="34">
        <f>IF((AND(C67&gt;0,C8&gt;0)),(C8/C67),0)</f>
        <v>557.14285714285711</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39</v>
      </c>
      <c r="Q8" s="42">
        <f>(C$67*L67)-C8</f>
        <v>-32</v>
      </c>
      <c r="R8" s="42">
        <f t="shared" si="5"/>
        <v>7.0499999999999972</v>
      </c>
      <c r="S8" s="30">
        <f t="shared" si="6"/>
        <v>26.807624999999994</v>
      </c>
      <c r="T8" s="30">
        <f t="shared" si="7"/>
        <v>-436.11750000000006</v>
      </c>
      <c r="U8" s="31">
        <f t="shared" si="8"/>
        <v>-6.1468812877263558E-2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39</v>
      </c>
      <c r="R9" s="42">
        <f t="shared" si="5"/>
        <v>39</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12.820512820512819</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34</v>
      </c>
      <c r="R10" s="42">
        <f t="shared" si="5"/>
        <v>39</v>
      </c>
      <c r="S10" s="30">
        <f t="shared" si="6"/>
        <v>0</v>
      </c>
      <c r="T10" s="30">
        <f t="shared" si="7"/>
        <v>0</v>
      </c>
      <c r="U10" s="31" t="str">
        <f t="shared" si="8"/>
        <v>- -</v>
      </c>
    </row>
    <row r="11" spans="2:21" ht="18" customHeight="1" x14ac:dyDescent="0.25">
      <c r="B11" s="32" t="str">
        <f>'Data Entry'!A11</f>
        <v>6. Cases Petitioned (Charge Filed)</v>
      </c>
      <c r="C11" s="33">
        <f>'Data Entry'!C11</f>
        <v>14</v>
      </c>
      <c r="D11" s="34">
        <f>IF(((AND(C68&gt;0,C11&gt;0))),(C11/(C68)),0)</f>
        <v>35.897435897435898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25</v>
      </c>
      <c r="R11" s="42">
        <f t="shared" si="5"/>
        <v>39</v>
      </c>
      <c r="S11" s="30">
        <f t="shared" si="6"/>
        <v>0</v>
      </c>
      <c r="T11" s="30">
        <f t="shared" si="7"/>
        <v>0</v>
      </c>
      <c r="U11" s="31" t="str">
        <f t="shared" si="8"/>
        <v>- -</v>
      </c>
    </row>
    <row r="12" spans="2:21" ht="18" customHeight="1" x14ac:dyDescent="0.25">
      <c r="B12" s="32" t="str">
        <f>'Data Entry'!A12</f>
        <v>7. Cases Resulting in Delinquent Findings</v>
      </c>
      <c r="C12" s="33">
        <f>'Data Entry'!C12</f>
        <v>20</v>
      </c>
      <c r="D12" s="34">
        <f>IF(((AND(C69&gt;0,C12&gt;0))),(C12/(C69)),0)</f>
        <v>142.85714285714283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-5.9999999999999982</v>
      </c>
      <c r="R12" s="42">
        <f t="shared" si="5"/>
        <v>14.000000000000002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20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16</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2.7490000000000001</v>
      </c>
      <c r="D42" s="56">
        <f>E6/1000</f>
        <v>2.7E-2</v>
      </c>
      <c r="E42" s="56">
        <f>MAX(C42:D42)</f>
        <v>2.7490000000000001</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0.39</v>
      </c>
      <c r="D44" s="56">
        <f>E8/100</f>
        <v>0</v>
      </c>
      <c r="E44" s="56">
        <f>MAX(C44:D44,0)</f>
        <v>0.39</v>
      </c>
      <c r="G44" s="1" t="str">
        <f>B44</f>
        <v>per 100 referrals</v>
      </c>
      <c r="L44" s="57">
        <v>100</v>
      </c>
      <c r="M44" s="57"/>
      <c r="R44" s="49"/>
    </row>
    <row r="45" spans="2:18" ht="15" hidden="1" customHeight="1" x14ac:dyDescent="0.25">
      <c r="B45" s="49" t="s">
        <v>89</v>
      </c>
      <c r="C45" s="49">
        <f>C11/100</f>
        <v>0.14000000000000001</v>
      </c>
      <c r="D45" s="49">
        <f>E11/100</f>
        <v>0</v>
      </c>
      <c r="E45" s="56">
        <f>MAX(C45:D45,0)</f>
        <v>0.14000000000000001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2.7490000000000001</v>
      </c>
      <c r="D48" s="56">
        <f>D42</f>
        <v>2.7E-2</v>
      </c>
      <c r="E48" s="56">
        <f>MAX(C48:D48)</f>
        <v>2.7490000000000001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2.7490000000000001</v>
      </c>
      <c r="D54" s="56">
        <f>D48</f>
        <v>2.7E-2</v>
      </c>
      <c r="E54" s="56">
        <f>MAX(C54:D54)</f>
        <v>2.7490000000000001</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x14ac:dyDescent="0.25">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2.7490000000000001</v>
      </c>
      <c r="D60" s="56">
        <f>D54</f>
        <v>2.7E-2</v>
      </c>
      <c r="E60" s="56">
        <f>MAX(C60:D60)</f>
        <v>2.7490000000000001</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x14ac:dyDescent="0.25">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2.7490000000000001</v>
      </c>
      <c r="D66" s="56">
        <f>D60</f>
        <v>2.7E-2</v>
      </c>
      <c r="E66" s="56">
        <f>MAX(C66:D66)</f>
        <v>2.7490000000000001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x14ac:dyDescent="0.25">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Gratiot</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2749</v>
      </c>
      <c r="D6" s="34"/>
      <c r="E6" s="33">
        <f>'Data Entry'!E6</f>
        <v>385</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2.5463805020007273</v>
      </c>
      <c r="E7" s="33">
        <f>'Data Entry'!E7</f>
        <v>2</v>
      </c>
      <c r="F7" s="34">
        <f>IF((AND($E$7&gt;0,$D$66&gt;0)),($E$7/$D$66),0)</f>
        <v>5.1948051948051948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383</v>
      </c>
      <c r="P7" s="42">
        <f t="shared" ref="P7:P15" si="4">C7</f>
        <v>7</v>
      </c>
      <c r="Q7" s="42">
        <f>C6-C7</f>
        <v>2742</v>
      </c>
      <c r="R7" s="42">
        <f t="shared" ref="R7:R15" si="5">SUM(N7:Q7)</f>
        <v>3134</v>
      </c>
      <c r="S7" s="30">
        <f t="shared" ref="S7:S15" si="6">R7*((((N7*Q7)-(O7*P7))^2))</f>
        <v>24623239406</v>
      </c>
      <c r="T7" s="30">
        <f t="shared" ref="T7:T15" si="7">(N7+O7)*(P7+Q7)*(N7+P7)*(O7+Q7)</f>
        <v>29766515625</v>
      </c>
      <c r="U7" s="31">
        <f t="shared" ref="U7:U15" si="8">IF((S7&gt;0),S7/T7,"- -")</f>
        <v>0.82721268811589366</v>
      </c>
    </row>
    <row r="8" spans="2:21" ht="18" customHeight="1" x14ac:dyDescent="0.25">
      <c r="B8" s="32" t="str">
        <f>'Data Entry'!A8</f>
        <v>3. Refer to Juvenile Court</v>
      </c>
      <c r="C8" s="33">
        <f>'Data Entry'!C8</f>
        <v>39</v>
      </c>
      <c r="D8" s="34">
        <f>IF((AND(C67&gt;0,C8&gt;0)),(C8/C67),0)</f>
        <v>557.14285714285711</v>
      </c>
      <c r="E8" s="33">
        <f>'Data Entry'!E8</f>
        <v>11</v>
      </c>
      <c r="F8" s="34">
        <f>IF((AND($E$8&gt;0,$D$67&gt;0)),($E8/$D67),0)</f>
        <v>550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11</v>
      </c>
      <c r="O8" s="42">
        <f>((D67*L67)-E8)+0.05</f>
        <v>-8.9499999999999993</v>
      </c>
      <c r="P8" s="42">
        <f t="shared" si="4"/>
        <v>39</v>
      </c>
      <c r="Q8" s="42">
        <f>(C$67*L67)-C8</f>
        <v>-32</v>
      </c>
      <c r="R8" s="42">
        <f t="shared" si="5"/>
        <v>9.0499999999999972</v>
      </c>
      <c r="S8" s="30">
        <f t="shared" si="6"/>
        <v>78.757625000002406</v>
      </c>
      <c r="T8" s="30">
        <f t="shared" si="7"/>
        <v>-29381.625000000011</v>
      </c>
      <c r="U8" s="31">
        <f t="shared" si="8"/>
        <v>-2.6805060986246462E-3</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11</v>
      </c>
      <c r="P9" s="42">
        <f t="shared" si="4"/>
        <v>0</v>
      </c>
      <c r="Q9" s="42">
        <f>(C$68*L68)-C9</f>
        <v>39</v>
      </c>
      <c r="R9" s="42">
        <f t="shared" si="5"/>
        <v>50</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12.820512820512819</v>
      </c>
      <c r="E10" s="33">
        <f>'Data Entry'!E10</f>
        <v>1</v>
      </c>
      <c r="F10" s="34">
        <f>IF(((AND($E$10&gt;0,$D$68&gt;0))),($E$10/($D$68)),0)</f>
        <v>9.0909090909090917</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10</v>
      </c>
      <c r="P10" s="42">
        <f t="shared" si="4"/>
        <v>5</v>
      </c>
      <c r="Q10" s="42">
        <f>(C$68*L68)-C10</f>
        <v>34</v>
      </c>
      <c r="R10" s="42">
        <f t="shared" si="5"/>
        <v>50</v>
      </c>
      <c r="S10" s="30">
        <f t="shared" si="6"/>
        <v>12800</v>
      </c>
      <c r="T10" s="30">
        <f t="shared" si="7"/>
        <v>113256</v>
      </c>
      <c r="U10" s="31">
        <f t="shared" si="8"/>
        <v>0.11301829483647666</v>
      </c>
    </row>
    <row r="11" spans="2:21" ht="18" customHeight="1" x14ac:dyDescent="0.25">
      <c r="B11" s="32" t="str">
        <f>'Data Entry'!A11</f>
        <v>6. Cases Petitioned (Charge Filed)</v>
      </c>
      <c r="C11" s="33">
        <f>'Data Entry'!C11</f>
        <v>14</v>
      </c>
      <c r="D11" s="34">
        <f>IF(((AND(C68&gt;0,C11&gt;0))),(C11/(C68)),0)</f>
        <v>35.897435897435898</v>
      </c>
      <c r="E11" s="33">
        <f>'Data Entry'!E11</f>
        <v>4</v>
      </c>
      <c r="F11" s="34">
        <f>IF(((AND($E$11&gt;0,$D$68&gt;0))),($E$11/($D$68)),0)</f>
        <v>36.363636363636367</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7</v>
      </c>
      <c r="P11" s="42">
        <f t="shared" si="4"/>
        <v>14</v>
      </c>
      <c r="Q11" s="42">
        <f>(C$68*L68)-C11</f>
        <v>25</v>
      </c>
      <c r="R11" s="42">
        <f t="shared" si="5"/>
        <v>50</v>
      </c>
      <c r="S11" s="30">
        <f t="shared" si="6"/>
        <v>200</v>
      </c>
      <c r="T11" s="30">
        <f t="shared" si="7"/>
        <v>247104</v>
      </c>
      <c r="U11" s="31">
        <f t="shared" si="8"/>
        <v>8.0937580937580941E-4</v>
      </c>
    </row>
    <row r="12" spans="2:21" ht="18" customHeight="1" x14ac:dyDescent="0.25">
      <c r="B12" s="32" t="str">
        <f>'Data Entry'!A12</f>
        <v>7. Cases Resulting in Delinquent Findings</v>
      </c>
      <c r="C12" s="33">
        <f>'Data Entry'!C12</f>
        <v>20</v>
      </c>
      <c r="D12" s="34">
        <f>IF(((AND(C69&gt;0,C12&gt;0))),(C12/(C69)),0)</f>
        <v>142.85714285714283</v>
      </c>
      <c r="E12" s="33">
        <f>'Data Entry'!E12</f>
        <v>4</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0</v>
      </c>
      <c r="P12" s="42">
        <f t="shared" si="4"/>
        <v>20</v>
      </c>
      <c r="Q12" s="42">
        <f>(C69*L69)-C12</f>
        <v>-5.9999999999999982</v>
      </c>
      <c r="R12" s="42">
        <f t="shared" si="5"/>
        <v>18</v>
      </c>
      <c r="S12" s="30">
        <f t="shared" si="6"/>
        <v>10367.999999999995</v>
      </c>
      <c r="T12" s="30">
        <f t="shared" si="7"/>
        <v>-8063.9999999999991</v>
      </c>
      <c r="U12" s="31">
        <f t="shared" si="8"/>
        <v>-1.2857142857142851</v>
      </c>
    </row>
    <row r="13" spans="2:21" ht="18" customHeight="1" x14ac:dyDescent="0.25">
      <c r="B13" s="32" t="str">
        <f>'Data Entry'!A13</f>
        <v>8. Cases Resulting in Probation Placement</v>
      </c>
      <c r="C13" s="33">
        <f>'Data Entry'!C13</f>
        <v>4</v>
      </c>
      <c r="D13" s="34">
        <f>IF(((AND(C70&gt;0,C13&gt;0))),(C13/(C70)),0)</f>
        <v>20</v>
      </c>
      <c r="E13" s="33">
        <f>'Data Entry'!E13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4</v>
      </c>
      <c r="P13" s="42">
        <f t="shared" si="4"/>
        <v>4</v>
      </c>
      <c r="Q13" s="42">
        <f>(C70*L70)-C13</f>
        <v>16</v>
      </c>
      <c r="R13" s="42">
        <f t="shared" si="5"/>
        <v>24</v>
      </c>
      <c r="S13" s="30">
        <f t="shared" si="6"/>
        <v>6144</v>
      </c>
      <c r="T13" s="30">
        <f t="shared" si="7"/>
        <v>6400</v>
      </c>
      <c r="U13" s="31">
        <f t="shared" si="8"/>
        <v>0.96</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Entry'!E14</f>
        <v>3</v>
      </c>
      <c r="F14" s="34">
        <f>IF(((AND($D$70&gt;0,$E$14&gt;0))), (($E$14/($D$70))),0)</f>
        <v>75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3</v>
      </c>
      <c r="O14" s="42">
        <f>(D70*L70)-E14</f>
        <v>1</v>
      </c>
      <c r="P14" s="42">
        <f t="shared" si="4"/>
        <v>7</v>
      </c>
      <c r="Q14" s="42">
        <f>(C70*L70)-C14</f>
        <v>13</v>
      </c>
      <c r="R14" s="42">
        <f t="shared" si="5"/>
        <v>24</v>
      </c>
      <c r="S14" s="30">
        <f t="shared" si="6"/>
        <v>24576</v>
      </c>
      <c r="T14" s="30">
        <f t="shared" si="7"/>
        <v>11200</v>
      </c>
      <c r="U14" s="31">
        <f t="shared" si="8"/>
        <v>2.1942857142857144</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14.000000000000002</v>
      </c>
      <c r="R15" s="42">
        <f t="shared" si="5"/>
        <v>18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2.7490000000000001</v>
      </c>
      <c r="D42" s="56">
        <f>E6/1000</f>
        <v>0.38500000000000001</v>
      </c>
      <c r="E42" s="56">
        <f>MAX(C42:D42)</f>
        <v>2.7490000000000001</v>
      </c>
      <c r="G42" s="1" t="str">
        <f>B42</f>
        <v>per 1000 youth</v>
      </c>
      <c r="L42" s="57">
        <v>1000</v>
      </c>
      <c r="M42" s="57"/>
      <c r="R42" s="49"/>
    </row>
    <row r="43" spans="2:18" ht="15" hidden="1" customHeight="1" x14ac:dyDescent="0.25">
      <c r="B43" s="49" t="s">
        <v>87</v>
      </c>
      <c r="C43" s="56">
        <f>C7/100</f>
        <v>7.0000000000000007E-2</v>
      </c>
      <c r="D43" s="56">
        <f>E7/100</f>
        <v>0.02</v>
      </c>
      <c r="E43" s="56">
        <f>MAX(C43:D43,0)</f>
        <v>7.0000000000000007E-2</v>
      </c>
      <c r="G43" s="1" t="str">
        <f>B43</f>
        <v>per 100 arrests</v>
      </c>
      <c r="L43" s="57">
        <v>100</v>
      </c>
      <c r="M43" s="57"/>
      <c r="R43" s="49"/>
    </row>
    <row r="44" spans="2:18" ht="15" hidden="1" customHeight="1" x14ac:dyDescent="0.25">
      <c r="B44" s="49" t="s">
        <v>88</v>
      </c>
      <c r="C44" s="56">
        <f>C8/100</f>
        <v>0.39</v>
      </c>
      <c r="D44" s="56">
        <f>E8/100</f>
        <v>0.11</v>
      </c>
      <c r="E44" s="56">
        <f>MAX(C44:D44,0)</f>
        <v>0.39</v>
      </c>
      <c r="G44" s="1" t="str">
        <f>B44</f>
        <v>per 100 referrals</v>
      </c>
      <c r="L44" s="57">
        <v>100</v>
      </c>
      <c r="M44" s="57"/>
      <c r="R44" s="49"/>
    </row>
    <row r="45" spans="2:18" ht="15" hidden="1" customHeight="1" x14ac:dyDescent="0.25">
      <c r="B45" s="49" t="s">
        <v>89</v>
      </c>
      <c r="C45" s="49">
        <f>C11/100</f>
        <v>0.14000000000000001</v>
      </c>
      <c r="D45" s="49">
        <f>E11/100</f>
        <v>0.04</v>
      </c>
      <c r="E45" s="56">
        <f>MAX(C45:D45,0)</f>
        <v>0.14000000000000001</v>
      </c>
      <c r="G45" s="1" t="str">
        <f>B45</f>
        <v>per 100 youth petitioned</v>
      </c>
      <c r="L45" s="57">
        <v>100</v>
      </c>
      <c r="M45" s="57"/>
      <c r="R45" s="49"/>
    </row>
    <row r="46" spans="2:18" ht="15" hidden="1" customHeight="1" x14ac:dyDescent="0.25">
      <c r="B46" s="49" t="s">
        <v>90</v>
      </c>
      <c r="C46" s="49">
        <f>C12/100</f>
        <v>0.2</v>
      </c>
      <c r="D46" s="49">
        <f>E12/100</f>
        <v>0.04</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2.7490000000000001</v>
      </c>
      <c r="D48" s="56">
        <f>D42</f>
        <v>0.38500000000000001</v>
      </c>
      <c r="E48" s="56">
        <f>MAX(C48:D48)</f>
        <v>2.7490000000000001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0.02</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0.39</v>
      </c>
      <c r="D50" s="49">
        <f t="shared" si="9"/>
        <v>0.11</v>
      </c>
      <c r="E50" s="49">
        <f>MAX(C50:D50)</f>
        <v>0.39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0.14000000000000001</v>
      </c>
      <c r="D51" s="49">
        <f>IF(($E45&gt;0),D45,D44)</f>
        <v>0.04</v>
      </c>
      <c r="E51" s="49">
        <f>MAX(C51:D51)</f>
        <v>0.14000000000000001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0.04</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2.7490000000000001</v>
      </c>
      <c r="D54" s="56">
        <f>D48</f>
        <v>0.38500000000000001</v>
      </c>
      <c r="E54" s="56">
        <f>MAX(C54:D54)</f>
        <v>2.7490000000000001</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0.02</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0.39</v>
      </c>
      <c r="D56" s="49">
        <f t="shared" si="10"/>
        <v>0.11</v>
      </c>
      <c r="E56" s="49">
        <f>MAX(C56:D56)</f>
        <v>0.39</v>
      </c>
      <c r="G56" s="1" t="str">
        <f>G50</f>
        <v>per 100 referrals</v>
      </c>
      <c r="L56" s="58">
        <f>IF(($E50&gt;0),L50,L49)</f>
        <v>100</v>
      </c>
      <c r="M56" s="58"/>
    </row>
    <row r="57" spans="2:18" ht="15" hidden="1" customHeight="1" x14ac:dyDescent="0.25">
      <c r="B57" s="49" t="str">
        <f>IF(($E51&gt;0),B51,B49)</f>
        <v>per 100 youth petitioned</v>
      </c>
      <c r="C57" s="49">
        <f>IF(($E51&gt;0),C51,C50)</f>
        <v>0.14000000000000001</v>
      </c>
      <c r="D57" s="49">
        <f>IF(($E51&gt;0),D51,D50)</f>
        <v>0.04</v>
      </c>
      <c r="E57" s="49">
        <f>MAX(C57:D57)</f>
        <v>0.14000000000000001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0.04</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2.7490000000000001</v>
      </c>
      <c r="D60" s="56">
        <f>D54</f>
        <v>0.38500000000000001</v>
      </c>
      <c r="E60" s="56">
        <f>MAX(C60:D60)</f>
        <v>2.7490000000000001</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0.02</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0.39</v>
      </c>
      <c r="D62" s="49">
        <f t="shared" si="11"/>
        <v>0.11</v>
      </c>
      <c r="E62" s="49">
        <f>MAX(C62:D62)</f>
        <v>0.39</v>
      </c>
      <c r="G62" s="1" t="str">
        <f>G56</f>
        <v>per 100 referrals</v>
      </c>
      <c r="L62" s="58">
        <f>IF(($E56&gt;0),L56,L55)</f>
        <v>100</v>
      </c>
      <c r="M62" s="58"/>
    </row>
    <row r="63" spans="2:18" ht="15" hidden="1" customHeight="1" x14ac:dyDescent="0.25">
      <c r="B63" s="49" t="str">
        <f>IF(($E57&gt;0),B57,B55)</f>
        <v>per 100 youth petitioned</v>
      </c>
      <c r="C63" s="49">
        <f>IF(($E57&gt;0),C57,C56)</f>
        <v>0.14000000000000001</v>
      </c>
      <c r="D63" s="49">
        <f>IF(($E57&gt;0),D57,D56)</f>
        <v>0.04</v>
      </c>
      <c r="E63" s="49">
        <f>MAX(C63:D63)</f>
        <v>0.14000000000000001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0.04</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2.7490000000000001</v>
      </c>
      <c r="D66" s="56">
        <f>D60</f>
        <v>0.38500000000000001</v>
      </c>
      <c r="E66" s="56">
        <f>MAX(C66:D66)</f>
        <v>2.7490000000000001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0.02</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0.39</v>
      </c>
      <c r="D68" s="49">
        <f t="shared" si="12"/>
        <v>0.11</v>
      </c>
      <c r="E68" s="49">
        <f>MAX(C68:D68)</f>
        <v>0.39</v>
      </c>
      <c r="G68" s="1" t="str">
        <f>G62</f>
        <v>per 100 referrals</v>
      </c>
      <c r="L68" s="58">
        <f>IF(($E62&gt;0),L62,L61)</f>
        <v>100</v>
      </c>
      <c r="M68" s="58">
        <f>IF((B68=G68),1,2)</f>
        <v>1</v>
      </c>
    </row>
    <row r="69" spans="2:13" ht="15" hidden="1" customHeight="1" x14ac:dyDescent="0.25">
      <c r="B69" s="49" t="str">
        <f>IF(($E63&gt;0),B63,B61)</f>
        <v>per 100 youth petitioned</v>
      </c>
      <c r="C69" s="49">
        <f>IF(($E63&gt;0),C63,C62)</f>
        <v>0.14000000000000001</v>
      </c>
      <c r="D69" s="49">
        <f>IF(($E63&gt;0),D63,D62)</f>
        <v>0.04</v>
      </c>
      <c r="E69" s="49">
        <f>MAX(C69:D69)</f>
        <v>0.14000000000000001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0.04</v>
      </c>
      <c r="E70" s="56">
        <f>MAX(C70:D70)</f>
        <v>0.2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Gratiot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2749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2.5463805020007273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v>
      </c>
      <c r="Q7" s="42">
        <f>C6-C7</f>
        <v>2742</v>
      </c>
      <c r="R7" s="42">
        <f t="shared" ref="R7:R15" si="5">SUM(N7:Q7)</f>
        <v>2749</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39</v>
      </c>
      <c r="D8" s="34">
        <f>IF((AND(C67&gt;0,C8&gt;0)),(C8/C67),0)</f>
        <v>557.14285714285711</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39</v>
      </c>
      <c r="Q8" s="42">
        <f>(C$67*L67)-C8</f>
        <v>-32</v>
      </c>
      <c r="R8" s="42">
        <f t="shared" si="5"/>
        <v>7.0499999999999972</v>
      </c>
      <c r="S8" s="30">
        <f t="shared" si="6"/>
        <v>26.807624999999994</v>
      </c>
      <c r="T8" s="30">
        <f t="shared" si="7"/>
        <v>-436.11750000000006</v>
      </c>
      <c r="U8" s="31">
        <f t="shared" si="8"/>
        <v>-6.1468812877263558E-2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39</v>
      </c>
      <c r="R9" s="42">
        <f t="shared" si="5"/>
        <v>39</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12.820512820512819</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34</v>
      </c>
      <c r="R10" s="42">
        <f t="shared" si="5"/>
        <v>39</v>
      </c>
      <c r="S10" s="30">
        <f t="shared" si="6"/>
        <v>0</v>
      </c>
      <c r="T10" s="30">
        <f t="shared" si="7"/>
        <v>0</v>
      </c>
      <c r="U10" s="31" t="str">
        <f t="shared" si="8"/>
        <v>- -</v>
      </c>
    </row>
    <row r="11" spans="2:21" ht="18" customHeight="1" x14ac:dyDescent="0.25">
      <c r="B11" s="32" t="str">
        <f>'Data Entry'!A11</f>
        <v>6. Cases Petitioned (Charge Filed)</v>
      </c>
      <c r="C11" s="33">
        <f>'Data Entry'!C11</f>
        <v>14</v>
      </c>
      <c r="D11" s="34">
        <f>IF(((AND(C68&gt;0,C11&gt;0))),(C11/(C68)),0)</f>
        <v>35.897435897435898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25</v>
      </c>
      <c r="R11" s="42">
        <f t="shared" si="5"/>
        <v>39</v>
      </c>
      <c r="S11" s="30">
        <f t="shared" si="6"/>
        <v>0</v>
      </c>
      <c r="T11" s="30">
        <f t="shared" si="7"/>
        <v>0</v>
      </c>
      <c r="U11" s="31" t="str">
        <f t="shared" si="8"/>
        <v>- -</v>
      </c>
    </row>
    <row r="12" spans="2:21" ht="18" customHeight="1" x14ac:dyDescent="0.25">
      <c r="B12" s="32" t="str">
        <f>'Data Entry'!A12</f>
        <v>7. Cases Resulting in Delinquent Findings</v>
      </c>
      <c r="C12" s="33">
        <f>'Data Entry'!C12</f>
        <v>20</v>
      </c>
      <c r="D12" s="34">
        <f>IF(((AND(C69&gt;0,C12&gt;0))),(C12/(C69)),0)</f>
        <v>142.85714285714283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-5.9999999999999982</v>
      </c>
      <c r="R12" s="42">
        <f t="shared" si="5"/>
        <v>14.000000000000002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20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16</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2.7490000000000001</v>
      </c>
      <c r="D42" s="56">
        <f>E6/1000</f>
        <v>0</v>
      </c>
      <c r="E42" s="56">
        <f>MAX(C42:D42)</f>
        <v>2.7490000000000001</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0.39</v>
      </c>
      <c r="D44" s="56">
        <f>E8/100</f>
        <v>0</v>
      </c>
      <c r="E44" s="56">
        <f>MAX(C44:D44,0)</f>
        <v>0.39</v>
      </c>
      <c r="G44" s="1" t="str">
        <f>B44</f>
        <v>per 100 referrals</v>
      </c>
      <c r="L44" s="57">
        <v>100</v>
      </c>
      <c r="M44" s="57"/>
      <c r="R44" s="49"/>
    </row>
    <row r="45" spans="2:18" ht="15" hidden="1" customHeight="1" x14ac:dyDescent="0.25">
      <c r="B45" s="49" t="s">
        <v>89</v>
      </c>
      <c r="C45" s="49">
        <f>C11/100</f>
        <v>0.14000000000000001</v>
      </c>
      <c r="D45" s="49">
        <f>E11/100</f>
        <v>0</v>
      </c>
      <c r="E45" s="56">
        <f>MAX(C45:D45,0)</f>
        <v>0.14000000000000001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2.7490000000000001</v>
      </c>
      <c r="D48" s="56">
        <f>D42</f>
        <v>0</v>
      </c>
      <c r="E48" s="56">
        <f>MAX(C48:D48)</f>
        <v>2.7490000000000001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2.7490000000000001</v>
      </c>
      <c r="D54" s="56">
        <f>D48</f>
        <v>0</v>
      </c>
      <c r="E54" s="56">
        <f>MAX(C54:D54)</f>
        <v>2.7490000000000001</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x14ac:dyDescent="0.25">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2.7490000000000001</v>
      </c>
      <c r="D60" s="56">
        <f>D54</f>
        <v>0</v>
      </c>
      <c r="E60" s="56">
        <f>MAX(C60:D60)</f>
        <v>2.7490000000000001</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x14ac:dyDescent="0.25">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2.7490000000000001</v>
      </c>
      <c r="D66" s="56">
        <f>D60</f>
        <v>0</v>
      </c>
      <c r="E66" s="56">
        <f>MAX(C66:D66)</f>
        <v>2.7490000000000001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x14ac:dyDescent="0.25">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Gratiot</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2749</v>
      </c>
      <c r="D6" s="34"/>
      <c r="E6" s="33">
        <f>'Data Entry'!H6</f>
        <v>24</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v>
      </c>
      <c r="D7" s="34">
        <f>IF((AND(C66&gt;0,C7&gt;0)),(C7/C66),0)</f>
        <v>2.5463805020007273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24</v>
      </c>
      <c r="P7" s="42">
        <f t="shared" ref="P7:P15" si="4">C7</f>
        <v>7</v>
      </c>
      <c r="Q7" s="42">
        <f>C6-C7</f>
        <v>2742</v>
      </c>
      <c r="R7" s="42">
        <f t="shared" ref="R7:R15" si="5">SUM(N7:Q7)</f>
        <v>2773</v>
      </c>
      <c r="S7" s="30">
        <f t="shared" ref="S7:S15" si="6">R7*((((N7*Q7)-(O7*P7))^2))</f>
        <v>78265152</v>
      </c>
      <c r="T7" s="30">
        <f t="shared" ref="T7:T15" si="7">(N7+O7)*(P7+Q7)*(N7+P7)*(O7+Q7)</f>
        <v>1277427312</v>
      </c>
      <c r="U7" s="31">
        <f t="shared" ref="U7:U15" si="8">IF((S7&gt;0),S7/T7,"- -")</f>
        <v>6.1267792902802758E-2</v>
      </c>
    </row>
    <row r="8" spans="2:21" ht="18" customHeight="1" x14ac:dyDescent="0.25">
      <c r="B8" s="32" t="str">
        <f>'Data Entry'!A8</f>
        <v>3. Refer to Juvenile Court</v>
      </c>
      <c r="C8" s="33">
        <f>'Data Entry'!C8</f>
        <v>39</v>
      </c>
      <c r="D8" s="34">
        <f>IF((AND(C67&gt;0,C8&gt;0)),(C8/C67),0)</f>
        <v>557.14285714285711</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39</v>
      </c>
      <c r="Q8" s="42">
        <f>(C$67*L67)-C8</f>
        <v>-32</v>
      </c>
      <c r="R8" s="42">
        <f t="shared" si="5"/>
        <v>7.0499999999999972</v>
      </c>
      <c r="S8" s="30">
        <f t="shared" si="6"/>
        <v>26.807624999999994</v>
      </c>
      <c r="T8" s="30">
        <f t="shared" si="7"/>
        <v>-436.11750000000006</v>
      </c>
      <c r="U8" s="31">
        <f t="shared" si="8"/>
        <v>-6.1468812877263558E-2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39</v>
      </c>
      <c r="R9" s="42">
        <f t="shared" si="5"/>
        <v>39</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12.820512820512819</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34</v>
      </c>
      <c r="R10" s="42">
        <f t="shared" si="5"/>
        <v>39</v>
      </c>
      <c r="S10" s="30">
        <f t="shared" si="6"/>
        <v>0</v>
      </c>
      <c r="T10" s="30">
        <f t="shared" si="7"/>
        <v>0</v>
      </c>
      <c r="U10" s="31" t="str">
        <f t="shared" si="8"/>
        <v>- -</v>
      </c>
    </row>
    <row r="11" spans="2:21" ht="18" customHeight="1" x14ac:dyDescent="0.25">
      <c r="B11" s="32" t="str">
        <f>'Data Entry'!A11</f>
        <v>6. Cases Petitioned (Charge Filed)</v>
      </c>
      <c r="C11" s="33">
        <f>'Data Entry'!C11</f>
        <v>14</v>
      </c>
      <c r="D11" s="34">
        <f>IF(((AND(C68&gt;0,C11&gt;0))),(C11/(C68)),0)</f>
        <v>35.897435897435898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14</v>
      </c>
      <c r="Q11" s="42">
        <f>(C$68*L68)-C11</f>
        <v>25</v>
      </c>
      <c r="R11" s="42">
        <f t="shared" si="5"/>
        <v>39</v>
      </c>
      <c r="S11" s="30">
        <f t="shared" si="6"/>
        <v>0</v>
      </c>
      <c r="T11" s="30">
        <f t="shared" si="7"/>
        <v>0</v>
      </c>
      <c r="U11" s="31" t="str">
        <f t="shared" si="8"/>
        <v>- -</v>
      </c>
    </row>
    <row r="12" spans="2:21" ht="18" customHeight="1" x14ac:dyDescent="0.25">
      <c r="B12" s="32" t="str">
        <f>'Data Entry'!A12</f>
        <v>7. Cases Resulting in Delinquent Findings</v>
      </c>
      <c r="C12" s="33">
        <f>'Data Entry'!C12</f>
        <v>20</v>
      </c>
      <c r="D12" s="34">
        <f>IF(((AND(C69&gt;0,C12&gt;0))),(C12/(C69)),0)</f>
        <v>142.85714285714283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20</v>
      </c>
      <c r="Q12" s="42">
        <f>(C69*L69)-C12</f>
        <v>-5.9999999999999982</v>
      </c>
      <c r="R12" s="42">
        <f t="shared" si="5"/>
        <v>14.000000000000002</v>
      </c>
      <c r="S12" s="30">
        <f t="shared" si="6"/>
        <v>0</v>
      </c>
      <c r="T12" s="30">
        <f t="shared" si="7"/>
        <v>0</v>
      </c>
      <c r="U12" s="31" t="str">
        <f t="shared" si="8"/>
        <v>- -</v>
      </c>
    </row>
    <row r="13" spans="2:21" ht="18" customHeight="1" x14ac:dyDescent="0.25">
      <c r="B13" s="32" t="str">
        <f>'Data Entry'!A13</f>
        <v>8. Cases Resulting in Probation Placement</v>
      </c>
      <c r="C13" s="33">
        <f>'Data Entry'!C13</f>
        <v>4</v>
      </c>
      <c r="D13" s="34">
        <f>IF(((AND(C70&gt;0,C13&gt;0))),(C13/(C70)),0)</f>
        <v>20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4</v>
      </c>
      <c r="Q13" s="42">
        <f>(C70*L70)-C13</f>
        <v>16</v>
      </c>
      <c r="R13" s="42">
        <f t="shared" si="5"/>
        <v>20</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7</v>
      </c>
      <c r="D14" s="34">
        <f>IF(((AND(C70&gt;0,C14&gt;0))), ((C14/(C70))),0)</f>
        <v>35</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13</v>
      </c>
      <c r="R14" s="42">
        <f t="shared" si="5"/>
        <v>20</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14.000000000000002</v>
      </c>
      <c r="R15" s="42">
        <f t="shared" si="5"/>
        <v>14.000000000000002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2.7490000000000001</v>
      </c>
      <c r="D42" s="56">
        <f>E6/1000</f>
        <v>2.4E-2</v>
      </c>
      <c r="E42" s="56">
        <f>MAX(C42:D42)</f>
        <v>2.7490000000000001</v>
      </c>
      <c r="G42" s="1" t="str">
        <f>B42</f>
        <v>per 1000 youth</v>
      </c>
      <c r="L42" s="57">
        <v>1000</v>
      </c>
      <c r="M42" s="57"/>
      <c r="R42" s="49"/>
    </row>
    <row r="43" spans="2:18" ht="15" hidden="1" customHeight="1" x14ac:dyDescent="0.25">
      <c r="B43" s="49" t="s">
        <v>87</v>
      </c>
      <c r="C43" s="56">
        <f>C7/100</f>
        <v>7.0000000000000007E-2</v>
      </c>
      <c r="D43" s="56">
        <f>E7/100</f>
        <v>0</v>
      </c>
      <c r="E43" s="56">
        <f>MAX(C43:D43,0)</f>
        <v>7.0000000000000007E-2</v>
      </c>
      <c r="G43" s="1" t="str">
        <f>B43</f>
        <v>per 100 arrests</v>
      </c>
      <c r="L43" s="57">
        <v>100</v>
      </c>
      <c r="M43" s="57"/>
      <c r="R43" s="49"/>
    </row>
    <row r="44" spans="2:18" ht="15" hidden="1" customHeight="1" x14ac:dyDescent="0.25">
      <c r="B44" s="49" t="s">
        <v>88</v>
      </c>
      <c r="C44" s="56">
        <f>C8/100</f>
        <v>0.39</v>
      </c>
      <c r="D44" s="56">
        <f>E8/100</f>
        <v>0</v>
      </c>
      <c r="E44" s="56">
        <f>MAX(C44:D44,0)</f>
        <v>0.39</v>
      </c>
      <c r="G44" s="1" t="str">
        <f>B44</f>
        <v>per 100 referrals</v>
      </c>
      <c r="L44" s="57">
        <v>100</v>
      </c>
      <c r="M44" s="57"/>
      <c r="R44" s="49"/>
    </row>
    <row r="45" spans="2:18" ht="15" hidden="1" customHeight="1" x14ac:dyDescent="0.25">
      <c r="B45" s="49" t="s">
        <v>89</v>
      </c>
      <c r="C45" s="49">
        <f>C11/100</f>
        <v>0.14000000000000001</v>
      </c>
      <c r="D45" s="49">
        <f>E11/100</f>
        <v>0</v>
      </c>
      <c r="E45" s="56">
        <f>MAX(C45:D45,0)</f>
        <v>0.14000000000000001</v>
      </c>
      <c r="G45" s="1" t="str">
        <f>B45</f>
        <v>per 100 youth petitioned</v>
      </c>
      <c r="L45" s="57">
        <v>100</v>
      </c>
      <c r="M45" s="57"/>
      <c r="R45" s="49"/>
    </row>
    <row r="46" spans="2:18" ht="15" hidden="1" customHeight="1" x14ac:dyDescent="0.25">
      <c r="B46" s="49" t="s">
        <v>90</v>
      </c>
      <c r="C46" s="49">
        <f>C12/100</f>
        <v>0.2</v>
      </c>
      <c r="D46" s="49">
        <f>E12/100</f>
        <v>0</v>
      </c>
      <c r="E46" s="56">
        <f>MAX(C46:D46)</f>
        <v>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2.7490000000000001</v>
      </c>
      <c r="D48" s="56">
        <f>D42</f>
        <v>2.4E-2</v>
      </c>
      <c r="E48" s="56">
        <f>MAX(C48:D48)</f>
        <v>2.7490000000000001</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7.0000000000000007E-2</v>
      </c>
      <c r="D49" s="49">
        <f t="shared" si="9"/>
        <v>0</v>
      </c>
      <c r="E49" s="49">
        <f>MAX(C49:D49)</f>
        <v>7.0000000000000007E-2</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0.14000000000000001</v>
      </c>
      <c r="D51" s="49">
        <f>IF(($E45&gt;0),D45,D44)</f>
        <v>0</v>
      </c>
      <c r="E51" s="49">
        <f>MAX(C51:D51)</f>
        <v>0.14000000000000001</v>
      </c>
      <c r="G51" s="1" t="str">
        <f>G45</f>
        <v>per 100 youth petitioned</v>
      </c>
      <c r="L51" s="58">
        <f>IF(($E45&gt;0),L45,L44)</f>
        <v>100</v>
      </c>
      <c r="M51" s="58"/>
    </row>
    <row r="52" spans="2:18" ht="15" hidden="1" customHeight="1" x14ac:dyDescent="0.25">
      <c r="B52" s="49" t="str">
        <f>IF(($E46&gt;0),B46,B45)</f>
        <v>per 100 youth found delinquent</v>
      </c>
      <c r="C52" s="49">
        <f>IF(($E46&gt;0),C46,C45)</f>
        <v>0.2</v>
      </c>
      <c r="D52" s="49">
        <f>IF(($E46&gt;0),D46,D45)</f>
        <v>0</v>
      </c>
      <c r="E52" s="56">
        <f>MAX(C52:D52)</f>
        <v>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2.7490000000000001</v>
      </c>
      <c r="D54" s="56">
        <f>D48</f>
        <v>2.4E-2</v>
      </c>
      <c r="E54" s="56">
        <f>MAX(C54:D54)</f>
        <v>2.7490000000000001</v>
      </c>
      <c r="G54" s="1" t="str">
        <f>G48</f>
        <v>per 1000 youth</v>
      </c>
      <c r="L54" s="58">
        <f>L48</f>
        <v>1000</v>
      </c>
      <c r="M54" s="58"/>
    </row>
    <row r="55" spans="2:18" ht="15" hidden="1" customHeight="1" x14ac:dyDescent="0.25">
      <c r="B55" s="49" t="str">
        <f t="shared" ref="B55:D56" si="10">IF(($E49&gt;0),B49,B48)</f>
        <v>per 100 arrests</v>
      </c>
      <c r="C55" s="49">
        <f t="shared" si="10"/>
        <v>7.0000000000000007E-2</v>
      </c>
      <c r="D55" s="49">
        <f t="shared" si="10"/>
        <v>0</v>
      </c>
      <c r="E55" s="49">
        <f>MAX(C55:D55)</f>
        <v>7.0000000000000007E-2</v>
      </c>
      <c r="G55" s="1" t="str">
        <f>G49</f>
        <v>per 100 arrests</v>
      </c>
      <c r="L55" s="58">
        <f>IF(($E49&gt;0),L49,L48)</f>
        <v>100</v>
      </c>
      <c r="M55" s="58"/>
    </row>
    <row r="56" spans="2:18" ht="15" hidden="1" customHeight="1" x14ac:dyDescent="0.25">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x14ac:dyDescent="0.25">
      <c r="B57" s="49" t="str">
        <f>IF(($E51&gt;0),B51,B49)</f>
        <v>per 100 youth petitioned</v>
      </c>
      <c r="C57" s="49">
        <f>IF(($E51&gt;0),C51,C50)</f>
        <v>0.14000000000000001</v>
      </c>
      <c r="D57" s="49">
        <f>IF(($E51&gt;0),D51,D50)</f>
        <v>0</v>
      </c>
      <c r="E57" s="49">
        <f>MAX(C57:D57)</f>
        <v>0.14000000000000001</v>
      </c>
      <c r="G57" s="1" t="str">
        <f>G51</f>
        <v>per 100 youth petitioned</v>
      </c>
      <c r="L57" s="58">
        <f>IF(($E51&gt;0),L51,L50)</f>
        <v>100</v>
      </c>
      <c r="M57" s="58"/>
    </row>
    <row r="58" spans="2:18" ht="15" hidden="1" customHeight="1" x14ac:dyDescent="0.25">
      <c r="B58" s="49" t="str">
        <f>IF(($E52&gt;0),B52,B51)</f>
        <v>per 100 youth found delinquent</v>
      </c>
      <c r="C58" s="49">
        <f>IF(($E52&gt;0),C52,C51)</f>
        <v>0.2</v>
      </c>
      <c r="D58" s="49">
        <f>IF(($E52&gt;0),D52,D51)</f>
        <v>0</v>
      </c>
      <c r="E58" s="56">
        <f>MAX(C58:D58)</f>
        <v>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2.7490000000000001</v>
      </c>
      <c r="D60" s="56">
        <f>D54</f>
        <v>2.4E-2</v>
      </c>
      <c r="E60" s="56">
        <f>MAX(C60:D60)</f>
        <v>2.7490000000000001</v>
      </c>
      <c r="G60" s="1" t="str">
        <f>G54</f>
        <v>per 1000 youth</v>
      </c>
      <c r="L60" s="58">
        <f>L54</f>
        <v>1000</v>
      </c>
      <c r="M60" s="58"/>
    </row>
    <row r="61" spans="2:18" ht="15" hidden="1" customHeight="1" x14ac:dyDescent="0.25">
      <c r="B61" s="49" t="str">
        <f t="shared" ref="B61:D62" si="11">IF(($E55&gt;0),B55,B54)</f>
        <v>per 100 arrests</v>
      </c>
      <c r="C61" s="49">
        <f t="shared" si="11"/>
        <v>7.0000000000000007E-2</v>
      </c>
      <c r="D61" s="49">
        <f t="shared" si="11"/>
        <v>0</v>
      </c>
      <c r="E61" s="49">
        <f>MAX(C61:D61)</f>
        <v>7.0000000000000007E-2</v>
      </c>
      <c r="G61" s="1" t="str">
        <f>G55</f>
        <v>per 100 arrests</v>
      </c>
      <c r="L61" s="58">
        <f>IF(($E55&gt;0),L55,L54)</f>
        <v>100</v>
      </c>
      <c r="M61" s="58"/>
    </row>
    <row r="62" spans="2:18" ht="15" hidden="1" customHeight="1" x14ac:dyDescent="0.25">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x14ac:dyDescent="0.25">
      <c r="B63" s="49" t="str">
        <f>IF(($E57&gt;0),B57,B55)</f>
        <v>per 100 youth petitioned</v>
      </c>
      <c r="C63" s="49">
        <f>IF(($E57&gt;0),C57,C56)</f>
        <v>0.14000000000000001</v>
      </c>
      <c r="D63" s="49">
        <f>IF(($E57&gt;0),D57,D56)</f>
        <v>0</v>
      </c>
      <c r="E63" s="49">
        <f>MAX(C63:D63)</f>
        <v>0.14000000000000001</v>
      </c>
      <c r="G63" s="1" t="str">
        <f>G57</f>
        <v>per 100 youth petitioned</v>
      </c>
      <c r="L63" s="58">
        <f>IF(($E57&gt;0),L57,L56)</f>
        <v>100</v>
      </c>
      <c r="M63" s="58"/>
    </row>
    <row r="64" spans="2:18" ht="15" hidden="1" customHeight="1" x14ac:dyDescent="0.25">
      <c r="B64" s="49" t="str">
        <f>IF(($E58&gt;0),B58,B57)</f>
        <v>per 100 youth found delinquent</v>
      </c>
      <c r="C64" s="49">
        <f>IF(($E58&gt;0),C58,C57)</f>
        <v>0.2</v>
      </c>
      <c r="D64" s="49">
        <f>IF(($E58&gt;0),D58,D57)</f>
        <v>0</v>
      </c>
      <c r="E64" s="56">
        <f>MAX(C64:D64)</f>
        <v>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2.7490000000000001</v>
      </c>
      <c r="D66" s="56">
        <f>D60</f>
        <v>2.4E-2</v>
      </c>
      <c r="E66" s="56">
        <f>MAX(C66:D66)</f>
        <v>2.7490000000000001</v>
      </c>
      <c r="G66" s="1" t="str">
        <f>G60</f>
        <v>per 1000 youth</v>
      </c>
      <c r="L66" s="58">
        <f>L60</f>
        <v>1000</v>
      </c>
      <c r="M66" s="58">
        <f>IF((B66=G66),1,2)</f>
        <v>1</v>
      </c>
    </row>
    <row r="67" spans="2:13" ht="15" hidden="1" customHeight="1" x14ac:dyDescent="0.25">
      <c r="B67" s="49" t="str">
        <f t="shared" ref="B67:D68" si="12">IF(($E61&gt;0),B61,B60)</f>
        <v>per 100 arrests</v>
      </c>
      <c r="C67" s="49">
        <f t="shared" si="12"/>
        <v>7.0000000000000007E-2</v>
      </c>
      <c r="D67" s="49">
        <f t="shared" si="12"/>
        <v>0</v>
      </c>
      <c r="E67" s="49">
        <f>MAX(C67:D67)</f>
        <v>7.0000000000000007E-2</v>
      </c>
      <c r="G67" s="1" t="str">
        <f>G61</f>
        <v>per 100 arrests</v>
      </c>
      <c r="L67" s="58">
        <f>IF(($E61&gt;0),L61,L60)</f>
        <v>100</v>
      </c>
      <c r="M67" s="58">
        <f>IF((B67=G67),1,2)</f>
        <v>1</v>
      </c>
    </row>
    <row r="68" spans="2:13" ht="15" hidden="1" customHeight="1" x14ac:dyDescent="0.25">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x14ac:dyDescent="0.25">
      <c r="B69" s="49" t="str">
        <f>IF(($E63&gt;0),B63,B61)</f>
        <v>per 100 youth petitioned</v>
      </c>
      <c r="C69" s="49">
        <f>IF(($E63&gt;0),C63,C62)</f>
        <v>0.14000000000000001</v>
      </c>
      <c r="D69" s="49">
        <f>IF(($E63&gt;0),D63,D62)</f>
        <v>0</v>
      </c>
      <c r="E69" s="49">
        <f>MAX(C69:D69)</f>
        <v>0.14000000000000001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0.2</v>
      </c>
      <c r="D70" s="49">
        <f>IF(($E64&gt;0),D64,D63)</f>
        <v>0</v>
      </c>
      <c r="E70" s="56">
        <f>MAX(C70:D70)</f>
        <v>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U47JMPN4QEAR-1806752177-30174</_dlc_DocId>
    <_dlc_DocIdUrl xmlns="ac3811b5-0f3e-49e2-ba69-f2ffa0c782af">
      <Url>https://michiganphi.sharepoint.com/sites/CMDMC/_layouts/15/DocIdRedir.aspx?ID=U47JMPN4QEAR-1806752177-30174</Url>
      <Description>U47JMPN4QEAR-1806752177-30174</Description>
    </_dlc_DocIdUrl>
  </documentManagement>
</p:properties>
</file>

<file path=customXml/itemProps1.xml><?xml version="1.0" encoding="utf-8"?>
<ds:datastoreItem xmlns:ds="http://schemas.openxmlformats.org/officeDocument/2006/customXml" ds:itemID="{AB1A2C3F-E95F-4A02-8E65-6E82D21B5055}"/>
</file>

<file path=customXml/itemProps2.xml><?xml version="1.0" encoding="utf-8"?>
<ds:datastoreItem xmlns:ds="http://schemas.openxmlformats.org/officeDocument/2006/customXml" ds:itemID="{64FFD3CD-43E8-4A26-AD36-101EFD238F6D}"/>
</file>

<file path=customXml/itemProps3.xml><?xml version="1.0" encoding="utf-8"?>
<ds:datastoreItem xmlns:ds="http://schemas.openxmlformats.org/officeDocument/2006/customXml" ds:itemID="{8D3181C0-8BDC-433A-944F-095CC1AD9A0D}"/>
</file>

<file path=customXml/itemProps4.xml><?xml version="1.0" encoding="utf-8"?>
<ds:datastoreItem xmlns:ds="http://schemas.openxmlformats.org/officeDocument/2006/customXml" ds:itemID="{9192A4E7-42A9-472E-9F81-569E91359B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b6189e87-55cc-464c-8213-1bdb68bf0d5f</vt:lpwstr>
  </property>
</Properties>
</file>