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1EF03C26-A1D7-47AD-8CAF-732FB6B739BF}"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5" l="1"/>
  <c r="M66" i="5"/>
  <c r="F27" i="2"/>
  <c r="M66" i="2"/>
  <c r="M66" i="4"/>
  <c r="F27" i="4"/>
  <c r="M66" i="8"/>
  <c r="F27"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D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E52" i="3"/>
  <c r="D58" i="3"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3" l="1"/>
  <c r="L58" i="8"/>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L64" i="5"/>
  <c r="D64" i="5"/>
  <c r="B56" i="8"/>
  <c r="L56" i="8"/>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I7" i="9" l="1"/>
  <c r="Q8" i="13"/>
  <c r="D64" i="8"/>
  <c r="E64" i="5"/>
  <c r="G7" i="9"/>
  <c r="M8" i="13"/>
  <c r="C63" i="3"/>
  <c r="L64" i="8"/>
  <c r="B64" i="8"/>
  <c r="C64" i="8"/>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F8" i="5"/>
  <c r="L70" i="5" l="1"/>
  <c r="D63" i="8"/>
  <c r="C69" i="7"/>
  <c r="D12" i="7" s="1"/>
  <c r="E63" i="3"/>
  <c r="C69" i="3" s="1"/>
  <c r="D12" i="3" s="1"/>
  <c r="B70" i="5"/>
  <c r="F33" i="5" s="1"/>
  <c r="C70" i="5"/>
  <c r="Q14" i="5" s="1"/>
  <c r="E64" i="8"/>
  <c r="L69" i="7"/>
  <c r="C63" i="8"/>
  <c r="D70" i="6"/>
  <c r="F13" i="6" s="1"/>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F34" i="3"/>
  <c r="D67" i="6"/>
  <c r="F8" i="6" s="1"/>
  <c r="O13" i="5"/>
  <c r="O14" i="5"/>
  <c r="F35" i="7"/>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E63" i="8" l="1"/>
  <c r="D69" i="8" s="1"/>
  <c r="Q12" i="7"/>
  <c r="B69" i="6"/>
  <c r="M69" i="6" s="1"/>
  <c r="Q13" i="5"/>
  <c r="T13" i="5" s="1"/>
  <c r="Q15" i="7"/>
  <c r="F34" i="5"/>
  <c r="D69" i="3"/>
  <c r="E69" i="3" s="1"/>
  <c r="L69" i="3"/>
  <c r="Q12" i="3" s="1"/>
  <c r="E70" i="5"/>
  <c r="D13" i="5"/>
  <c r="L70" i="8"/>
  <c r="D14" i="5"/>
  <c r="M70" i="5"/>
  <c r="B70" i="8"/>
  <c r="M70" i="8" s="1"/>
  <c r="C70" i="8"/>
  <c r="D70" i="8"/>
  <c r="F13" i="8" s="1"/>
  <c r="O13" i="3"/>
  <c r="F14" i="3"/>
  <c r="D13" i="3"/>
  <c r="F14" i="6"/>
  <c r="E70" i="6"/>
  <c r="D13" i="6"/>
  <c r="O13" i="6"/>
  <c r="E69" i="7"/>
  <c r="O14" i="6"/>
  <c r="C69" i="6"/>
  <c r="D12" i="6" s="1"/>
  <c r="Q14" i="3"/>
  <c r="F12" i="7"/>
  <c r="O12" i="7"/>
  <c r="K12" i="7" s="1"/>
  <c r="D14" i="6"/>
  <c r="O15" i="7"/>
  <c r="Q13" i="3"/>
  <c r="Q13" i="6"/>
  <c r="Q14" i="6"/>
  <c r="E70" i="3"/>
  <c r="O14" i="3"/>
  <c r="D69" i="6"/>
  <c r="F12" i="6" s="1"/>
  <c r="T10" i="3"/>
  <c r="K10" i="4"/>
  <c r="F8" i="7"/>
  <c r="T9" i="4"/>
  <c r="F35" i="6"/>
  <c r="F32" i="6"/>
  <c r="T11" i="4"/>
  <c r="U11" i="4" s="1"/>
  <c r="J11" i="4" s="1"/>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R14" i="5"/>
  <c r="S14" i="5" s="1"/>
  <c r="U14" i="5" s="1"/>
  <c r="J14" i="5" s="1"/>
  <c r="M14" i="5" s="1"/>
  <c r="C70" i="2"/>
  <c r="D14" i="2" s="1"/>
  <c r="T14" i="5"/>
  <c r="K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2" i="6" l="1"/>
  <c r="R13" i="5"/>
  <c r="S13" i="5" s="1"/>
  <c r="U13" i="5" s="1"/>
  <c r="J13" i="5" s="1"/>
  <c r="M13" i="5" s="1"/>
  <c r="K13" i="5"/>
  <c r="R12" i="7"/>
  <c r="S12" i="7" s="1"/>
  <c r="F12" i="3"/>
  <c r="O12" i="3"/>
  <c r="R12" i="3" s="1"/>
  <c r="S12" i="3" s="1"/>
  <c r="U12" i="3" s="1"/>
  <c r="J12" i="3" s="1"/>
  <c r="F15" i="3"/>
  <c r="K13" i="3"/>
  <c r="R15" i="7"/>
  <c r="S15" i="7" s="1"/>
  <c r="U15" i="7" s="1"/>
  <c r="J15" i="7" s="1"/>
  <c r="M15" i="7" s="1"/>
  <c r="F34" i="8"/>
  <c r="Q15" i="6"/>
  <c r="Q14" i="8"/>
  <c r="Q15" i="3"/>
  <c r="O15" i="3"/>
  <c r="D14" i="8"/>
  <c r="F33" i="8"/>
  <c r="E70" i="8"/>
  <c r="F14" i="8"/>
  <c r="O13" i="8"/>
  <c r="D13" i="8"/>
  <c r="Q13" i="8"/>
  <c r="O14" i="8"/>
  <c r="R14" i="3"/>
  <c r="S14" i="3" s="1"/>
  <c r="U14" i="3" s="1"/>
  <c r="J14" i="3" s="1"/>
  <c r="M14" i="3" s="1"/>
  <c r="G14" i="3" s="1"/>
  <c r="I15" i="16" s="1"/>
  <c r="K15" i="7"/>
  <c r="U14" i="4"/>
  <c r="J14" i="4" s="1"/>
  <c r="M14" i="4" s="1"/>
  <c r="G14" i="4" s="1"/>
  <c r="G15" i="16" s="1"/>
  <c r="T12" i="7"/>
  <c r="R13" i="6"/>
  <c r="S13" i="6" s="1"/>
  <c r="U13" i="6" s="1"/>
  <c r="J13" i="6" s="1"/>
  <c r="M13" i="6" s="1"/>
  <c r="G13" i="6" s="1"/>
  <c r="G13" i="9" s="1"/>
  <c r="R14" i="6"/>
  <c r="S14" i="6" s="1"/>
  <c r="T13" i="6"/>
  <c r="K13" i="6"/>
  <c r="T14" i="6"/>
  <c r="O15" i="6"/>
  <c r="K14" i="6"/>
  <c r="D15" i="6"/>
  <c r="O12" i="6"/>
  <c r="K12" i="6" s="1"/>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K12" i="3"/>
  <c r="D15" i="5"/>
  <c r="D12" i="5"/>
  <c r="Q15" i="5"/>
  <c r="K15" i="5" s="1"/>
  <c r="I12" i="16"/>
  <c r="E11" i="9"/>
  <c r="I12" i="13"/>
  <c r="D13" i="2"/>
  <c r="E70" i="2"/>
  <c r="Q14" i="2"/>
  <c r="K14" i="2" s="1"/>
  <c r="M13" i="4"/>
  <c r="G13" i="4" s="1"/>
  <c r="G14" i="16" s="1"/>
  <c r="L9" i="4"/>
  <c r="O10"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5" l="1"/>
  <c r="Q14" i="16" s="1"/>
  <c r="T15" i="3"/>
  <c r="T12" i="3"/>
  <c r="U12" i="7"/>
  <c r="J12" i="7" s="1"/>
  <c r="M12" i="7" s="1"/>
  <c r="K15" i="3"/>
  <c r="R15" i="3"/>
  <c r="S15" i="3" s="1"/>
  <c r="U15" i="3" s="1"/>
  <c r="J15" i="3" s="1"/>
  <c r="M15" i="3" s="1"/>
  <c r="G15" i="3" s="1"/>
  <c r="I16" i="16" s="1"/>
  <c r="L13" i="3"/>
  <c r="P14" i="16" s="1"/>
  <c r="N30" i="3"/>
  <c r="T14" i="8"/>
  <c r="L15" i="7"/>
  <c r="S16" i="16" s="1"/>
  <c r="K15" i="6"/>
  <c r="R14" i="8"/>
  <c r="S14" i="8" s="1"/>
  <c r="K13" i="8"/>
  <c r="N30" i="4"/>
  <c r="L14" i="3"/>
  <c r="P15" i="16" s="1"/>
  <c r="I15" i="13"/>
  <c r="E14" i="9"/>
  <c r="K14" i="8"/>
  <c r="R13" i="8"/>
  <c r="S13" i="8" s="1"/>
  <c r="T15" i="6"/>
  <c r="T13" i="8"/>
  <c r="L14" i="4"/>
  <c r="O15" i="16" s="1"/>
  <c r="R12" i="6"/>
  <c r="S12" i="6" s="1"/>
  <c r="T12" i="6"/>
  <c r="U14" i="6"/>
  <c r="J14" i="6" s="1"/>
  <c r="M14" i="6" s="1"/>
  <c r="G14" i="6" s="1"/>
  <c r="M15" i="13" s="1"/>
  <c r="M14" i="13"/>
  <c r="U13" i="7"/>
  <c r="J13" i="7" s="1"/>
  <c r="M13" i="7" s="1"/>
  <c r="L12" i="7"/>
  <c r="S13" i="16" s="1"/>
  <c r="L13" i="6"/>
  <c r="R14" i="16" s="1"/>
  <c r="R15" i="6"/>
  <c r="S15" i="6" s="1"/>
  <c r="U15" i="6" s="1"/>
  <c r="J15" i="6" s="1"/>
  <c r="M15" i="6" s="1"/>
  <c r="G15" i="6" s="1"/>
  <c r="M13" i="3"/>
  <c r="G13" i="3" s="1"/>
  <c r="E13" i="9" s="1"/>
  <c r="M13" i="9"/>
  <c r="U14" i="13"/>
  <c r="U12" i="13"/>
  <c r="M11" i="9"/>
  <c r="R12" i="8"/>
  <c r="S12" i="8" s="1"/>
  <c r="T13" i="2"/>
  <c r="U8" i="6"/>
  <c r="J8" i="6" s="1"/>
  <c r="M8" i="6" s="1"/>
  <c r="G8" i="6" s="1"/>
  <c r="M9" i="13" s="1"/>
  <c r="R13" i="2"/>
  <c r="S13" i="2" s="1"/>
  <c r="T15" i="8"/>
  <c r="V11" i="13"/>
  <c r="T12" i="8"/>
  <c r="K12" i="8"/>
  <c r="R10" i="7"/>
  <c r="S10" i="7" s="1"/>
  <c r="T11" i="7"/>
  <c r="T10" i="7"/>
  <c r="L8" i="2"/>
  <c r="N9" i="16" s="1"/>
  <c r="K13" i="2"/>
  <c r="R15" i="5"/>
  <c r="S15" i="5" s="1"/>
  <c r="U15" i="5" s="1"/>
  <c r="J15" i="5" s="1"/>
  <c r="M15" i="5" s="1"/>
  <c r="K11" i="7"/>
  <c r="K15" i="8"/>
  <c r="T9" i="7"/>
  <c r="N10" i="9"/>
  <c r="R11" i="7"/>
  <c r="S11" i="7" s="1"/>
  <c r="K12" i="5"/>
  <c r="L12" i="5" s="1"/>
  <c r="Q13" i="16" s="1"/>
  <c r="T12" i="5"/>
  <c r="K10" i="7"/>
  <c r="R14" i="2"/>
  <c r="S14" i="2" s="1"/>
  <c r="D13" i="9"/>
  <c r="G14" i="13"/>
  <c r="K9" i="7"/>
  <c r="T14" i="2"/>
  <c r="V12" i="13"/>
  <c r="U10" i="13"/>
  <c r="N11" i="9"/>
  <c r="T15" i="5"/>
  <c r="W14" i="13"/>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5" i="9" l="1"/>
  <c r="I16" i="13"/>
  <c r="N13" i="9"/>
  <c r="V14" i="13"/>
  <c r="E15" i="9"/>
  <c r="L15" i="3"/>
  <c r="P16" i="16" s="1"/>
  <c r="U15" i="13"/>
  <c r="M14" i="9"/>
  <c r="U14" i="8"/>
  <c r="J14" i="8" s="1"/>
  <c r="N30" i="8" s="1"/>
  <c r="Y16" i="13"/>
  <c r="N14" i="9"/>
  <c r="V15" i="13"/>
  <c r="U12" i="6"/>
  <c r="J12" i="6" s="1"/>
  <c r="M12" i="6" s="1"/>
  <c r="G12" i="6" s="1"/>
  <c r="G12" i="9" s="1"/>
  <c r="I14" i="13"/>
  <c r="U13" i="8"/>
  <c r="J13" i="8" s="1"/>
  <c r="M13" i="8" s="1"/>
  <c r="G13" i="8" s="1"/>
  <c r="K14" i="16" s="1"/>
  <c r="L14" i="6"/>
  <c r="R15" i="16" s="1"/>
  <c r="I14" i="16"/>
  <c r="Q12" i="9"/>
  <c r="N30" i="6"/>
  <c r="Y13" i="13"/>
  <c r="G14" i="9"/>
  <c r="U12" i="8"/>
  <c r="J12" i="8" s="1"/>
  <c r="M12" i="8" s="1"/>
  <c r="G12" i="8" s="1"/>
  <c r="K13" i="16" s="1"/>
  <c r="U11" i="7"/>
  <c r="J11" i="7" s="1"/>
  <c r="L11" i="7" s="1"/>
  <c r="S12" i="16" s="1"/>
  <c r="U10" i="7"/>
  <c r="J10" i="7" s="1"/>
  <c r="L10" i="7" s="1"/>
  <c r="S11" i="16" s="1"/>
  <c r="U14" i="2"/>
  <c r="J14" i="2" s="1"/>
  <c r="M14" i="2" s="1"/>
  <c r="G14" i="2" s="1"/>
  <c r="E15" i="16" s="1"/>
  <c r="L13" i="7"/>
  <c r="S14" i="16" s="1"/>
  <c r="U13" i="2"/>
  <c r="J13" i="2" s="1"/>
  <c r="M13" i="2" s="1"/>
  <c r="G13" i="2" s="1"/>
  <c r="E14" i="16" s="1"/>
  <c r="P13" i="9"/>
  <c r="X14" i="13"/>
  <c r="L15" i="6"/>
  <c r="R16" i="16" s="1"/>
  <c r="L8" i="6"/>
  <c r="R9" i="16" s="1"/>
  <c r="L15" i="5"/>
  <c r="Q16" i="16" s="1"/>
  <c r="T9" i="13"/>
  <c r="L8" i="9"/>
  <c r="G8" i="9"/>
  <c r="Q14" i="9"/>
  <c r="Y15" i="13"/>
  <c r="E9" i="13"/>
  <c r="L10" i="2"/>
  <c r="N11" i="16" s="1"/>
  <c r="L11" i="6"/>
  <c r="R12" i="16" s="1"/>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15" i="9" l="1"/>
  <c r="V16" i="13"/>
  <c r="L14" i="8"/>
  <c r="T15" i="16" s="1"/>
  <c r="M14" i="8"/>
  <c r="G14" i="8" s="1"/>
  <c r="K15" i="16" s="1"/>
  <c r="L13" i="2"/>
  <c r="N14" i="16" s="1"/>
  <c r="M13" i="13"/>
  <c r="M11" i="7"/>
  <c r="P14" i="9"/>
  <c r="X15" i="13"/>
  <c r="L12" i="6"/>
  <c r="L13" i="8"/>
  <c r="T14" i="16" s="1"/>
  <c r="I13" i="9"/>
  <c r="L12" i="8"/>
  <c r="T13" i="16" s="1"/>
  <c r="Q14" i="13"/>
  <c r="E14" i="13"/>
  <c r="C13" i="9"/>
  <c r="Y14" i="13"/>
  <c r="M10" i="7"/>
  <c r="E15" i="13"/>
  <c r="C14" i="9"/>
  <c r="N30" i="2"/>
  <c r="L14" i="2"/>
  <c r="N15" i="16" s="1"/>
  <c r="Q13" i="9"/>
  <c r="R14" i="9"/>
  <c r="P15" i="9"/>
  <c r="X16"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5" i="13" l="1"/>
  <c r="T14" i="13"/>
  <c r="I14" i="9"/>
  <c r="Q15" i="13"/>
  <c r="L13" i="9"/>
  <c r="R12" i="9"/>
  <c r="R13" i="9"/>
  <c r="Z14" i="13"/>
  <c r="R13" i="16"/>
  <c r="P12" i="9"/>
  <c r="X13" i="13"/>
  <c r="Z13" i="13"/>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<sst xmlns="http://schemas.openxmlformats.org/spreadsheetml/2006/main" count="654" uniqueCount="141">
  <si>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</si>
  <si>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</si>
  <si>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</si>
  <si>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</si>
  <si>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</si>
  <si>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</si>
  <si>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</si>
  <si>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</si>
  <si>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</si>
  <si>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</si>
  <si>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</si>
  <si>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</si>
  <si>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</si>
  <si>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</si>
  <si>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</si>
  <si>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</si>
  <si>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</si>
  <si>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</si>
  <si>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</si>
  <si>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</si>
  <si>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</si>
  <si>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</si>
  <si>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</si>
  <si>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</si>
  <si>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</si>
  <si>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</si>
  <si>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</si>
  <si>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</si>
  <si>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</si>
  <si>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</si>
  <si>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</si>
  <si>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</si>
  <si>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</si>
  <si>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</si>
  <si>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</si>
  <si>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</si>
  <si>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</si>
  <si>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</si>
  <si>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</si>
  <si>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</si>
  <si>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</si>
  <si>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</si>
  <si>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</si>
  <si>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</si>
  <si>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</si>
  <si>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</si>
  <si>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</si>
  <si>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</si>
  <si>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</si>
  <si>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</si>
  <si>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</si>
  <si>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</si>
  <si>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</si>
  <si>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</si>
  <si>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</si>
  <si>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</si>
  <si>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</si>
  <si>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</si>
  <si>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</si>
  <si>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</si>
  <si>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</si>
  <si>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</si>
  <si>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</si>
  <si>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</si>
  <si>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</si>
  <si>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</si>
  <si>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</si>
  <si>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</si>
  <si>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</si>
  <si>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</si>
  <si>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</si>
  <si>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</si>
  <si>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</si>
  <si>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</si>
  <si>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</si>
  <si>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</si>
  <si>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</si>
  <si>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</si>
  <si>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</si>
  <si>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</si>
  <si>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</si>
  <si>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</si>
  <si>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</si>
  <si>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</si>
  <si>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</si>
  <si>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</si>
  <si>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</si>
  <si>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</si>
  <si>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</si>
  <si>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</si>
  <si>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</si>
  <si>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</si>
  <si>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</si>
  <si>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</si>
  <si>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</si>
  <si>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</si>
  <si>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</si>
  <si>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</si>
  <si>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</si>
  <si>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</si>
  <si>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</si>
  <si>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</si>
  <si>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</si>
  <si>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</si>
  <si>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</si>
  <si>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</si>
  <si>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</si>
  <si>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</si>
  <si>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</si>
  <si>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</si>
  <si>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</si>
  <si>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</si>
  <si>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</si>
  <si>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</si>
  <si>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</si>
  <si>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</si>
  <si>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</si>
  <si>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</si>
  <si>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</si>
  <si>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</si>
  <si>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</si>
  <si>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</si>
  <si>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</si>
  <si>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</si>
  <si>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</si>
  <si>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</si>
  <si>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</si>
  <si>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</si>
  <si>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</si>
  <si>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</si>
  <si>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</si>
  <si>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</si>
  <si>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</si>
  <si>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</si>
  <si>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</si>
  <si>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</si>
  <si>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</si>
  <si>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Grand Traverse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</si>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</sst>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Grand Traverse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N=23</c:v>
                </c:pt>
                <c:pt idx="2">
                  <c:v>Delinquent Findings, total N=54</c:v>
                </c:pt>
                <c:pt idx="3">
                  <c:v>Petitions, total N=34</c:v>
                </c:pt>
                <c:pt idx="4">
                  <c:v>Detentions, total N=6</c:v>
                </c:pt>
                <c:pt idx="5">
                  <c:v>Referrals, total N=104</c:v>
                </c:pt>
                <c:pt idx="6">
                  <c:v>Arrests, total N=43</c:v>
                </c:pt>
                <c:pt idx="7">
                  <c:v>Population, total N=7603</c:v>
                </c:pt>
              </c:strCache>
            </c:strRef>
          </c:cat>
          <c:val>
            <c:numRef>
              <c:f>'Stacked 100%'!$B$7:$B$14</c:f>
              <c:numCache>
                <c:formatCode>0%</c:formatCode>
                <c:ptCount val="8"/>
                <c:pt idx="0">
                  <c:v>0</c:v>
                </c:pt>
                <c:pt idx="1">
                  <c:v>0</c:v>
                </c:pt>
                <c:pt idx="2">
                  <c:v>3.7037037037037035E-2</c:v>
                </c:pt>
                <c:pt idx="3">
                  <c:v>2.9411764705882353E-2</c:v>
                </c:pt>
                <c:pt idx="4">
                  <c:v>0</c:v>
                </c:pt>
                <c:pt idx="5">
                  <c:v>4.807692307692308E-2</c:v>
                </c:pt>
                <c:pt idx="6">
                  <c:v>2.3255813953488372E-2</c:v>
                </c:pt>
                <c:pt idx="7">
                  <c:v>2.0386689464684991E-2</c:v>
                </c:pt>
              </c:numCache>
            </c:numRef>
          </c:val>
          <c:extLst>
            <c:ext xmlns:c16="http://schemas.microsoft.com/office/drawing/2014/chart" uri="{C3380CC4-5D6E-409C-BE32-E72D297353CC}">
              <c16:uniqueId val="{00000000-2F00-45EA-9334-7054012DF13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N=23</c:v>
                </c:pt>
                <c:pt idx="2">
                  <c:v>Delinquent Findings, total N=54</c:v>
                </c:pt>
                <c:pt idx="3">
                  <c:v>Petitions, total N=34</c:v>
                </c:pt>
                <c:pt idx="4">
                  <c:v>Detentions, total N=6</c:v>
                </c:pt>
                <c:pt idx="5">
                  <c:v>Referrals, total N=104</c:v>
                </c:pt>
                <c:pt idx="6">
                  <c:v>Arrests, total N=43</c:v>
                </c:pt>
                <c:pt idx="7">
                  <c:v>Population, total N=7603</c:v>
                </c:pt>
              </c:strCache>
            </c:strRef>
          </c:cat>
          <c:val>
            <c:numRef>
              <c:f>'Stacked 100%'!$C$7:$C$14</c:f>
              <c:numCache>
                <c:formatCode>0%</c:formatCode>
                <c:ptCount val="8"/>
                <c:pt idx="0">
                  <c:v>0</c:v>
                </c:pt>
                <c:pt idx="1">
                  <c:v>0</c:v>
                </c:pt>
                <c:pt idx="2">
                  <c:v>0</c:v>
                </c:pt>
                <c:pt idx="3">
                  <c:v>0</c:v>
                </c:pt>
                <c:pt idx="4">
                  <c:v>0</c:v>
                </c:pt>
                <c:pt idx="5">
                  <c:v>0</c:v>
                </c:pt>
                <c:pt idx="6">
                  <c:v>0</c:v>
                </c:pt>
                <c:pt idx="7">
                  <c:v>4.9848743916874917E-2</c:v>
                </c:pt>
              </c:numCache>
            </c:numRef>
          </c:val>
          <c:extLst>
            <c:ext xmlns:c16="http://schemas.microsoft.com/office/drawing/2014/chart" uri="{C3380CC4-5D6E-409C-BE32-E72D297353CC}">
              <c16:uniqueId val="{00000001-2F00-45EA-9334-7054012DF13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N=23</c:v>
                </c:pt>
                <c:pt idx="2">
                  <c:v>Delinquent Findings, total N=54</c:v>
                </c:pt>
                <c:pt idx="3">
                  <c:v>Petitions, total N=34</c:v>
                </c:pt>
                <c:pt idx="4">
                  <c:v>Detentions, total N=6</c:v>
                </c:pt>
                <c:pt idx="5">
                  <c:v>Referrals, total N=104</c:v>
                </c:pt>
                <c:pt idx="6">
                  <c:v>Arrests, total N=43</c:v>
                </c:pt>
                <c:pt idx="7">
                  <c:v>Population, total N=7603</c:v>
                </c:pt>
              </c:strCache>
            </c:strRef>
          </c:cat>
          <c:val>
            <c:numRef>
              <c:f>'Stacked 100%'!$H$7:$H$14</c:f>
              <c:numCache>
                <c:formatCode>0%</c:formatCode>
                <c:ptCount val="8"/>
                <c:pt idx="0">
                  <c:v>0</c:v>
                </c:pt>
                <c:pt idx="1">
                  <c:v>0</c:v>
                </c:pt>
                <c:pt idx="2">
                  <c:v>6.8587105624142656E-4</c:v>
                </c:pt>
                <c:pt idx="3">
                  <c:v>8.6505190311418688E-4</c:v>
                </c:pt>
                <c:pt idx="4">
                  <c:v>0</c:v>
                </c:pt>
                <c:pt idx="5">
                  <c:v>3.6982248520710064E-4</c:v>
                </c:pt>
                <c:pt idx="6">
                  <c:v>1.081665765278529E-3</c:v>
                </c:pt>
                <c:pt idx="7">
                  <c:v>3.338776346080879E-6</c:v>
                </c:pt>
              </c:numCache>
            </c:numRef>
          </c:val>
          <c:extLst>
            <c:ext xmlns:c16="http://schemas.microsoft.com/office/drawing/2014/chart" uri="{C3380CC4-5D6E-409C-BE32-E72D297353CC}">
              <c16:uniqueId val="{00000002-2F00-45EA-9334-7054012DF13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N=23</c:v>
                </c:pt>
                <c:pt idx="2">
                  <c:v>Delinquent Findings, total N=54</c:v>
                </c:pt>
                <c:pt idx="3">
                  <c:v>Petitions, total N=34</c:v>
                </c:pt>
                <c:pt idx="4">
                  <c:v>Detentions, total N=6</c:v>
                </c:pt>
                <c:pt idx="5">
                  <c:v>Referrals, total N=104</c:v>
                </c:pt>
                <c:pt idx="6">
                  <c:v>Arrests, total N=43</c:v>
                </c:pt>
                <c:pt idx="7">
                  <c:v>Population, total N=7603</c:v>
                </c:pt>
              </c:strCache>
            </c:strRef>
          </c:cat>
          <c:val>
            <c:numRef>
              <c:f>'Stacked 100%'!$I$7:$I$14</c:f>
              <c:numCache>
                <c:formatCode>0%</c:formatCode>
                <c:ptCount val="8"/>
                <c:pt idx="0">
                  <c:v>0</c:v>
                </c:pt>
                <c:pt idx="1">
                  <c:v>1</c:v>
                </c:pt>
                <c:pt idx="2">
                  <c:v>0.88888888888888884</c:v>
                </c:pt>
                <c:pt idx="3">
                  <c:v>0.91176470588235292</c:v>
                </c:pt>
                <c:pt idx="4">
                  <c:v>0.66666666666666663</c:v>
                </c:pt>
                <c:pt idx="5">
                  <c:v>0.85576923076923073</c:v>
                </c:pt>
                <c:pt idx="6">
                  <c:v>0.83720930232558144</c:v>
                </c:pt>
                <c:pt idx="7">
                  <c:v>0.9043798500591872</c:v>
                </c:pt>
              </c:numCache>
            </c:numRef>
          </c:val>
          <c:extLst>
            <c:ext xmlns:c16="http://schemas.microsoft.com/office/drawing/2014/chart" uri="{C3380CC4-5D6E-409C-BE32-E72D297353CC}">
              <c16:uniqueId val="{00000003-2F00-45EA-9334-7054012DF13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N=23</c:v>
                </c:pt>
                <c:pt idx="2">
                  <c:v>Delinquent Findings, total N=54</c:v>
                </c:pt>
                <c:pt idx="3">
                  <c:v>Petitions, total N=34</c:v>
                </c:pt>
                <c:pt idx="4">
                  <c:v>Detentions, total N=6</c:v>
                </c:pt>
                <c:pt idx="5">
                  <c:v>Referrals, total N=104</c:v>
                </c:pt>
                <c:pt idx="6">
                  <c:v>Arrests, total N=43</c:v>
                </c:pt>
                <c:pt idx="7">
                  <c:v>Population, total N=7603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F00-45EA-9334-7054012DF13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7603</v>
      </c>
      <c r="C6" s="11">
        <v>6876</v>
      </c>
      <c r="D6" s="11">
        <v>155</v>
      </c>
      <c r="E6" s="11">
        <v>379</v>
      </c>
      <c r="F6" s="11">
        <v>90</v>
      </c>
      <c r="G6" s="11"/>
      <c r="H6" s="11">
        <v>103</v>
      </c>
      <c r="I6" s="11"/>
      <c r="J6" s="91">
        <f>SUM(D6:I6)</f>
        <v>727</v>
      </c>
      <c r="K6" s="92"/>
    </row>
    <row r="7" spans="1:11" ht="15.75" customHeight="1" thickBot="1" x14ac:dyDescent="0.25">
      <c r="A7" s="10" t="s">
        <v>8</v>
      </c>
      <c r="B7" s="11">
        <f t="shared" ref="B7:B15" si="0">SUM(C7:I7)+K7</f>
        <v>43</v>
      </c>
      <c r="C7" s="11">
        <v>36</v>
      </c>
      <c r="D7" s="11">
        <v>1</v>
      </c>
      <c r="E7" s="11"/>
      <c r="F7" s="11"/>
      <c r="G7" s="11"/>
      <c r="H7" s="11">
        <v>2</v>
      </c>
      <c r="I7" s="11"/>
      <c r="J7" s="91">
        <f t="shared" ref="J7:J15" si="1">SUM(D7:I7)</f>
        <v>3</v>
      </c>
      <c r="K7" s="92">
        <v>4</v>
      </c>
    </row>
    <row r="8" spans="1:11" ht="15.75" customHeight="1" thickBot="1" x14ac:dyDescent="0.25">
      <c r="A8" s="10" t="s">
        <v>9</v>
      </c>
      <c r="B8" s="11">
        <f t="shared" si="0"/>
        <v>104</v>
      </c>
      <c r="C8" s="11">
        <v>89</v>
      </c>
      <c r="D8" s="11">
        <v>5</v>
      </c>
      <c r="E8" s="11"/>
      <c r="F8" s="11"/>
      <c r="G8" s="11"/>
      <c r="H8" s="11"/>
      <c r="I8" s="11">
        <v>4</v>
      </c>
      <c r="J8" s="91">
        <f t="shared" si="1"/>
        <v>9</v>
      </c>
      <c r="K8" s="92">
        <v>6</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6</v>
      </c>
      <c r="C10" s="11">
        <v>4</v>
      </c>
      <c r="D10" s="11"/>
      <c r="E10" s="11"/>
      <c r="F10" s="11"/>
      <c r="G10" s="11"/>
      <c r="H10" s="11"/>
      <c r="I10" s="11"/>
      <c r="J10" s="91">
        <f t="shared" si="1"/>
        <v>0</v>
      </c>
      <c r="K10" s="92">
        <v>2</v>
      </c>
    </row>
    <row r="11" spans="1:11" ht="15.75" customHeight="1" thickBot="1" x14ac:dyDescent="0.25">
      <c r="A11" s="10" t="s">
        <v>12</v>
      </c>
      <c r="B11" s="11">
        <f t="shared" si="0"/>
        <v>34</v>
      </c>
      <c r="C11" s="11">
        <v>31</v>
      </c>
      <c r="D11" s="11">
        <v>1</v>
      </c>
      <c r="E11" s="11"/>
      <c r="F11" s="11"/>
      <c r="G11" s="11"/>
      <c r="H11" s="11"/>
      <c r="I11" s="11">
        <v>1</v>
      </c>
      <c r="J11" s="91">
        <f t="shared" si="1"/>
        <v>2</v>
      </c>
      <c r="K11" s="92">
        <v>1</v>
      </c>
    </row>
    <row r="12" spans="1:11" ht="15.75" customHeight="1" thickBot="1" x14ac:dyDescent="0.25">
      <c r="A12" s="10" t="s">
        <v>13</v>
      </c>
      <c r="B12" s="11">
        <f t="shared" si="0"/>
        <v>54</v>
      </c>
      <c r="C12" s="11">
        <v>48</v>
      </c>
      <c r="D12" s="11">
        <v>2</v>
      </c>
      <c r="E12" s="11"/>
      <c r="F12" s="11"/>
      <c r="G12" s="11"/>
      <c r="H12" s="11"/>
      <c r="I12" s="11">
        <v>2</v>
      </c>
      <c r="J12" s="91">
        <f t="shared" si="1"/>
        <v>4</v>
      </c>
      <c r="K12" s="92">
        <v>2</v>
      </c>
    </row>
    <row r="13" spans="1:11" ht="15.75" customHeight="1" thickBot="1" x14ac:dyDescent="0.25">
      <c r="A13" s="10" t="s">
        <v>133</v>
      </c>
      <c r="B13" s="11">
        <f t="shared" si="0"/>
        <v>60</v>
      </c>
      <c r="C13" s="11">
        <v>52</v>
      </c>
      <c r="D13" s="11">
        <v>3</v>
      </c>
      <c r="E13" s="11"/>
      <c r="F13" s="11"/>
      <c r="G13" s="11"/>
      <c r="H13" s="11"/>
      <c r="I13" s="11">
        <v>1</v>
      </c>
      <c r="J13" s="91">
        <f t="shared" si="1"/>
        <v>4</v>
      </c>
      <c r="K13" s="92">
        <v>4</v>
      </c>
    </row>
    <row r="14" spans="1:11" ht="26.25" customHeight="1" thickBot="1" x14ac:dyDescent="0.25">
      <c r="A14" s="10" t="s">
        <v>123</v>
      </c>
      <c r="B14" s="11">
        <f t="shared" si="0"/>
        <v>23</v>
      </c>
      <c r="C14" s="11">
        <v>23</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Grand Traverse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36</v>
      </c>
      <c r="Q7" s="42">
        <f>C6-C7</f>
        <v>6840</v>
      </c>
      <c r="R7" s="42">
        <f t="shared" ref="R7:R15" si="5">SUM(N7:Q7)</f>
        <v>6876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89</v>
      </c>
      <c r="D8" s="34">
        <f>IF((AND(C67&gt;0,C8&gt;0)),(C8/C67),0)</f>
        <v>247.22222222222223</v>
      </c>
      <c r="E8" s="33">
        <f>'Data Entry'!I8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89</v>
      </c>
      <c r="Q8" s="42">
        <f>(C$67*L67)-C8</f>
        <v>-53</v>
      </c>
      <c r="R8" s="42">
        <f t="shared" si="5"/>
        <v>36.049999999999997</v>
      </c>
      <c r="S8" s="30">
        <f t="shared" si="6"/>
        <v>702045.00012500002</v>
      </c>
      <c r="T8" s="30">
        <f t="shared" si="7"/>
        <v>-9533.4299999999675</v>
      </c>
      <c r="U8" s="31">
        <f t="shared" si="8"/>
        <v>-73.640337226475935</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89</v>
      </c>
      <c r="R9" s="42">
        <f t="shared" si="5"/>
        <v>93</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4.4943820224719104</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4</v>
      </c>
      <c r="P10" s="42">
        <f t="shared" si="4"/>
        <v>4</v>
      </c>
      <c r="Q10" s="42">
        <f>(C$68*L68)-C10</f>
        <v>85</v>
      </c>
      <c r="R10" s="42">
        <f t="shared" si="5"/>
        <v>93</v>
      </c>
      <c r="S10" s="30">
        <f t="shared" si="6"/>
        <v>23808</v>
      </c>
      <c r="T10" s="30">
        <f t="shared" si="7"/>
        <v>126736</v>
      </c>
      <c r="U10" s="31">
        <f t="shared" si="8"/>
        <v>0.18785506880444389</v>
      </c>
    </row>
    <row r="11" spans="2:21" ht="18" customHeight="1" x14ac:dyDescent="0.25">
      <c r="B11" s="32" t="str">
        <f>'Data Entry'!A11</f>
        <v>6. Cases Petitioned (Charge Filed)</v>
      </c>
      <c r="C11" s="33">
        <f>'Data Entry'!C11</f>
        <v>31</v>
      </c>
      <c r="D11" s="34">
        <f>IF(((AND(C68&gt;0,C11&gt;0))),(C11/(C68)),0)</f>
        <v>34.831460674157306</v>
      </c>
      <c r="E11" s="33">
        <f>'Data Entry'!I11</f>
        <v>1</v>
      </c>
      <c r="F11" s="34">
        <f>IF(((AND($E$11&gt;0,$D$68&gt;0))),($E$11/($D$68)),0)</f>
        <v>25</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3</v>
      </c>
      <c r="P11" s="42">
        <f t="shared" si="4"/>
        <v>31</v>
      </c>
      <c r="Q11" s="42">
        <f>(C$68*L68)-C11</f>
        <v>58</v>
      </c>
      <c r="R11" s="42">
        <f t="shared" si="5"/>
        <v>93</v>
      </c>
      <c r="S11" s="30">
        <f t="shared" si="6"/>
        <v>113925</v>
      </c>
      <c r="T11" s="30">
        <f t="shared" si="7"/>
        <v>694912</v>
      </c>
      <c r="U11" s="31">
        <f t="shared" si="8"/>
        <v>0.16394162138515381</v>
      </c>
    </row>
    <row r="12" spans="2:21" ht="18" customHeight="1" x14ac:dyDescent="0.25">
      <c r="B12" s="32" t="str">
        <f>'Data Entry'!A12</f>
        <v>7. Cases Resulting in Delinquent Findings</v>
      </c>
      <c r="C12" s="33">
        <f>'Data Entry'!C12</f>
        <v>48</v>
      </c>
      <c r="D12" s="34">
        <f>IF(((AND(C69&gt;0,C12&gt;0))),(C12/(C69)),0)</f>
        <v>154.83870967741936</v>
      </c>
      <c r="E12" s="33">
        <f>'Data Entry'!I12</f>
        <v>2</v>
      </c>
      <c r="F12" s="34">
        <f>IF(((AND($D$69&gt;0,$E$12&gt;0))),(E12/(D69)),0)</f>
        <v>200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-1</v>
      </c>
      <c r="P12" s="42">
        <f t="shared" si="4"/>
        <v>48</v>
      </c>
      <c r="Q12" s="42">
        <f>(C69*L69)-C12</f>
        <v>-17</v>
      </c>
      <c r="R12" s="42">
        <f t="shared" si="5"/>
        <v>32</v>
      </c>
      <c r="S12" s="30">
        <f t="shared" si="6"/>
        <v>6272</v>
      </c>
      <c r="T12" s="30">
        <f t="shared" si="7"/>
        <v>-27900</v>
      </c>
      <c r="U12" s="31">
        <f t="shared" si="8"/>
        <v>-0.22480286738351254</v>
      </c>
    </row>
    <row r="13" spans="2:21" ht="18" customHeight="1" x14ac:dyDescent="0.25">
      <c r="B13" s="32" t="str">
        <f>'Data Entry'!A13</f>
        <v>8. Cases Resulting in Probation Placement</v>
      </c>
      <c r="C13" s="33">
        <f>'Data Entry'!C13</f>
        <v>52</v>
      </c>
      <c r="D13" s="34">
        <f>IF(((AND(C70&gt;0,C13&gt;0))),(C13/(C70)),0)</f>
        <v>108.33333333333334</v>
      </c>
      <c r="E13" s="33">
        <f>'Data Entry'!I13</f>
        <v>1</v>
      </c>
      <c r="F13" s="34">
        <f>IF(((AND($D$70&gt;0,$E$13&gt;0))),($E$13/($D$70)),0)</f>
        <v>50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1</v>
      </c>
      <c r="O13" s="42">
        <f>(D70*L70)-E13</f>
        <v>1</v>
      </c>
      <c r="P13" s="42">
        <f t="shared" si="4"/>
        <v>52</v>
      </c>
      <c r="Q13" s="42">
        <f>(C70*L70)-C13</f>
        <v>-4</v>
      </c>
      <c r="R13" s="42">
        <f t="shared" si="5"/>
        <v>50</v>
      </c>
      <c r="S13" s="30">
        <f t="shared" si="6"/>
        <v>156800</v>
      </c>
      <c r="T13" s="30">
        <f t="shared" si="7"/>
        <v>-15264</v>
      </c>
      <c r="U13" s="31">
        <f t="shared" si="8"/>
        <v>-10.272536687631026</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2</v>
      </c>
      <c r="P14" s="42">
        <f t="shared" si="4"/>
        <v>23</v>
      </c>
      <c r="Q14" s="42">
        <f>(C70*L70)-C14</f>
        <v>25</v>
      </c>
      <c r="R14" s="42">
        <f t="shared" si="5"/>
        <v>50</v>
      </c>
      <c r="S14" s="30">
        <f t="shared" si="6"/>
        <v>105800</v>
      </c>
      <c r="T14" s="30">
        <f t="shared" si="7"/>
        <v>59616</v>
      </c>
      <c r="U14" s="31">
        <f t="shared" si="8"/>
        <v>1.7746913580246915</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31</v>
      </c>
      <c r="R15" s="42">
        <f t="shared" si="5"/>
        <v>32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v>
      </c>
      <c r="E42" s="56">
        <f>MAX(C42:D42)</f>
        <v>6.8760000000000003</v>
      </c>
      <c r="G42" s="1" t="str">
        <f>B42</f>
        <v>per 1000 youth</v>
      </c>
      <c r="L42" s="57">
        <v>1000</v>
      </c>
      <c r="M42" s="57"/>
      <c r="R42" s="49"/>
    </row>
    <row r="43" spans="2:18" ht="15" hidden="1" customHeight="1" x14ac:dyDescent="0.25">
      <c r="B43" s="49" t="s">
        <v>87</v>
      </c>
      <c r="C43" s="56">
        <f>C7/100</f>
        <v>0.36</v>
      </c>
      <c r="D43" s="56">
        <f>E7/100</f>
        <v>0</v>
      </c>
      <c r="E43" s="56">
        <f>MAX(C43:D43,0)</f>
        <v>0.36</v>
      </c>
      <c r="G43" s="1" t="str">
        <f>B43</f>
        <v>per 100 arrests</v>
      </c>
      <c r="L43" s="57">
        <v>100</v>
      </c>
      <c r="M43" s="57"/>
      <c r="R43" s="49"/>
    </row>
    <row r="44" spans="2:18" ht="15" hidden="1" customHeight="1" x14ac:dyDescent="0.25">
      <c r="B44" s="49" t="s">
        <v>88</v>
      </c>
      <c r="C44" s="56">
        <f>C8/100</f>
        <v>0.89</v>
      </c>
      <c r="D44" s="56">
        <f>E8/100</f>
        <v>0.04</v>
      </c>
      <c r="E44" s="56">
        <f>MAX(C44:D44,0)</f>
        <v>0.89</v>
      </c>
      <c r="G44" s="1" t="str">
        <f>B44</f>
        <v>per 100 referrals</v>
      </c>
      <c r="L44" s="57">
        <v>100</v>
      </c>
      <c r="M44" s="57"/>
      <c r="R44" s="49"/>
    </row>
    <row r="45" spans="2:18" ht="15" hidden="1" customHeight="1" x14ac:dyDescent="0.25">
      <c r="B45" s="49" t="s">
        <v>89</v>
      </c>
      <c r="C45" s="49">
        <f>C11/100</f>
        <v>0.31</v>
      </c>
      <c r="D45" s="49">
        <f>E11/100</f>
        <v>0.01</v>
      </c>
      <c r="E45" s="56">
        <f>MAX(C45:D45,0)</f>
        <v>0.31</v>
      </c>
      <c r="G45" s="1" t="str">
        <f>B45</f>
        <v>per 100 youth petitioned</v>
      </c>
      <c r="L45" s="57">
        <v>100</v>
      </c>
      <c r="M45" s="57"/>
      <c r="R45" s="49"/>
    </row>
    <row r="46" spans="2:18" ht="15" hidden="1" customHeight="1" x14ac:dyDescent="0.25">
      <c r="B46" s="49" t="s">
        <v>90</v>
      </c>
      <c r="C46" s="49">
        <f>C12/100</f>
        <v>0.48</v>
      </c>
      <c r="D46" s="49">
        <f>E12/100</f>
        <v>0.02</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0.04</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0.01</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0.02</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0.04</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0.01</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0.02</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0.04</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0.01</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0.02</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0.04</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0.01</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0.02</v>
      </c>
      <c r="E70" s="56">
        <f>MAX(C70:D70)</f>
        <v>0.48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Grand Traverse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Entry'!J6</f>
        <v>727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Entry'!J7</f>
        <v>3</v>
      </c>
      <c r="F7" s="34">
        <f>IF((AND($E$7&gt;0,$D$66&gt;0)),($E$7/$D$66),0)</f>
        <v>4.1265474552957357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724</v>
      </c>
      <c r="P7" s="42">
        <f t="shared" ref="P7:P15" si="4">C7</f>
        <v>36</v>
      </c>
      <c r="Q7" s="42">
        <f>C6-C7</f>
        <v>6840</v>
      </c>
      <c r="R7" s="42">
        <f t="shared" ref="R7:R15" si="5">SUM(N7:Q7)</f>
        <v>7603</v>
      </c>
      <c r="S7" s="30">
        <f t="shared" ref="S7:S15" si="6">R7*((((N7*Q7)-(O7*P7))^2))</f>
        <v>233685321408</v>
      </c>
      <c r="T7" s="30">
        <f t="shared" ref="T7:T15" si="7">(N7+O7)*(P7+Q7)*(N7+P7)*(O7+Q7)</f>
        <v>1474641344592</v>
      </c>
      <c r="U7" s="31">
        <f t="shared" ref="U7:U15" si="8">IF((S7&gt;0),S7/T7,"- -")</f>
        <v>0.15846925916257654</v>
      </c>
    </row>
    <row r="8" spans="2:21" ht="18" customHeight="1" x14ac:dyDescent="0.25">
      <c r="B8" s="32" t="str">
        <f>'Data Entry'!A8</f>
        <v>3. Refer to Juvenile Court</v>
      </c>
      <c r="C8" s="33">
        <f>'Data Entry'!C8</f>
        <v>89</v>
      </c>
      <c r="D8" s="34">
        <f>IF((AND(C67&gt;0,C8&gt;0)),(C8/C67),0)</f>
        <v>247.22222222222223</v>
      </c>
      <c r="E8" s="33">
        <f>'Data Entry'!J8</f>
        <v>9</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9</v>
      </c>
      <c r="O8" s="42">
        <f>((D67*L67)-E8)+0.05</f>
        <v>-5.95</v>
      </c>
      <c r="P8" s="42">
        <f t="shared" si="4"/>
        <v>89</v>
      </c>
      <c r="Q8" s="42">
        <f>(C$67*L67)-C8</f>
        <v>-53</v>
      </c>
      <c r="R8" s="42">
        <f t="shared" si="5"/>
        <v>39.049999999999997</v>
      </c>
      <c r="S8" s="30">
        <f t="shared" si="6"/>
        <v>107836.67262500028</v>
      </c>
      <c r="T8" s="30">
        <f t="shared" si="7"/>
        <v>-634325.57999999996</v>
      </c>
      <c r="U8" s="31">
        <f t="shared" si="8"/>
        <v>-0.17000208729561292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9</v>
      </c>
      <c r="P9" s="42">
        <f t="shared" si="4"/>
        <v>0</v>
      </c>
      <c r="Q9" s="42">
        <f>(C$68*L68)-C9</f>
        <v>89</v>
      </c>
      <c r="R9" s="42">
        <f t="shared" si="5"/>
        <v>98</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4.4943820224719104</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9</v>
      </c>
      <c r="P10" s="42">
        <f t="shared" si="4"/>
        <v>4</v>
      </c>
      <c r="Q10" s="42">
        <f>(C$68*L68)-C10</f>
        <v>85</v>
      </c>
      <c r="R10" s="42">
        <f t="shared" si="5"/>
        <v>98</v>
      </c>
      <c r="S10" s="30">
        <f t="shared" si="6"/>
        <v>127008</v>
      </c>
      <c r="T10" s="30">
        <f t="shared" si="7"/>
        <v>301176</v>
      </c>
      <c r="U10" s="31">
        <f t="shared" si="8"/>
        <v>0.42170690891704521</v>
      </c>
    </row>
    <row r="11" spans="2:21" ht="18" customHeight="1" x14ac:dyDescent="0.25">
      <c r="B11" s="32" t="str">
        <f>'Data Entry'!A11</f>
        <v>6. Cases Petitioned (Charge Filed)</v>
      </c>
      <c r="C11" s="33">
        <f>'Data Entry'!C11</f>
        <v>31</v>
      </c>
      <c r="D11" s="34">
        <f>IF(((AND(C68&gt;0,C11&gt;0))),(C11/(C68)),0)</f>
        <v>34.831460674157306</v>
      </c>
      <c r="E11" s="33">
        <f>'Data Entry'!J11</f>
        <v>2</v>
      </c>
      <c r="F11" s="34">
        <f>IF(((AND($E$11&gt;0,$D$68&gt;0))),($E$11/($D$68)),0)</f>
        <v>22.222222222222221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7</v>
      </c>
      <c r="P11" s="42">
        <f t="shared" si="4"/>
        <v>31</v>
      </c>
      <c r="Q11" s="42">
        <f>(C$68*L68)-C11</f>
        <v>58</v>
      </c>
      <c r="R11" s="42">
        <f t="shared" si="5"/>
        <v>98</v>
      </c>
      <c r="S11" s="30">
        <f t="shared" si="6"/>
        <v>999698</v>
      </c>
      <c r="T11" s="30">
        <f t="shared" si="7"/>
        <v>1718145</v>
      </c>
      <c r="U11" s="31">
        <f t="shared" si="8"/>
        <v>0.58184728297087851</v>
      </c>
    </row>
    <row r="12" spans="2:21" ht="18" customHeight="1" x14ac:dyDescent="0.25">
      <c r="B12" s="32" t="str">
        <f>'Data Entry'!A12</f>
        <v>7. Cases Resulting in Delinquent Findings</v>
      </c>
      <c r="C12" s="33">
        <f>'Data Entry'!C12</f>
        <v>48</v>
      </c>
      <c r="D12" s="34">
        <f>IF(((AND(C69&gt;0,C12&gt;0))),(C12/(C69)),0)</f>
        <v>154.83870967741936</v>
      </c>
      <c r="E12" s="33">
        <f>'Data Entry'!J12</f>
        <v>4</v>
      </c>
      <c r="F12" s="34">
        <f>IF(((AND($D$69&gt;0,$E$12&gt;0))),(E12/(D69)),0)</f>
        <v>200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-2</v>
      </c>
      <c r="P12" s="42">
        <f t="shared" si="4"/>
        <v>48</v>
      </c>
      <c r="Q12" s="42">
        <f>(C69*L69)-C12</f>
        <v>-17</v>
      </c>
      <c r="R12" s="42">
        <f t="shared" si="5"/>
        <v>33</v>
      </c>
      <c r="S12" s="30">
        <f t="shared" si="6"/>
        <v>25872</v>
      </c>
      <c r="T12" s="30">
        <f t="shared" si="7"/>
        <v>-61256</v>
      </c>
      <c r="U12" s="31">
        <f t="shared" si="8"/>
        <v>-0.4223586260937704</v>
      </c>
    </row>
    <row r="13" spans="2:21" ht="18" customHeight="1" x14ac:dyDescent="0.25">
      <c r="B13" s="32" t="str">
        <f>'Data Entry'!A13</f>
        <v>8. Cases Resulting in Probation Placement</v>
      </c>
      <c r="C13" s="33">
        <f>'Data Entry'!C13</f>
        <v>52</v>
      </c>
      <c r="D13" s="34">
        <f>IF(((AND(C70&gt;0,C13&gt;0))),(C13/(C70)),0)</f>
        <v>108.33333333333334</v>
      </c>
      <c r="E13" s="33">
        <f>'Data Entry'!J13</f>
        <v>4</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0</v>
      </c>
      <c r="P13" s="42">
        <f t="shared" si="4"/>
        <v>52</v>
      </c>
      <c r="Q13" s="42">
        <f>(C70*L70)-C13</f>
        <v>-4</v>
      </c>
      <c r="R13" s="42">
        <f t="shared" si="5"/>
        <v>52</v>
      </c>
      <c r="S13" s="30">
        <f t="shared" si="6"/>
        <v>13312</v>
      </c>
      <c r="T13" s="30">
        <f t="shared" si="7"/>
        <v>-43008</v>
      </c>
      <c r="U13" s="31">
        <f t="shared" si="8"/>
        <v>-0.30952380952380953</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4</v>
      </c>
      <c r="P14" s="42">
        <f t="shared" si="4"/>
        <v>23</v>
      </c>
      <c r="Q14" s="42">
        <f>(C70*L70)-C14</f>
        <v>25</v>
      </c>
      <c r="R14" s="42">
        <f t="shared" si="5"/>
        <v>52</v>
      </c>
      <c r="S14" s="30">
        <f t="shared" si="6"/>
        <v>440128</v>
      </c>
      <c r="T14" s="30">
        <f t="shared" si="7"/>
        <v>128064</v>
      </c>
      <c r="U14" s="31">
        <f t="shared" si="8"/>
        <v>3.4367816091954024</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31</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0.72699999999999998</v>
      </c>
      <c r="E42" s="56">
        <f>MAX(C42:D42)</f>
        <v>6.8760000000000003</v>
      </c>
      <c r="G42" s="1" t="str">
        <f>B42</f>
        <v>per 1000 youth</v>
      </c>
      <c r="L42" s="57">
        <v>1000</v>
      </c>
      <c r="M42" s="57"/>
      <c r="R42" s="49"/>
    </row>
    <row r="43" spans="2:18" ht="15" hidden="1" customHeight="1" x14ac:dyDescent="0.25">
      <c r="B43" s="49" t="s">
        <v>87</v>
      </c>
      <c r="C43" s="56">
        <f>C7/100</f>
        <v>0.36</v>
      </c>
      <c r="D43" s="56">
        <f>E7/100</f>
        <v>0.03</v>
      </c>
      <c r="E43" s="56">
        <f>MAX(C43:D43,0)</f>
        <v>0.36</v>
      </c>
      <c r="G43" s="1" t="str">
        <f>B43</f>
        <v>per 100 arrests</v>
      </c>
      <c r="L43" s="57">
        <v>100</v>
      </c>
      <c r="M43" s="57"/>
      <c r="R43" s="49"/>
    </row>
    <row r="44" spans="2:18" ht="15" hidden="1" customHeight="1" x14ac:dyDescent="0.25">
      <c r="B44" s="49" t="s">
        <v>88</v>
      </c>
      <c r="C44" s="56">
        <f>C8/100</f>
        <v>0.89</v>
      </c>
      <c r="D44" s="56">
        <f>E8/100</f>
        <v>0.09</v>
      </c>
      <c r="E44" s="56">
        <f>MAX(C44:D44,0)</f>
        <v>0.89</v>
      </c>
      <c r="G44" s="1" t="str">
        <f>B44</f>
        <v>per 100 referrals</v>
      </c>
      <c r="L44" s="57">
        <v>100</v>
      </c>
      <c r="M44" s="57"/>
      <c r="R44" s="49"/>
    </row>
    <row r="45" spans="2:18" ht="15" hidden="1" customHeight="1" x14ac:dyDescent="0.25">
      <c r="B45" s="49" t="s">
        <v>89</v>
      </c>
      <c r="C45" s="49">
        <f>C11/100</f>
        <v>0.31</v>
      </c>
      <c r="D45" s="49">
        <f>E11/100</f>
        <v>0.02</v>
      </c>
      <c r="E45" s="56">
        <f>MAX(C45:D45,0)</f>
        <v>0.31</v>
      </c>
      <c r="G45" s="1" t="str">
        <f>B45</f>
        <v>per 100 youth petitioned</v>
      </c>
      <c r="L45" s="57">
        <v>100</v>
      </c>
      <c r="M45" s="57"/>
      <c r="R45" s="49"/>
    </row>
    <row r="46" spans="2:18" ht="15" hidden="1" customHeight="1" x14ac:dyDescent="0.25">
      <c r="B46" s="49" t="s">
        <v>90</v>
      </c>
      <c r="C46" s="49">
        <f>C12/100</f>
        <v>0.48</v>
      </c>
      <c r="D46" s="49">
        <f>E12/100</f>
        <v>0.04</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0.72699999999999998</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0.36</v>
      </c>
      <c r="D49" s="49">
        <f t="shared" si="9"/>
        <v>0.03</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0.09</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0.02</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0.04</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0.72699999999999998</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0.03</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0.09</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0.02</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0.04</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0.72699999999999998</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0.03</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0.09</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0.02</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0.04</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0.72699999999999998</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0.03</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0.09</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0.02</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0.04</v>
      </c>
      <c r="E70" s="56">
        <f>MAX(C70:D70)</f>
        <v>0.48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Grand Traverse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f>'Other - Mixed'!L13</f>
        <v>119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7603</v>
      </c>
      <c r="D3" s="57">
        <f>'Data Entry'!C6</f>
        <v>6876</v>
      </c>
      <c r="E3" s="57">
        <f>'Data Entry'!D6</f>
        <v>155</v>
      </c>
      <c r="F3" s="57">
        <f>'Data Entry'!E6</f>
        <v>379</v>
      </c>
      <c r="G3" s="57">
        <f>'Data Entry'!F6</f>
        <v>90</v>
      </c>
      <c r="H3" s="57">
        <f>'Data Entry'!G6</f>
        <v>0</v>
      </c>
      <c r="I3" s="57">
        <f>'Data Entry'!H6</f>
        <v>103</v>
      </c>
      <c r="J3" s="57">
        <f>'Data Entry'!I6</f>
        <v>0</v>
      </c>
      <c r="K3" s="57">
        <f>'Data Entry'!J6</f>
        <v>727</v>
      </c>
    </row>
    <row r="4" spans="2:11" ht="15" customHeight="1" x14ac:dyDescent="0.25">
      <c r="B4" s="16" t="s">
        <v>8</v>
      </c>
      <c r="C4" s="1">
        <f>IF((C$3&gt;0),(1000*('Data Entry'!B7/'Data Entry'!B$6)), 0)</f>
        <v>5.6556622385900299</v>
      </c>
      <c r="D4" s="1">
        <f>IF((D$3&gt;0),(1000*('Data Entry'!C7/'Data Entry'!C$6)), 0)</f>
        <v>5.2356020942408383</v>
      </c>
      <c r="E4" s="1">
        <f>IF((E$3&gt;0),(1000*('Data Entry'!D7/'Data Entry'!D$6)), 0)</f>
        <v>6.4516129032258061</v>
      </c>
      <c r="F4" s="1">
        <f>IF((F$3&gt;0),(1000*('Data Entry'!E7/'Data Entry'!E$6)), 0)</f>
        <v>0</v>
      </c>
      <c r="G4" s="1">
        <f>IF((G$3&gt;0),(1000*('Data Entry'!F7/'Data Entry'!F$6)), 0)</f>
        <v>0</v>
      </c>
      <c r="H4" s="1">
        <f>IF((H$3&gt;0),(1000*('Data Entry'!G7/'Data Entry'!G$6)), 0)</f>
        <v>0</v>
      </c>
      <c r="I4" s="1">
        <f>IF((I$3&gt;0),(1000*('Data Entry'!H7/'Data Entry'!H$6)), 0)</f>
        <v>19.417475728155338</v>
      </c>
      <c r="J4" s="1">
        <f>IF((J$3&gt;0),(1000*('Data Entry'!I7/'Data Entry'!I$6)), 0)</f>
        <v>0</v>
      </c>
      <c r="K4" s="1">
        <f>IF((K$3&gt;0),(1000*('Data Entry'!J7/'Data Entry'!J$6)), 0)</f>
        <v>4.1265474552957357</v>
      </c>
    </row>
    <row r="5" spans="2:11" ht="15" customHeight="1" x14ac:dyDescent="0.25">
      <c r="B5" s="16" t="s">
        <v>9</v>
      </c>
      <c r="C5" s="1">
        <f>IF((C$3&gt;0),(1000*('Data Entry'!B8/'Data Entry'!B$6)), 0)</f>
        <v>13.678810995659608</v>
      </c>
      <c r="D5" s="1">
        <f>IF((D$3&gt;0),(1000*('Data Entry'!C8/'Data Entry'!C$6)), 0)</f>
        <v>12.943571844095404</v>
      </c>
      <c r="E5" s="1">
        <f>IF((E$3&gt;0),(1000*('Data Entry'!D8/'Data Entry'!D$6)), 0)</f>
        <v>32.258064516129032</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12.379642365887207</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0.7891621728265158</v>
      </c>
      <c r="D7" s="1">
        <f>IF((D$3&gt;0),(1000*('Data Entry'!C10/'Data Entry'!C$6)), 0)</f>
        <v>0.58173356602675974</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4.4719189793502565</v>
      </c>
      <c r="D8" s="1">
        <f>IF((D$3&gt;0),(1000*('Data Entry'!C11/'Data Entry'!C$6)), 0)</f>
        <v>4.508435136707388</v>
      </c>
      <c r="E8" s="1">
        <f>IF((E$3&gt;0),(1000*('Data Entry'!D11/'Data Entry'!D$6)), 0)</f>
        <v>6.4516129032258061</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2.7510316368638241</v>
      </c>
    </row>
    <row r="9" spans="2:11" ht="15" customHeight="1" x14ac:dyDescent="0.25">
      <c r="B9" s="16" t="s">
        <v>13</v>
      </c>
      <c r="C9" s="1">
        <f>IF((C$3&gt;0),(1000*('Data Entry'!B12/'Data Entry'!B$6)), 0)</f>
        <v>7.1024595554386423</v>
      </c>
      <c r="D9" s="1">
        <f>IF((D$3&gt;0),(1000*('Data Entry'!C12/'Data Entry'!C$6)), 0)</f>
        <v>6.9808027923211169</v>
      </c>
      <c r="E9" s="1">
        <f>IF((E$3&gt;0),(1000*('Data Entry'!D12/'Data Entry'!D$6)), 0)</f>
        <v>12.903225806451612</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5.5020632737276483</v>
      </c>
    </row>
    <row r="10" spans="2:11" ht="15" customHeight="1" x14ac:dyDescent="0.25">
      <c r="B10" s="16" t="s">
        <v>14</v>
      </c>
      <c r="C10" s="1">
        <f>IF((C$3&gt;0),(1000*('Data Entry'!B13/'Data Entry'!B$6)), 0)</f>
        <v>7.8916217282651582</v>
      </c>
      <c r="D10" s="1">
        <f>IF((D$3&gt;0),(1000*('Data Entry'!C13/'Data Entry'!C$6)), 0)</f>
        <v>7.5625363583478764</v>
      </c>
      <c r="E10" s="1">
        <f>IF((E$3&gt;0),(1000*('Data Entry'!D13/'Data Entry'!D$6)), 0)</f>
        <v>19.35483870967742</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5.5020632737276483</v>
      </c>
    </row>
    <row r="11" spans="2:11" ht="25.5" customHeight="1" x14ac:dyDescent="0.25">
      <c r="B11" s="16" t="s">
        <v>15</v>
      </c>
      <c r="C11" s="1">
        <f>IF((C$3&gt;0),(1000*('Data Entry'!B14/'Data Entry'!B$6)), 0)</f>
        <v>3.0251216625016442</v>
      </c>
      <c r="D11" s="1">
        <f>IF((D$3&gt;0),(1000*('Data Entry'!C14/'Data Entry'!C$6)), 0)</f>
        <v>3.3449680046538686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Grand Traverse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1.2322580645161287</v>
      </c>
      <c r="E19" s="72" t="str">
        <f t="shared" si="1"/>
        <v>--</v>
      </c>
      <c r="F19" s="72" t="str">
        <f t="shared" si="1"/>
        <v>--</v>
      </c>
      <c r="G19" s="72" t="str">
        <f t="shared" si="1"/>
        <v>--</v>
      </c>
      <c r="H19" s="72">
        <f t="shared" si="1"/>
        <v>3.7087378640776691</v>
      </c>
      <c r="I19" s="72" t="str">
        <f t="shared" si="1"/>
        <v>--</v>
      </c>
      <c r="J19" s="73">
        <f t="shared" si="1"/>
        <v>0.78817056396148544</v>
      </c>
    </row>
    <row r="20" spans="2:10" ht="15" customHeight="1" x14ac:dyDescent="0.25">
      <c r="B20" s="71" t="s">
        <v>9</v>
      </c>
      <c r="C20" s="72">
        <f t="shared" ref="C20:J27" si="2">IF(AND(($D5&gt;0),(D5&gt;0)), (D5/$D5),"--")</f>
        <v>1</v>
      </c>
      <c r="D20" s="72">
        <f t="shared" si="2"/>
        <v>2.4922073214932947</v>
      </c>
      <c r="E20" s="72" t="str">
        <f t="shared" si="2"/>
        <v>--</v>
      </c>
      <c r="F20" s="72" t="str">
        <f t="shared" si="2"/>
        <v>--</v>
      </c>
      <c r="G20" s="72" t="str">
        <f t="shared" si="2"/>
        <v>--</v>
      </c>
      <c r="H20" s="72" t="str">
        <f t="shared" si="2"/>
        <v>--</v>
      </c>
      <c r="I20" s="72" t="str">
        <f t="shared" si="2"/>
        <v>--</v>
      </c>
      <c r="J20" s="73">
        <f t="shared" si="2"/>
        <v>0.95643169559371277</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1.4310093652445368</v>
      </c>
      <c r="E23" s="72" t="str">
        <f t="shared" si="2"/>
        <v>--</v>
      </c>
      <c r="F23" s="72" t="str">
        <f t="shared" si="2"/>
        <v>--</v>
      </c>
      <c r="G23" s="72" t="str">
        <f t="shared" si="2"/>
        <v>--</v>
      </c>
      <c r="H23" s="72" t="str">
        <f t="shared" si="2"/>
        <v>--</v>
      </c>
      <c r="I23" s="72" t="str">
        <f t="shared" si="2"/>
        <v>--</v>
      </c>
      <c r="J23" s="73">
        <f t="shared" si="2"/>
        <v>0.61019656564760172</v>
      </c>
    </row>
    <row r="24" spans="2:10" ht="15" customHeight="1" x14ac:dyDescent="0.25">
      <c r="B24" s="71" t="s">
        <v>13</v>
      </c>
      <c r="C24" s="72">
        <f t="shared" si="2"/>
        <v>1</v>
      </c>
      <c r="D24" s="72">
        <f t="shared" si="2"/>
        <v>1.8483870967741935</v>
      </c>
      <c r="E24" s="72" t="str">
        <f t="shared" si="2"/>
        <v>--</v>
      </c>
      <c r="F24" s="72" t="str">
        <f t="shared" si="2"/>
        <v>--</v>
      </c>
      <c r="G24" s="72" t="str">
        <f t="shared" si="2"/>
        <v>--</v>
      </c>
      <c r="H24" s="72" t="str">
        <f t="shared" si="2"/>
        <v>--</v>
      </c>
      <c r="I24" s="72" t="str">
        <f t="shared" si="2"/>
        <v>--</v>
      </c>
      <c r="J24" s="73">
        <f t="shared" si="2"/>
        <v>0.78817056396148566</v>
      </c>
    </row>
    <row r="25" spans="2:10" ht="15" customHeight="1" x14ac:dyDescent="0.25">
      <c r="B25" s="71" t="s">
        <v>14</v>
      </c>
      <c r="C25" s="72">
        <f t="shared" si="2"/>
        <v>1</v>
      </c>
      <c r="D25" s="72">
        <f t="shared" si="2"/>
        <v>2.5593052109181142</v>
      </c>
      <c r="E25" s="72" t="str">
        <f t="shared" si="2"/>
        <v>--</v>
      </c>
      <c r="F25" s="72" t="str">
        <f t="shared" si="2"/>
        <v>--</v>
      </c>
      <c r="G25" s="72" t="str">
        <f t="shared" si="2"/>
        <v>--</v>
      </c>
      <c r="H25" s="72" t="str">
        <f t="shared" si="2"/>
        <v>--</v>
      </c>
      <c r="I25" s="72" t="str">
        <f t="shared" si="2"/>
        <v>--</v>
      </c>
      <c r="J25" s="73">
        <f t="shared" si="2"/>
        <v>0.72754205904137137</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Grand Traverse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6876</v>
      </c>
      <c r="D7" s="105">
        <f>'Data Entry'!D6</f>
        <v>155</v>
      </c>
      <c r="E7" s="106"/>
      <c r="F7" s="107">
        <f>'Data Entry'!E6</f>
        <v>379</v>
      </c>
      <c r="G7" s="106"/>
      <c r="H7" s="107">
        <f>'Data Entry'!F6</f>
        <v>90</v>
      </c>
      <c r="I7" s="106"/>
      <c r="J7" s="107">
        <f>'Data Entry'!G6</f>
        <v>0</v>
      </c>
      <c r="K7" s="106"/>
      <c r="L7" s="107">
        <f>'Data Entry'!H6</f>
        <v>103</v>
      </c>
      <c r="M7" s="106"/>
      <c r="N7" s="107">
        <f>'Data Entry'!I6</f>
        <v>0</v>
      </c>
      <c r="O7" s="106"/>
      <c r="P7" s="107">
        <f>'Data Entry'!J6</f>
        <v>727</v>
      </c>
      <c r="Q7" s="108"/>
    </row>
    <row r="8" spans="2:26" s="1" customFormat="1" ht="15" customHeight="1" x14ac:dyDescent="0.3">
      <c r="B8" s="149" t="s">
        <v>8</v>
      </c>
      <c r="C8" s="104">
        <f>'Data Entry'!C7</f>
        <v>36</v>
      </c>
      <c r="D8" s="105">
        <f>'Data Entry'!D7</f>
        <v>1</v>
      </c>
      <c r="E8" s="106" t="str">
        <f>'Black or African-American'!$G7</f>
        <v>**</v>
      </c>
      <c r="F8" s="107">
        <f>'Data Entry'!E7</f>
        <v>0</v>
      </c>
      <c r="G8" s="106" t="str">
        <f>Hispanic!G7</f>
        <v>**</v>
      </c>
      <c r="H8" s="107">
        <f>'Data Entry'!F7</f>
        <v>0</v>
      </c>
      <c r="I8" s="106" t="str">
        <f>Asian!G7</f>
        <v>**</v>
      </c>
      <c r="J8" s="107">
        <f>'Data Entry'!G7</f>
        <v>0</v>
      </c>
      <c r="K8" s="106" t="str">
        <f>Hawaiian!G7</f>
        <v>*</v>
      </c>
      <c r="L8" s="107">
        <f>'Data Entry'!H7</f>
        <v>2</v>
      </c>
      <c r="M8" s="106" t="str">
        <f>'Am Indian'!G7</f>
        <v>**</v>
      </c>
      <c r="N8" s="107">
        <f>'Data Entry'!I7</f>
        <v>0</v>
      </c>
      <c r="O8" s="106" t="str">
        <f>'Other - Mixed'!G7</f>
        <v>*</v>
      </c>
      <c r="P8" s="107">
        <f>'Data Entry'!J7</f>
        <v>3</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89</v>
      </c>
      <c r="D9" s="109">
        <f>'Data Entry'!D8</f>
        <v>5</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4</v>
      </c>
      <c r="O9" s="110" t="str">
        <f>'Other - Mixed'!G8</f>
        <v>*</v>
      </c>
      <c r="P9" s="111">
        <f>'Data Entry'!J8</f>
        <v>9</v>
      </c>
      <c r="Q9" s="112" t="str">
        <f>'All Minorities'!G8</f>
        <v>**</v>
      </c>
      <c r="R9"/>
      <c r="T9" s="1">
        <f>'Black or African-American'!L8</f>
        <v>40</v>
      </c>
      <c r="U9" s="1">
        <f>Hispanic!L8</f>
        <v>40</v>
      </c>
      <c r="V9" s="1">
        <f>Asian!L8</f>
        <v>40</v>
      </c>
      <c r="W9" s="1">
        <f>Hawaiian!L8</f>
        <v>139</v>
      </c>
      <c r="X9" s="1">
        <f>'Am Indian'!L8</f>
        <v>40</v>
      </c>
      <c r="Y9" s="1">
        <f>'Other - Mixed'!L8</f>
        <v>119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31</v>
      </c>
      <c r="D12" s="113">
        <f>'Data Entry'!D11</f>
        <v>1</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2</v>
      </c>
      <c r="Q12" s="116"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48</v>
      </c>
      <c r="D13" s="109">
        <f>'Data Entry'!D12</f>
        <v>2</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2</v>
      </c>
      <c r="O13" s="110" t="str">
        <f>'Other - Mixed'!G12</f>
        <v>*</v>
      </c>
      <c r="P13" s="111">
        <f>'Data Entry'!J12</f>
        <v>4</v>
      </c>
      <c r="Q13" s="112"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52</v>
      </c>
      <c r="D14" s="113">
        <f>'Data Entry'!D13</f>
        <v>3</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4</v>
      </c>
      <c r="Q14" s="116" t="str">
        <f>'All Minorities'!G13</f>
        <v>**</v>
      </c>
      <c r="R14"/>
      <c r="T14" s="1">
        <f>'Black or African-American'!L13</f>
        <v>40</v>
      </c>
      <c r="U14" s="1" t="e">
        <f>Hispanic!L13</f>
        <v>#VALUE!</v>
      </c>
      <c r="V14" s="1" t="e">
        <f>Asian!L13</f>
        <v>#VALUE!</v>
      </c>
      <c r="W14" s="1" t="e">
        <f>Hawaiian!L13</f>
        <v>#VALUE!</v>
      </c>
      <c r="X14" s="1" t="e">
        <f>'Am Indian'!L13</f>
        <v>#VALUE!</v>
      </c>
      <c r="Y14" s="1">
        <f>'Other - Mixed'!L13</f>
        <v>119</v>
      </c>
      <c r="Z14" s="1">
        <f>'All Minorities'!L13</f>
        <v>40</v>
      </c>
    </row>
    <row r="15" spans="2:26" s="1" customFormat="1" ht="33" x14ac:dyDescent="0.3">
      <c r="B15" s="151" t="s">
        <v>123</v>
      </c>
      <c r="C15" s="104">
        <f>'Data Entry'!C14</f>
        <v>23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Grand Traverse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Grand Traverse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9.4580467675378284</v>
      </c>
    </row>
    <row r="8" spans="1:12" ht="25.5" customHeight="1" x14ac:dyDescent="0.2">
      <c r="A8" s="158" t="str">
        <f>CONCATENATE("Confinement, total N=", 'Data Entry'!B14)</f>
        <v>Confinement, total N=23</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N=23</v>
      </c>
      <c r="L8">
        <f>I14/(SUM(B14:G14))</f>
        <v>9.4580467675378284</v>
      </c>
    </row>
    <row r="9" spans="1:12" x14ac:dyDescent="0.2">
      <c r="A9" s="132" t="str">
        <f>CONCATENATE("Delinquent Findings, total N=", 'Data Entry'!B12)</f>
        <v>Delinquent Findings, total N=54</v>
      </c>
      <c r="B9" s="157">
        <f>'Data Entry'!D12/'Data Entry'!B12</f>
        <v>3.7037037037037035E-2</v>
      </c>
      <c r="C9" s="157">
        <f>'Data Entry'!E12/'Data Entry'!B12</f>
        <v>0</v>
      </c>
      <c r="D9" s="157">
        <f>'Data Entry'!F12/'Data Entry'!B12</f>
        <v>0</v>
      </c>
      <c r="E9" s="157">
        <f>'Data Entry'!G12/'Data Entry'!B12</f>
        <v>0</v>
      </c>
      <c r="F9" s="157">
        <f>'Data Entry'!H12/'Data Entry'!B12</f>
        <v>0</v>
      </c>
      <c r="G9" s="157">
        <f>'Data Entry'!I12/'Data Entry'!B12</f>
        <v>3.7037037037037035E-2</v>
      </c>
      <c r="H9" s="157">
        <f>SUM(D9:G9)/'Data Entry'!B12</f>
        <v>6.8587105624142656E-4</v>
      </c>
      <c r="I9" s="157">
        <f>'Data Entry'!C12/'Data Entry'!B12</f>
        <v>0.88888888888888884</v>
      </c>
      <c r="K9" s="97" t="str">
        <f t="shared" si="0"/>
        <v>Delinquent Findings, total N=54</v>
      </c>
      <c r="L9">
        <f>I14/(SUM(B14:G14))</f>
        <v>9.4580467675378284</v>
      </c>
    </row>
    <row r="10" spans="1:12" x14ac:dyDescent="0.2">
      <c r="A10" s="132" t="str">
        <f>CONCATENATE("Petitions, total N=", 'Data Entry'!B11)</f>
        <v>Petitions, total N=34</v>
      </c>
      <c r="B10" s="157">
        <f>'Data Entry'!D11/'Data Entry'!B11</f>
        <v>2.9411764705882353E-2</v>
      </c>
      <c r="C10" s="157">
        <f>'Data Entry'!E11/'Data Entry'!B11</f>
        <v>0</v>
      </c>
      <c r="D10" s="157">
        <f>'Data Entry'!F11/'Data Entry'!B11</f>
        <v>0</v>
      </c>
      <c r="E10" s="157">
        <f>'Data Entry'!G11/'Data Entry'!B11</f>
        <v>0</v>
      </c>
      <c r="F10" s="157">
        <f>'Data Entry'!H11/'Data Entry'!B11</f>
        <v>0</v>
      </c>
      <c r="G10" s="157">
        <f>'Data Entry'!I11/'Data Entry'!B11</f>
        <v>2.9411764705882353E-2</v>
      </c>
      <c r="H10" s="157">
        <f>SUM(D10:G10)/'Data Entry'!B11</f>
        <v>8.6505190311418688E-4</v>
      </c>
      <c r="I10" s="157">
        <f>'Data Entry'!C11/'Data Entry'!B11</f>
        <v>0.91176470588235292</v>
      </c>
      <c r="K10" s="97" t="str">
        <f t="shared" si="0"/>
        <v>Petitions, total N=34</v>
      </c>
      <c r="L10">
        <f>I14/(SUM(B14:G14))</f>
        <v>9.4580467675378284</v>
      </c>
    </row>
    <row r="11" spans="1:12" x14ac:dyDescent="0.2">
      <c r="A11" s="132" t="str">
        <f>CONCATENATE("Detentions, total N=", 'Data Entry'!B10)</f>
        <v>Detentions, total N=6</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0.66666666666666663</v>
      </c>
      <c r="K11" s="97" t="str">
        <f t="shared" si="0"/>
        <v>Detentions, total N=6</v>
      </c>
      <c r="L11">
        <f>I14/(SUM(B14:G14))</f>
        <v>9.4580467675378284</v>
      </c>
    </row>
    <row r="12" spans="1:12" x14ac:dyDescent="0.2">
      <c r="A12" s="132" t="str">
        <f>CONCATENATE("Referrals, total N=", 'Data Entry'!B8)</f>
        <v>Referrals, total N=104</v>
      </c>
      <c r="B12" s="157">
        <f>'Data Entry'!D8/'Data Entry'!B8</f>
        <v>4.807692307692308E-2</v>
      </c>
      <c r="C12" s="157">
        <f>'Data Entry'!E8/'Data Entry'!B8</f>
        <v>0</v>
      </c>
      <c r="D12" s="157">
        <f>'Data Entry'!F8/'Data Entry'!B8</f>
        <v>0</v>
      </c>
      <c r="E12" s="157">
        <f>'Data Entry'!G8/'Data Entry'!B8</f>
        <v>0</v>
      </c>
      <c r="F12" s="157">
        <f>'Data Entry'!H8/'Data Entry'!B8</f>
        <v>0</v>
      </c>
      <c r="G12" s="157">
        <f>'Data Entry'!I8/'Data Entry'!B8</f>
        <v>3.8461538461538464E-2</v>
      </c>
      <c r="H12" s="157">
        <f>SUM(D12:G12)/'Data Entry'!B8</f>
        <v>3.6982248520710064E-4</v>
      </c>
      <c r="I12" s="157">
        <f>'Data Entry'!C8/'Data Entry'!B8</f>
        <v>0.85576923076923073</v>
      </c>
      <c r="K12" s="97" t="str">
        <f t="shared" si="0"/>
        <v>Referrals, total N=104</v>
      </c>
      <c r="L12">
        <f>I14/(SUM(B14:G14))</f>
        <v>9.4580467675378284</v>
      </c>
    </row>
    <row r="13" spans="1:12" x14ac:dyDescent="0.2">
      <c r="A13" s="132" t="str">
        <f>CONCATENATE("Arrests, total N=", 'Data Entry'!B7)</f>
        <v>Arrests, total N=43</v>
      </c>
      <c r="B13" s="157">
        <f>'Data Entry'!D7/'Data Entry'!B7</f>
        <v>2.3255813953488372E-2</v>
      </c>
      <c r="C13" s="157">
        <f>'Data Entry'!E7/'Data Entry'!B7</f>
        <v>0</v>
      </c>
      <c r="D13" s="157">
        <f>'Data Entry'!F7/'Data Entry'!B7</f>
        <v>0</v>
      </c>
      <c r="E13" s="157">
        <f>'Data Entry'!G7/'Data Entry'!B7</f>
        <v>0</v>
      </c>
      <c r="F13" s="157">
        <f>'Data Entry'!H7/'Data Entry'!B7</f>
        <v>4.6511627906976744E-2</v>
      </c>
      <c r="G13" s="157">
        <f>'Data Entry'!I7/'Data Entry'!B7</f>
        <v>0</v>
      </c>
      <c r="H13" s="157">
        <f>SUM(D13:G13)/'Data Entry'!B7</f>
        <v>1.081665765278529E-3</v>
      </c>
      <c r="I13" s="157">
        <f>'Data Entry'!C7/'Data Entry'!B7</f>
        <v>0.83720930232558144</v>
      </c>
      <c r="K13" s="97" t="str">
        <f t="shared" si="0"/>
        <v>Arrests, total N=43</v>
      </c>
      <c r="L13">
        <f>I14/(SUM(B14:G14))</f>
        <v>9.4580467675378284</v>
      </c>
    </row>
    <row r="14" spans="1:12" x14ac:dyDescent="0.2">
      <c r="A14" s="132" t="str">
        <f>CONCATENATE("Population, total N=", 'Data Entry'!B6)</f>
        <v>Population, total N=7603</v>
      </c>
      <c r="B14" s="157">
        <f>'Data Entry'!D6/'Data Entry'!B6</f>
        <v>2.0386689464684991E-2</v>
      </c>
      <c r="C14" s="157">
        <f>'Data Entry'!E6/'Data Entry'!B6</f>
        <v>4.9848743916874917E-2</v>
      </c>
      <c r="D14" s="157">
        <f>'Data Entry'!F6/'Data Entry'!B6</f>
        <v>1.1837432592397737E-2</v>
      </c>
      <c r="E14" s="157">
        <f>'Data Entry'!G6/'Data Entry'!B6</f>
        <v>0</v>
      </c>
      <c r="F14" s="157">
        <f>'Data Entry'!H6/'Data Entry'!B6</f>
        <v>1.3547283966855188E-2</v>
      </c>
      <c r="G14" s="157">
        <f>'Data Entry'!I6/'Data Entry'!B6</f>
        <v>0</v>
      </c>
      <c r="H14" s="157">
        <f>SUM(D14:G14)/'Data Entry'!B6</f>
        <v>3.338776346080879E-6</v>
      </c>
      <c r="I14" s="157">
        <f>'Data Entry'!C6/'Data Entry'!B6</f>
        <v>0.9043798500591872</v>
      </c>
      <c r="K14" s="97" t="str">
        <f t="shared" si="0"/>
        <v>Population, total N=7603</v>
      </c>
      <c r="L14">
        <f>I14/(SUM(B14:G14))</f>
        <v>9.4580467675378284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Grand Traverse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6876</v>
      </c>
      <c r="D7" s="105">
        <f>'Data Entry'!D6</f>
        <v>155</v>
      </c>
      <c r="E7" s="106"/>
      <c r="F7" s="107">
        <f>'Data Entry'!E6</f>
        <v>379</v>
      </c>
      <c r="G7" s="106"/>
      <c r="H7" s="107">
        <f>'Data Entry'!F6</f>
        <v>90</v>
      </c>
      <c r="I7" s="106"/>
      <c r="J7" s="107">
        <f>'Data Entry'!J6</f>
        <v>727</v>
      </c>
      <c r="K7" s="108"/>
    </row>
    <row r="8" spans="2:30" s="1" customFormat="1" ht="15" customHeight="1" x14ac:dyDescent="0.3">
      <c r="B8" s="125" t="s">
        <v>8</v>
      </c>
      <c r="C8" s="104">
        <f>'Data Entry'!C7</f>
        <v>36</v>
      </c>
      <c r="D8" s="105">
        <f>'Data Entry'!D7</f>
        <v>1</v>
      </c>
      <c r="E8" s="106" t="str">
        <f>'Black or African-American'!$G7</f>
        <v>**</v>
      </c>
      <c r="F8" s="107">
        <f>'Data Entry'!E7</f>
        <v>0</v>
      </c>
      <c r="G8" s="106" t="str">
        <f>Hispanic!G7</f>
        <v>**</v>
      </c>
      <c r="H8" s="107">
        <f>'Data Entry'!F7</f>
        <v>0</v>
      </c>
      <c r="I8" s="106" t="str">
        <f>Asian!G7</f>
        <v>**</v>
      </c>
      <c r="J8" s="107">
        <f>'Data Entry'!J7</f>
        <v>3</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89</v>
      </c>
      <c r="D9" s="109">
        <f>'Data Entry'!D8</f>
        <v>5</v>
      </c>
      <c r="E9" s="110" t="str">
        <f>'Black or African-American'!$G8</f>
        <v>**</v>
      </c>
      <c r="F9" s="111">
        <f>'Data Entry'!E8</f>
        <v>0</v>
      </c>
      <c r="G9" s="110" t="str">
        <f>Hispanic!G8</f>
        <v>**</v>
      </c>
      <c r="H9" s="111">
        <f>'Data Entry'!F8</f>
        <v>0</v>
      </c>
      <c r="I9" s="110" t="str">
        <f>Asian!G8</f>
        <v>**</v>
      </c>
      <c r="J9" s="111">
        <f>'Data Entry'!J8</f>
        <v>9</v>
      </c>
      <c r="K9" s="112" t="str">
        <f>'All Minorities'!G8</f>
        <v>**</v>
      </c>
      <c r="L9"/>
      <c r="N9" s="1">
        <f>'Black or African-American'!L8</f>
        <v>40</v>
      </c>
      <c r="O9" s="1">
        <f>Hispanic!L8</f>
        <v>40</v>
      </c>
      <c r="P9" s="1">
        <f>Asian!L8</f>
        <v>40</v>
      </c>
      <c r="Q9" s="1">
        <f>Hawaiian!L8</f>
        <v>139</v>
      </c>
      <c r="R9" s="1">
        <f>'Am Indian'!L8</f>
        <v>40</v>
      </c>
      <c r="S9" s="1">
        <f>'Other - Mixed'!L8</f>
        <v>119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31</v>
      </c>
      <c r="D12" s="113">
        <f>'Data Entry'!D11</f>
        <v>1</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48</v>
      </c>
      <c r="D13" s="109">
        <f>'Data Entry'!D12</f>
        <v>2</v>
      </c>
      <c r="E13" s="110" t="str">
        <f>'Black or African-American'!$G12</f>
        <v>**</v>
      </c>
      <c r="F13" s="111">
        <f>'Data Entry'!E12</f>
        <v>0</v>
      </c>
      <c r="G13" s="110" t="str">
        <f>Hispanic!G12</f>
        <v>--</v>
      </c>
      <c r="H13" s="111">
        <f>'Data Entry'!F12</f>
        <v>0</v>
      </c>
      <c r="I13" s="110" t="str">
        <f>Asian!G12</f>
        <v>--</v>
      </c>
      <c r="J13" s="111">
        <f>'Data Entry'!J12</f>
        <v>4</v>
      </c>
      <c r="K13" s="112"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52</v>
      </c>
      <c r="D14" s="113">
        <f>'Data Entry'!D13</f>
        <v>3</v>
      </c>
      <c r="E14" s="114" t="str">
        <f>'Black or African-American'!$G13</f>
        <v>**</v>
      </c>
      <c r="F14" s="115">
        <f>'Data Entry'!E13</f>
        <v>0</v>
      </c>
      <c r="G14" s="114" t="str">
        <f>Hispanic!G13</f>
        <v>--</v>
      </c>
      <c r="H14" s="115">
        <f>'Data Entry'!F13</f>
        <v>0</v>
      </c>
      <c r="I14" s="114" t="str">
        <f>Asian!G13</f>
        <v>--</v>
      </c>
      <c r="J14" s="115">
        <f>'Data Entry'!J13</f>
        <v>4</v>
      </c>
      <c r="K14" s="116" t="str">
        <f>'All Minorities'!G13</f>
        <v>**</v>
      </c>
      <c r="L14"/>
      <c r="N14" s="1">
        <f>'Black or African-American'!L13</f>
        <v>40</v>
      </c>
      <c r="O14" s="1" t="e">
        <f>Hispanic!L13</f>
        <v>#VALUE!</v>
      </c>
      <c r="P14" s="1" t="e">
        <f>Asian!L13</f>
        <v>#VALUE!</v>
      </c>
      <c r="Q14" s="1" t="e">
        <f>Hawaiian!L13</f>
        <v>#VALUE!</v>
      </c>
      <c r="R14" s="1" t="e">
        <f>'Am Indian'!L13</f>
        <v>#VALUE!</v>
      </c>
      <c r="S14" s="1">
        <f>'Other - Mixed'!L13</f>
        <v>119</v>
      </c>
      <c r="T14" s="1">
        <f>'All Minorities'!L13</f>
        <v>40</v>
      </c>
      <c r="W14" s="135"/>
      <c r="X14" s="135"/>
      <c r="Y14" s="135"/>
      <c r="Z14" s="135"/>
      <c r="AA14" s="135"/>
      <c r="AB14" s="135"/>
      <c r="AC14" s="135"/>
      <c r="AD14" s="135"/>
    </row>
    <row r="15" spans="2:30" s="1" customFormat="1" ht="33" x14ac:dyDescent="0.3">
      <c r="B15" s="130" t="s">
        <v>123</v>
      </c>
      <c r="C15" s="104">
        <f>'Data Entry'!C14</f>
        <v>23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Grand Traverse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Entry'!D6</f>
        <v>155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Entry'!D7</f>
        <v>1</v>
      </c>
      <c r="F7" s="34">
        <f>IF((AND($E$7&gt;0,$D$66&gt;0)),($E$7/$D$66),0)</f>
        <v>6.4516129032258069</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154</v>
      </c>
      <c r="P7" s="42">
        <f t="shared" ref="P7:P15" si="2">C7</f>
        <v>36</v>
      </c>
      <c r="Q7" s="42">
        <f>C6-C7</f>
        <v>6840</v>
      </c>
      <c r="R7" s="42">
        <f t="shared" ref="R7:R15" si="3">SUM(N7:Q7)</f>
        <v>7031</v>
      </c>
      <c r="S7" s="30">
        <f t="shared" ref="S7:S15" si="4">R7*((((N7*Q7)-(O7*P7))^2))</f>
        <v>11809380096</v>
      </c>
      <c r="T7" s="30">
        <f t="shared" ref="T7:T15" si="5">(N7+O7)*(P7+Q7)*(N7+P7)*(O7+Q7)</f>
        <v>275800416840</v>
      </c>
      <c r="U7" s="31">
        <f t="shared" ref="U7:U15" si="6">IF((S7&gt;0),S7/T7,"- -")</f>
        <v>4.2818572325983725E-2</v>
      </c>
    </row>
    <row r="8" spans="2:21" ht="18" customHeight="1" x14ac:dyDescent="0.25">
      <c r="B8" s="32" t="str">
        <f>'Data Entry'!A8</f>
        <v>3. Refer to Juvenile Court</v>
      </c>
      <c r="C8" s="33">
        <f>'Data Entry'!C8</f>
        <v>89</v>
      </c>
      <c r="D8" s="34">
        <f>IF((AND(C67&gt;0,C8&gt;0)),(C8/C67),0)</f>
        <v>247.22222222222223</v>
      </c>
      <c r="E8" s="33">
        <f>'Data Entry'!D8</f>
        <v>5</v>
      </c>
      <c r="F8" s="34">
        <f>IF((AND($E$8&gt;0,$D$67&gt;0)),($E8/$D67),0)</f>
        <v>500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5</v>
      </c>
      <c r="O8" s="42">
        <f>((D67*L67)-E8)+0.05</f>
        <v>-3.95</v>
      </c>
      <c r="P8" s="42">
        <f t="shared" si="2"/>
        <v>89</v>
      </c>
      <c r="Q8" s="42">
        <f>(C$67*L67)-C8</f>
        <v>-53</v>
      </c>
      <c r="R8" s="42">
        <f t="shared" si="3"/>
        <v>37.049999999999997</v>
      </c>
      <c r="S8" s="30">
        <f t="shared" si="4"/>
        <v>277537.93762500008</v>
      </c>
      <c r="T8" s="30">
        <f t="shared" si="5"/>
        <v>-202354.74</v>
      </c>
      <c r="U8" s="31">
        <f t="shared" si="6"/>
        <v>-1.3715415691522723</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v>
      </c>
      <c r="P9" s="42">
        <f t="shared" si="2"/>
        <v>0</v>
      </c>
      <c r="Q9" s="42">
        <f>(C$68*L68)-C9</f>
        <v>89</v>
      </c>
      <c r="R9" s="42">
        <f t="shared" si="3"/>
        <v>94</v>
      </c>
      <c r="S9" s="30">
        <f t="shared" si="4"/>
        <v>0</v>
      </c>
      <c r="T9" s="30">
        <f t="shared" si="5"/>
        <v>0</v>
      </c>
      <c r="U9" s="31" t="str">
        <f t="shared" si="6"/>
        <v>- -</v>
      </c>
    </row>
    <row r="10" spans="2:21" ht="18" customHeight="1" x14ac:dyDescent="0.25">
      <c r="B10" s="32" t="str">
        <f>'Data Entry'!A10</f>
        <v>5. Cases Involving Secure Detention</v>
      </c>
      <c r="C10" s="33">
        <f>'Data Entry'!C10</f>
        <v>4</v>
      </c>
      <c r="D10" s="34">
        <f>IF(((AND(C68&gt;0,C10&gt;0))),(C10/(C68)),0)</f>
        <v>4.4943820224719104</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4</v>
      </c>
      <c r="Q10" s="42">
        <f>(C$68*L68)-C10</f>
        <v>85</v>
      </c>
      <c r="R10" s="42">
        <f t="shared" si="3"/>
        <v>94</v>
      </c>
      <c r="S10" s="30">
        <f t="shared" si="4"/>
        <v>37600</v>
      </c>
      <c r="T10" s="30">
        <f t="shared" si="5"/>
        <v>160200</v>
      </c>
      <c r="U10" s="31">
        <f t="shared" si="6"/>
        <v>0.23470661672908863</v>
      </c>
    </row>
    <row r="11" spans="2:21" ht="18" customHeight="1" x14ac:dyDescent="0.25">
      <c r="B11" s="32" t="str">
        <f>'Data Entry'!A11</f>
        <v>6. Cases Petitioned (Charge Filed)</v>
      </c>
      <c r="C11" s="33">
        <f>'Data Entry'!C11</f>
        <v>31</v>
      </c>
      <c r="D11" s="34">
        <f>IF(((AND(C68&gt;0,C11&gt;0))),(C11/(C68)),0)</f>
        <v>34.831460674157306</v>
      </c>
      <c r="E11" s="33">
        <f>'Data Entry'!D11</f>
        <v>1</v>
      </c>
      <c r="F11" s="34">
        <f>IF(((AND($E$11&gt;0,$D$68&gt;0))),($E$11/($D$68)),0)</f>
        <v>20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4</v>
      </c>
      <c r="P11" s="42">
        <f t="shared" si="2"/>
        <v>31</v>
      </c>
      <c r="Q11" s="42">
        <f>(C$68*L68)-C11</f>
        <v>58</v>
      </c>
      <c r="R11" s="42">
        <f t="shared" si="3"/>
        <v>94</v>
      </c>
      <c r="S11" s="30">
        <f t="shared" si="4"/>
        <v>409464</v>
      </c>
      <c r="T11" s="30">
        <f t="shared" si="5"/>
        <v>882880</v>
      </c>
      <c r="U11" s="31">
        <f t="shared" si="6"/>
        <v>0.46378216745197537</v>
      </c>
    </row>
    <row r="12" spans="2:21" ht="18" customHeight="1" x14ac:dyDescent="0.25">
      <c r="B12" s="32" t="str">
        <f>'Data Entry'!A12</f>
        <v>7. Cases Resulting in Delinquent Findings</v>
      </c>
      <c r="C12" s="33">
        <f>'Data Entry'!C12</f>
        <v>48</v>
      </c>
      <c r="D12" s="34">
        <f>IF(((AND(C69&gt;0,C12&gt;0))),(C12/(C69)),0)</f>
        <v>154.83870967741936</v>
      </c>
      <c r="E12" s="33">
        <f>'Data Entry'!D12</f>
        <v>2</v>
      </c>
      <c r="F12" s="34">
        <f>IF(((AND($D$69&gt;0,$E$12&gt;0))),(E12/(D69)),0)</f>
        <v>200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48</v>
      </c>
      <c r="Q12" s="42">
        <f>(C69*L69)-C12</f>
        <v>-17</v>
      </c>
      <c r="R12" s="42">
        <f t="shared" si="3"/>
        <v>32</v>
      </c>
      <c r="S12" s="30">
        <f t="shared" si="4"/>
        <v>6272</v>
      </c>
      <c r="T12" s="30">
        <f t="shared" si="5"/>
        <v>-27900</v>
      </c>
      <c r="U12" s="31">
        <f t="shared" si="6"/>
        <v>-0.22480286738351254</v>
      </c>
    </row>
    <row r="13" spans="2:21" ht="18" customHeight="1" x14ac:dyDescent="0.25">
      <c r="B13" s="32" t="str">
        <f>'Data Entry'!A13</f>
        <v>8. Cases Resulting in Probation Placement</v>
      </c>
      <c r="C13" s="33">
        <f>'Data Entry'!C13</f>
        <v>52</v>
      </c>
      <c r="D13" s="34">
        <f>IF(((AND(C70&gt;0,C13&gt;0))),(C13/(C70)),0)</f>
        <v>108.33333333333334</v>
      </c>
      <c r="E13" s="33">
        <f>'Data Entry'!D13</f>
        <v>3</v>
      </c>
      <c r="F13" s="34">
        <f>IF(((AND($D$70&gt;0,$E$13&gt;0))),($E$13/($D$70)),0)</f>
        <v>150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3</v>
      </c>
      <c r="O13" s="42">
        <f>(D70*L70)-E13</f>
        <v>-1</v>
      </c>
      <c r="P13" s="42">
        <f t="shared" si="2"/>
        <v>52</v>
      </c>
      <c r="Q13" s="42">
        <f>(C70*L70)-C13</f>
        <v>-4</v>
      </c>
      <c r="R13" s="42">
        <f t="shared" si="3"/>
        <v>50</v>
      </c>
      <c r="S13" s="30">
        <f t="shared" si="4"/>
        <v>80000</v>
      </c>
      <c r="T13" s="30">
        <f t="shared" si="5"/>
        <v>-26400</v>
      </c>
      <c r="U13" s="31">
        <f t="shared" si="6"/>
        <v>-3.0303030303030303</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23</v>
      </c>
      <c r="Q14" s="42">
        <f>(C70*L70)-C14</f>
        <v>25</v>
      </c>
      <c r="R14" s="42">
        <f t="shared" si="3"/>
        <v>50</v>
      </c>
      <c r="S14" s="30">
        <f t="shared" si="4"/>
        <v>105800</v>
      </c>
      <c r="T14" s="30">
        <f t="shared" si="5"/>
        <v>59616</v>
      </c>
      <c r="U14" s="31">
        <f t="shared" si="6"/>
        <v>1.7746913580246915</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31</v>
      </c>
      <c r="R15" s="42">
        <f t="shared" si="3"/>
        <v>32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0.155</v>
      </c>
      <c r="E42" s="56">
        <f>MAX(C42:D42)</f>
        <v>6.8760000000000003</v>
      </c>
      <c r="G42" s="1" t="str">
        <f>B42</f>
        <v>per 1000 youth</v>
      </c>
      <c r="L42" s="57">
        <v>1000</v>
      </c>
      <c r="M42" s="57"/>
      <c r="R42" s="49"/>
    </row>
    <row r="43" spans="2:18" ht="15" hidden="1" customHeight="1" x14ac:dyDescent="0.25">
      <c r="B43" s="49" t="s">
        <v>87</v>
      </c>
      <c r="C43" s="56">
        <f>C7/100</f>
        <v>0.36</v>
      </c>
      <c r="D43" s="56">
        <f>E7/100</f>
        <v>0.01</v>
      </c>
      <c r="E43" s="56">
        <f>MAX(C43:D43,0)</f>
        <v>0.36</v>
      </c>
      <c r="G43" s="1" t="str">
        <f>B43</f>
        <v>per 100 arrests</v>
      </c>
      <c r="L43" s="57">
        <v>100</v>
      </c>
      <c r="M43" s="57"/>
      <c r="R43" s="49"/>
    </row>
    <row r="44" spans="2:18" ht="15" hidden="1" customHeight="1" x14ac:dyDescent="0.25">
      <c r="B44" s="49" t="s">
        <v>88</v>
      </c>
      <c r="C44" s="56">
        <f>C8/100</f>
        <v>0.89</v>
      </c>
      <c r="D44" s="56">
        <f>E8/100</f>
        <v>0.05</v>
      </c>
      <c r="E44" s="56">
        <f>MAX(C44:D44,0)</f>
        <v>0.89</v>
      </c>
      <c r="G44" s="1" t="str">
        <f>B44</f>
        <v>per 100 referrals</v>
      </c>
      <c r="L44" s="57">
        <v>100</v>
      </c>
      <c r="M44" s="57"/>
      <c r="R44" s="49"/>
    </row>
    <row r="45" spans="2:18" ht="15" hidden="1" customHeight="1" x14ac:dyDescent="0.25">
      <c r="B45" s="49" t="s">
        <v>89</v>
      </c>
      <c r="C45" s="49">
        <f>C11/100</f>
        <v>0.31</v>
      </c>
      <c r="D45" s="49">
        <f>E11/100</f>
        <v>0.01</v>
      </c>
      <c r="E45" s="56">
        <f>MAX(C45:D45,0)</f>
        <v>0.31</v>
      </c>
      <c r="G45" s="1" t="str">
        <f>B45</f>
        <v>per 100 youth petitioned</v>
      </c>
      <c r="L45" s="57">
        <v>100</v>
      </c>
      <c r="M45" s="57"/>
      <c r="R45" s="49"/>
    </row>
    <row r="46" spans="2:18" ht="15" hidden="1" customHeight="1" x14ac:dyDescent="0.25">
      <c r="B46" s="49" t="s">
        <v>90</v>
      </c>
      <c r="C46" s="49">
        <f>C12/100</f>
        <v>0.48</v>
      </c>
      <c r="D46" s="49">
        <f>E12/100</f>
        <v>0.02</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0.155</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0.36</v>
      </c>
      <c r="D49" s="49">
        <f t="shared" si="9"/>
        <v>0.01</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0.05</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0.01</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0.02</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0.155</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0.01</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0.05</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0.01</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0.02</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0.155</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0.01</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0.05</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0.01</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0.02</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0.155</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0.01</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0.05</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0.01</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0.02</v>
      </c>
      <c r="E70" s="56">
        <f>MAX(C70:D70)</f>
        <v>0.48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Grand Traverse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Entry'!F6</f>
        <v>90</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90</v>
      </c>
      <c r="P7" s="42">
        <f t="shared" ref="P7:P15" si="4">C7</f>
        <v>36</v>
      </c>
      <c r="Q7" s="42">
        <f>C6-C7</f>
        <v>6840</v>
      </c>
      <c r="R7" s="42">
        <f t="shared" ref="R7:R15" si="5">SUM(N7:Q7)</f>
        <v>6966</v>
      </c>
      <c r="S7" s="30">
        <f t="shared" ref="S7:S15" si="6">R7*((((N7*Q7)-(O7*P7))^2))</f>
        <v>73126281600</v>
      </c>
      <c r="T7" s="30">
        <f t="shared" ref="T7:T15" si="7">(N7+O7)*(P7+Q7)*(N7+P7)*(O7+Q7)</f>
        <v>154388203200</v>
      </c>
      <c r="U7" s="31">
        <f t="shared" ref="U7:U15" si="8">IF((S7&gt;0),S7/T7,"- -")</f>
        <v>0.47365200244781397</v>
      </c>
    </row>
    <row r="8" spans="2:21" ht="18" customHeight="1" x14ac:dyDescent="0.25">
      <c r="B8" s="32" t="str">
        <f>'Data Entry'!A8</f>
        <v>3. Refer to Juvenile Court</v>
      </c>
      <c r="C8" s="33">
        <f>'Data Entry'!C8</f>
        <v>89</v>
      </c>
      <c r="D8" s="34">
        <f>IF((AND(C67&gt;0,C8&gt;0)),(C8/C67),0)</f>
        <v>247.22222222222223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89</v>
      </c>
      <c r="Q8" s="42">
        <f>(C$67*L67)-C8</f>
        <v>-53</v>
      </c>
      <c r="R8" s="42">
        <f t="shared" si="5"/>
        <v>36.049999999999997</v>
      </c>
      <c r="S8" s="30">
        <f t="shared" si="6"/>
        <v>713.88012500000002</v>
      </c>
      <c r="T8" s="30">
        <f t="shared" si="7"/>
        <v>-8482.590000000002</v>
      </c>
      <c r="U8" s="31">
        <f t="shared" si="8"/>
        <v>-8.4158273003882053E-2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89</v>
      </c>
      <c r="R9" s="42">
        <f t="shared" si="5"/>
        <v>89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4.4943820224719104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85</v>
      </c>
      <c r="R10" s="42">
        <f t="shared" si="5"/>
        <v>89</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34.831460674157306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58</v>
      </c>
      <c r="R11" s="42">
        <f t="shared" si="5"/>
        <v>89</v>
      </c>
      <c r="S11" s="30">
        <f t="shared" si="6"/>
        <v>0</v>
      </c>
      <c r="T11" s="30">
        <f t="shared" si="7"/>
        <v>0</v>
      </c>
      <c r="U11" s="31" t="str">
        <f t="shared" si="8"/>
        <v>- -</v>
      </c>
    </row>
    <row r="12" spans="2:21" ht="18" customHeight="1" x14ac:dyDescent="0.25">
      <c r="B12" s="32" t="str">
        <f>'Data Entry'!A12</f>
        <v>7. Cases Resulting in Delinquent Findings</v>
      </c>
      <c r="C12" s="33">
        <f>'Data Entry'!C12</f>
        <v>48</v>
      </c>
      <c r="D12" s="34">
        <f>IF(((AND(C69&gt;0,C12&gt;0))),(C12/(C69)),0)</f>
        <v>154.83870967741936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-17</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52</v>
      </c>
      <c r="D13" s="34">
        <f>IF(((AND(C70&gt;0,C13&gt;0))),(C13/(C70)),0)</f>
        <v>108.33333333333334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-4</v>
      </c>
      <c r="R13" s="42">
        <f t="shared" si="5"/>
        <v>48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23</v>
      </c>
      <c r="Q14" s="42">
        <f>(C70*L70)-C14</f>
        <v>25</v>
      </c>
      <c r="R14" s="42">
        <f t="shared" si="5"/>
        <v>48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0.09</v>
      </c>
      <c r="E42" s="56">
        <f>MAX(C42:D42)</f>
        <v>6.8760000000000003</v>
      </c>
      <c r="G42" s="1" t="str">
        <f>B42</f>
        <v>per 1000 youth</v>
      </c>
      <c r="L42" s="57">
        <v>1000</v>
      </c>
      <c r="M42" s="57"/>
      <c r="R42" s="49"/>
    </row>
    <row r="43" spans="2:18" ht="15" hidden="1" customHeight="1" x14ac:dyDescent="0.25">
      <c r="B43" s="49" t="s">
        <v>87</v>
      </c>
      <c r="C43" s="56">
        <f>C7/100</f>
        <v>0.36</v>
      </c>
      <c r="D43" s="56">
        <f>E7/100</f>
        <v>0</v>
      </c>
      <c r="E43" s="56">
        <f>MAX(C43:D43,0)</f>
        <v>0.36</v>
      </c>
      <c r="G43" s="1" t="str">
        <f>B43</f>
        <v>per 100 arrests</v>
      </c>
      <c r="L43" s="57">
        <v>100</v>
      </c>
      <c r="M43" s="57"/>
      <c r="R43" s="49"/>
    </row>
    <row r="44" spans="2:18" ht="15" hidden="1" customHeight="1" x14ac:dyDescent="0.25">
      <c r="B44" s="49" t="s">
        <v>88</v>
      </c>
      <c r="C44" s="56">
        <f>C8/100</f>
        <v>0.89</v>
      </c>
      <c r="D44" s="56">
        <f>E8/100</f>
        <v>0</v>
      </c>
      <c r="E44" s="56">
        <f>MAX(C44:D44,0)</f>
        <v>0.89</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0.48</v>
      </c>
      <c r="D46" s="49">
        <f>E12/100</f>
        <v>0</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0.09</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0.09</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0.09</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0.09</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Grand Traverse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Entry'!E6</f>
        <v>379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379</v>
      </c>
      <c r="P7" s="42">
        <f t="shared" ref="P7:P15" si="4">C7</f>
        <v>36</v>
      </c>
      <c r="Q7" s="42">
        <f>C6-C7</f>
        <v>6840</v>
      </c>
      <c r="R7" s="42">
        <f t="shared" ref="R7:R15" si="5">SUM(N7:Q7)</f>
        <v>7255</v>
      </c>
      <c r="S7" s="30">
        <f t="shared" ref="S7:S15" si="6">R7*((((N7*Q7)-(O7*P7))^2))</f>
        <v>1350581629680</v>
      </c>
      <c r="T7" s="30">
        <f t="shared" ref="T7:T15" si="7">(N7+O7)*(P7+Q7)*(N7+P7)*(O7+Q7)</f>
        <v>677258743536</v>
      </c>
      <c r="U7" s="31">
        <f t="shared" ref="U7:U15" si="8">IF((S7&gt;0),S7/T7,"- -")</f>
        <v>1.9941885469481713</v>
      </c>
    </row>
    <row r="8" spans="2:21" ht="18" customHeight="1" x14ac:dyDescent="0.25">
      <c r="B8" s="32" t="str">
        <f>'Data Entry'!A8</f>
        <v>3. Refer to Juvenile Court</v>
      </c>
      <c r="C8" s="33">
        <f>'Data Entry'!C8</f>
        <v>89</v>
      </c>
      <c r="D8" s="34">
        <f>IF((AND(C67&gt;0,C8&gt;0)),(C8/C67),0)</f>
        <v>247.22222222222223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89</v>
      </c>
      <c r="Q8" s="42">
        <f>(C$67*L67)-C8</f>
        <v>-53</v>
      </c>
      <c r="R8" s="42">
        <f t="shared" si="5"/>
        <v>36.049999999999997</v>
      </c>
      <c r="S8" s="30">
        <f t="shared" si="6"/>
        <v>713.88012500000002</v>
      </c>
      <c r="T8" s="30">
        <f t="shared" si="7"/>
        <v>-8482.590000000002</v>
      </c>
      <c r="U8" s="31">
        <f t="shared" si="8"/>
        <v>-8.4158273003882053E-2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89</v>
      </c>
      <c r="R9" s="42">
        <f t="shared" si="5"/>
        <v>89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4.4943820224719104</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85</v>
      </c>
      <c r="R10" s="42">
        <f t="shared" si="5"/>
        <v>89</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34.831460674157306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58</v>
      </c>
      <c r="R11" s="42">
        <f t="shared" si="5"/>
        <v>89</v>
      </c>
      <c r="S11" s="30">
        <f t="shared" si="6"/>
        <v>0</v>
      </c>
      <c r="T11" s="30">
        <f t="shared" si="7"/>
        <v>0</v>
      </c>
      <c r="U11" s="31" t="str">
        <f t="shared" si="8"/>
        <v>- -</v>
      </c>
    </row>
    <row r="12" spans="2:21" ht="18" customHeight="1" x14ac:dyDescent="0.25">
      <c r="B12" s="32" t="str">
        <f>'Data Entry'!A12</f>
        <v>7. Cases Resulting in Delinquent Findings</v>
      </c>
      <c r="C12" s="33">
        <f>'Data Entry'!C12</f>
        <v>48</v>
      </c>
      <c r="D12" s="34">
        <f>IF(((AND(C69&gt;0,C12&gt;0))),(C12/(C69)),0)</f>
        <v>154.83870967741936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-17</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52</v>
      </c>
      <c r="D13" s="34">
        <f>IF(((AND(C70&gt;0,C13&gt;0))),(C13/(C70)),0)</f>
        <v>108.33333333333334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-4</v>
      </c>
      <c r="R13" s="42">
        <f t="shared" si="5"/>
        <v>48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23</v>
      </c>
      <c r="Q14" s="42">
        <f>(C70*L70)-C14</f>
        <v>25</v>
      </c>
      <c r="R14" s="42">
        <f t="shared" si="5"/>
        <v>48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0.379</v>
      </c>
      <c r="E42" s="56">
        <f>MAX(C42:D42)</f>
        <v>6.8760000000000003</v>
      </c>
      <c r="G42" s="1" t="str">
        <f>B42</f>
        <v>per 1000 youth</v>
      </c>
      <c r="L42" s="57">
        <v>1000</v>
      </c>
      <c r="M42" s="57"/>
      <c r="R42" s="49"/>
    </row>
    <row r="43" spans="2:18" ht="15" hidden="1" customHeight="1" x14ac:dyDescent="0.25">
      <c r="B43" s="49" t="s">
        <v>87</v>
      </c>
      <c r="C43" s="56">
        <f>C7/100</f>
        <v>0.36</v>
      </c>
      <c r="D43" s="56">
        <f>E7/100</f>
        <v>0</v>
      </c>
      <c r="E43" s="56">
        <f>MAX(C43:D43,0)</f>
        <v>0.36</v>
      </c>
      <c r="G43" s="1" t="str">
        <f>B43</f>
        <v>per 100 arrests</v>
      </c>
      <c r="L43" s="57">
        <v>100</v>
      </c>
      <c r="M43" s="57"/>
      <c r="R43" s="49"/>
    </row>
    <row r="44" spans="2:18" ht="15" hidden="1" customHeight="1" x14ac:dyDescent="0.25">
      <c r="B44" s="49" t="s">
        <v>88</v>
      </c>
      <c r="C44" s="56">
        <f>C8/100</f>
        <v>0.89</v>
      </c>
      <c r="D44" s="56">
        <f>E8/100</f>
        <v>0</v>
      </c>
      <c r="E44" s="56">
        <f>MAX(C44:D44,0)</f>
        <v>0.89</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0.48</v>
      </c>
      <c r="D46" s="49">
        <f>E12/100</f>
        <v>0</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0.379</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0.379</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0.379</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0.379</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Grand Traverse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36</v>
      </c>
      <c r="Q7" s="42">
        <f>C6-C7</f>
        <v>6840</v>
      </c>
      <c r="R7" s="42">
        <f t="shared" ref="R7:R15" si="5">SUM(N7:Q7)</f>
        <v>6876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89</v>
      </c>
      <c r="D8" s="34">
        <f>IF((AND(C67&gt;0,C8&gt;0)),(C8/C67),0)</f>
        <v>247.22222222222223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89</v>
      </c>
      <c r="Q8" s="42">
        <f>(C$67*L67)-C8</f>
        <v>-53</v>
      </c>
      <c r="R8" s="42">
        <f t="shared" si="5"/>
        <v>36.049999999999997</v>
      </c>
      <c r="S8" s="30">
        <f t="shared" si="6"/>
        <v>713.88012500000002</v>
      </c>
      <c r="T8" s="30">
        <f t="shared" si="7"/>
        <v>-8482.590000000002</v>
      </c>
      <c r="U8" s="31">
        <f t="shared" si="8"/>
        <v>-8.4158273003882053E-2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89</v>
      </c>
      <c r="R9" s="42">
        <f t="shared" si="5"/>
        <v>89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4.4943820224719104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85</v>
      </c>
      <c r="R10" s="42">
        <f t="shared" si="5"/>
        <v>89</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34.831460674157306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58</v>
      </c>
      <c r="R11" s="42">
        <f t="shared" si="5"/>
        <v>89</v>
      </c>
      <c r="S11" s="30">
        <f t="shared" si="6"/>
        <v>0</v>
      </c>
      <c r="T11" s="30">
        <f t="shared" si="7"/>
        <v>0</v>
      </c>
      <c r="U11" s="31" t="str">
        <f t="shared" si="8"/>
        <v>- -</v>
      </c>
    </row>
    <row r="12" spans="2:21" ht="18" customHeight="1" x14ac:dyDescent="0.25">
      <c r="B12" s="32" t="str">
        <f>'Data Entry'!A12</f>
        <v>7. Cases Resulting in Delinquent Findings</v>
      </c>
      <c r="C12" s="33">
        <f>'Data Entry'!C12</f>
        <v>48</v>
      </c>
      <c r="D12" s="34">
        <f>IF(((AND(C69&gt;0,C12&gt;0))),(C12/(C69)),0)</f>
        <v>154.83870967741936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-17</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52</v>
      </c>
      <c r="D13" s="34">
        <f>IF(((AND(C70&gt;0,C13&gt;0))),(C13/(C70)),0)</f>
        <v>108.33333333333334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-4</v>
      </c>
      <c r="R13" s="42">
        <f t="shared" si="5"/>
        <v>48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23</v>
      </c>
      <c r="Q14" s="42">
        <f>(C70*L70)-C14</f>
        <v>25</v>
      </c>
      <c r="R14" s="42">
        <f t="shared" si="5"/>
        <v>48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v>
      </c>
      <c r="E42" s="56">
        <f>MAX(C42:D42)</f>
        <v>6.8760000000000003</v>
      </c>
      <c r="G42" s="1" t="str">
        <f>B42</f>
        <v>per 1000 youth</v>
      </c>
      <c r="L42" s="57">
        <v>1000</v>
      </c>
      <c r="M42" s="57"/>
      <c r="R42" s="49"/>
    </row>
    <row r="43" spans="2:18" ht="15" hidden="1" customHeight="1" x14ac:dyDescent="0.25">
      <c r="B43" s="49" t="s">
        <v>87</v>
      </c>
      <c r="C43" s="56">
        <f>C7/100</f>
        <v>0.36</v>
      </c>
      <c r="D43" s="56">
        <f>E7/100</f>
        <v>0</v>
      </c>
      <c r="E43" s="56">
        <f>MAX(C43:D43,0)</f>
        <v>0.36</v>
      </c>
      <c r="G43" s="1" t="str">
        <f>B43</f>
        <v>per 100 arrests</v>
      </c>
      <c r="L43" s="57">
        <v>100</v>
      </c>
      <c r="M43" s="57"/>
      <c r="R43" s="49"/>
    </row>
    <row r="44" spans="2:18" ht="15" hidden="1" customHeight="1" x14ac:dyDescent="0.25">
      <c r="B44" s="49" t="s">
        <v>88</v>
      </c>
      <c r="C44" s="56">
        <f>C8/100</f>
        <v>0.89</v>
      </c>
      <c r="D44" s="56">
        <f>E8/100</f>
        <v>0</v>
      </c>
      <c r="E44" s="56">
        <f>MAX(C44:D44,0)</f>
        <v>0.89</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0.48</v>
      </c>
      <c r="D46" s="49">
        <f>E12/100</f>
        <v>0</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Grand Traverse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6876</v>
      </c>
      <c r="D6" s="34"/>
      <c r="E6" s="33">
        <f>'Data Entry'!H6</f>
        <v>103</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36</v>
      </c>
      <c r="D7" s="34">
        <f>IF((AND(C66&gt;0,C7&gt;0)),(C7/C66),0)</f>
        <v>5.2356020942408374</v>
      </c>
      <c r="E7" s="33">
        <f>'Data Entry'!H7</f>
        <v>2</v>
      </c>
      <c r="F7" s="34">
        <f>IF((AND($E$7&gt;0,$D$66&gt;0)),($E$7/$D$66),0)</f>
        <v>19.417475728155342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101</v>
      </c>
      <c r="P7" s="42">
        <f t="shared" ref="P7:P15" si="4">C7</f>
        <v>36</v>
      </c>
      <c r="Q7" s="42">
        <f>C6-C7</f>
        <v>6840</v>
      </c>
      <c r="R7" s="42">
        <f t="shared" ref="R7:R15" si="5">SUM(N7:Q7)</f>
        <v>6979</v>
      </c>
      <c r="S7" s="30">
        <f t="shared" ref="S7:S15" si="6">R7*((((N7*Q7)-(O7*P7))^2))</f>
        <v>704055031344</v>
      </c>
      <c r="T7" s="30">
        <f t="shared" ref="T7:T15" si="7">(N7+O7)*(P7+Q7)*(N7+P7)*(O7+Q7)</f>
        <v>186800800824</v>
      </c>
      <c r="U7" s="31">
        <f t="shared" ref="U7:U15" si="8">IF((S7&gt;0),S7/T7,"- -")</f>
        <v>3.7690150590272182</v>
      </c>
    </row>
    <row r="8" spans="2:21" ht="18" customHeight="1" x14ac:dyDescent="0.25">
      <c r="B8" s="32" t="str">
        <f>'Data Entry'!A8</f>
        <v>3. Refer to Juvenile Court</v>
      </c>
      <c r="C8" s="33">
        <f>'Data Entry'!C8</f>
        <v>89</v>
      </c>
      <c r="D8" s="34">
        <f>IF((AND(C67&gt;0,C8&gt;0)),(C8/C67),0)</f>
        <v>247.22222222222223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2.0499999999999998</v>
      </c>
      <c r="P8" s="42">
        <f t="shared" si="4"/>
        <v>89</v>
      </c>
      <c r="Q8" s="42">
        <f>(C$67*L67)-C8</f>
        <v>-53</v>
      </c>
      <c r="R8" s="42">
        <f t="shared" si="5"/>
        <v>38.049999999999997</v>
      </c>
      <c r="S8" s="30">
        <f t="shared" si="6"/>
        <v>1266608.4951249997</v>
      </c>
      <c r="T8" s="30">
        <f t="shared" si="7"/>
        <v>-334649.79000000004</v>
      </c>
      <c r="U8" s="31">
        <f t="shared" si="8"/>
        <v>-3.7848776033147953</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89</v>
      </c>
      <c r="R9" s="42">
        <f t="shared" si="5"/>
        <v>89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4.4943820224719104</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85</v>
      </c>
      <c r="R10" s="42">
        <f t="shared" si="5"/>
        <v>89</v>
      </c>
      <c r="S10" s="30">
        <f t="shared" si="6"/>
        <v>0</v>
      </c>
      <c r="T10" s="30">
        <f t="shared" si="7"/>
        <v>0</v>
      </c>
      <c r="U10" s="31" t="str">
        <f t="shared" si="8"/>
        <v>- -</v>
      </c>
    </row>
    <row r="11" spans="2:21" ht="18" customHeight="1" x14ac:dyDescent="0.25">
      <c r="B11" s="32" t="str">
        <f>'Data Entry'!A11</f>
        <v>6. Cases Petitioned (Charge Filed)</v>
      </c>
      <c r="C11" s="33">
        <f>'Data Entry'!C11</f>
        <v>31</v>
      </c>
      <c r="D11" s="34">
        <f>IF(((AND(C68&gt;0,C11&gt;0))),(C11/(C68)),0)</f>
        <v>34.831460674157306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58</v>
      </c>
      <c r="R11" s="42">
        <f t="shared" si="5"/>
        <v>89</v>
      </c>
      <c r="S11" s="30">
        <f t="shared" si="6"/>
        <v>0</v>
      </c>
      <c r="T11" s="30">
        <f t="shared" si="7"/>
        <v>0</v>
      </c>
      <c r="U11" s="31" t="str">
        <f t="shared" si="8"/>
        <v>- -</v>
      </c>
    </row>
    <row r="12" spans="2:21" ht="18" customHeight="1" x14ac:dyDescent="0.25">
      <c r="B12" s="32" t="str">
        <f>'Data Entry'!A12</f>
        <v>7. Cases Resulting in Delinquent Findings</v>
      </c>
      <c r="C12" s="33">
        <f>'Data Entry'!C12</f>
        <v>48</v>
      </c>
      <c r="D12" s="34">
        <f>IF(((AND(C69&gt;0,C12&gt;0))),(C12/(C69)),0)</f>
        <v>154.83870967741936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48</v>
      </c>
      <c r="Q12" s="42">
        <f>(C69*L69)-C12</f>
        <v>-17</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52</v>
      </c>
      <c r="D13" s="34">
        <f>IF(((AND(C70&gt;0,C13&gt;0))),(C13/(C70)),0)</f>
        <v>108.33333333333334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-4</v>
      </c>
      <c r="R13" s="42">
        <f t="shared" si="5"/>
        <v>48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23</v>
      </c>
      <c r="D14" s="34">
        <f>IF(((AND(C70&gt;0,C14&gt;0))), ((C14/(C70))),0)</f>
        <v>47.916666666666671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23</v>
      </c>
      <c r="Q14" s="42">
        <f>(C70*L70)-C14</f>
        <v>25</v>
      </c>
      <c r="R14" s="42">
        <f t="shared" si="5"/>
        <v>48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6.8760000000000003</v>
      </c>
      <c r="D42" s="56">
        <f>E6/1000</f>
        <v>0.10299999999999999</v>
      </c>
      <c r="E42" s="56">
        <f>MAX(C42:D42)</f>
        <v>6.8760000000000003</v>
      </c>
      <c r="G42" s="1" t="str">
        <f>B42</f>
        <v>per 1000 youth</v>
      </c>
      <c r="L42" s="57">
        <v>1000</v>
      </c>
      <c r="M42" s="57"/>
      <c r="R42" s="49"/>
    </row>
    <row r="43" spans="2:18" ht="15" hidden="1" customHeight="1" x14ac:dyDescent="0.25">
      <c r="B43" s="49" t="s">
        <v>87</v>
      </c>
      <c r="C43" s="56">
        <f>C7/100</f>
        <v>0.36</v>
      </c>
      <c r="D43" s="56">
        <f>E7/100</f>
        <v>0.02</v>
      </c>
      <c r="E43" s="56">
        <f>MAX(C43:D43,0)</f>
        <v>0.36</v>
      </c>
      <c r="G43" s="1" t="str">
        <f>B43</f>
        <v>per 100 arrests</v>
      </c>
      <c r="L43" s="57">
        <v>100</v>
      </c>
      <c r="M43" s="57"/>
      <c r="R43" s="49"/>
    </row>
    <row r="44" spans="2:18" ht="15" hidden="1" customHeight="1" x14ac:dyDescent="0.25">
      <c r="B44" s="49" t="s">
        <v>88</v>
      </c>
      <c r="C44" s="56">
        <f>C8/100</f>
        <v>0.89</v>
      </c>
      <c r="D44" s="56">
        <f>E8/100</f>
        <v>0</v>
      </c>
      <c r="E44" s="56">
        <f>MAX(C44:D44,0)</f>
        <v>0.89</v>
      </c>
      <c r="G44" s="1" t="str">
        <f>B44</f>
        <v>per 100 referrals</v>
      </c>
      <c r="L44" s="57">
        <v>100</v>
      </c>
      <c r="M44" s="57"/>
      <c r="R44" s="49"/>
    </row>
    <row r="45" spans="2:18" ht="15" hidden="1" customHeight="1" x14ac:dyDescent="0.25">
      <c r="B45" s="49" t="s">
        <v>89</v>
      </c>
      <c r="C45" s="49">
        <f>C11/100</f>
        <v>0.31</v>
      </c>
      <c r="D45" s="49">
        <f>E11/100</f>
        <v>0</v>
      </c>
      <c r="E45" s="56">
        <f>MAX(C45:D45,0)</f>
        <v>0.31</v>
      </c>
      <c r="G45" s="1" t="str">
        <f>B45</f>
        <v>per 100 youth petitioned</v>
      </c>
      <c r="L45" s="57">
        <v>100</v>
      </c>
      <c r="M45" s="57"/>
      <c r="R45" s="49"/>
    </row>
    <row r="46" spans="2:18" ht="15" hidden="1" customHeight="1" x14ac:dyDescent="0.25">
      <c r="B46" s="49" t="s">
        <v>90</v>
      </c>
      <c r="C46" s="49">
        <f>C12/100</f>
        <v>0.48</v>
      </c>
      <c r="D46" s="49">
        <f>E12/100</f>
        <v>0</v>
      </c>
      <c r="E46" s="56">
        <f>MAX(C46:D46)</f>
        <v>0.48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6.8760000000000003</v>
      </c>
      <c r="D48" s="56">
        <f>D42</f>
        <v>0.10299999999999999</v>
      </c>
      <c r="E48" s="56">
        <f>MAX(C48:D48)</f>
        <v>6.8760000000000003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0.36</v>
      </c>
      <c r="D49" s="49">
        <f t="shared" si="9"/>
        <v>0.02</v>
      </c>
      <c r="E49" s="49">
        <f>MAX(C49:D49)</f>
        <v>0.36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x14ac:dyDescent="0.25">
      <c r="B52" s="49" t="str">
        <f>IF(($E46&gt;0),B46,B45)</f>
        <v>per 100 youth found delinquent</v>
      </c>
      <c r="C52" s="49">
        <f>IF(($E46&gt;0),C46,C45)</f>
        <v>0.48</v>
      </c>
      <c r="D52" s="49">
        <f>IF(($E46&gt;0),D46,D45)</f>
        <v>0</v>
      </c>
      <c r="E52" s="56">
        <f>MAX(C52:D52)</f>
        <v>0.48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6.8760000000000003</v>
      </c>
      <c r="D54" s="56">
        <f>D48</f>
        <v>0.10299999999999999</v>
      </c>
      <c r="E54" s="56">
        <f>MAX(C54:D54)</f>
        <v>6.8760000000000003</v>
      </c>
      <c r="G54" s="1" t="str">
        <f>G48</f>
        <v>per 1000 youth</v>
      </c>
      <c r="L54" s="58">
        <f>L48</f>
        <v>1000</v>
      </c>
      <c r="M54" s="58"/>
    </row>
    <row r="55" spans="2:18" ht="15" hidden="1" customHeight="1" x14ac:dyDescent="0.25">
      <c r="B55" s="49" t="str">
        <f t="shared" ref="B55:D56" si="10">IF(($E49&gt;0),B49,B48)</f>
        <v>per 100 arrests</v>
      </c>
      <c r="C55" s="49">
        <f t="shared" si="10"/>
        <v>0.36</v>
      </c>
      <c r="D55" s="49">
        <f t="shared" si="10"/>
        <v>0.02</v>
      </c>
      <c r="E55" s="49">
        <f>MAX(C55:D55)</f>
        <v>0.36</v>
      </c>
      <c r="G55" s="1" t="str">
        <f>G49</f>
        <v>per 100 arrests</v>
      </c>
      <c r="L55" s="58">
        <f>IF(($E49&gt;0),L49,L48)</f>
        <v>100</v>
      </c>
      <c r="M55" s="58"/>
    </row>
    <row r="56" spans="2:18" ht="15" hidden="1" customHeight="1" x14ac:dyDescent="0.25">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x14ac:dyDescent="0.25">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youth found delinquent</v>
      </c>
      <c r="C58" s="49">
        <f>IF(($E52&gt;0),C52,C51)</f>
        <v>0.48</v>
      </c>
      <c r="D58" s="49">
        <f>IF(($E52&gt;0),D52,D51)</f>
        <v>0</v>
      </c>
      <c r="E58" s="56">
        <f>MAX(C58:D58)</f>
        <v>0.48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6.8760000000000003</v>
      </c>
      <c r="D60" s="56">
        <f>D54</f>
        <v>0.10299999999999999</v>
      </c>
      <c r="E60" s="56">
        <f>MAX(C60:D60)</f>
        <v>6.8760000000000003</v>
      </c>
      <c r="G60" s="1" t="str">
        <f>G54</f>
        <v>per 1000 youth</v>
      </c>
      <c r="L60" s="58">
        <f>L54</f>
        <v>1000</v>
      </c>
      <c r="M60" s="58"/>
    </row>
    <row r="61" spans="2:18" ht="15" hidden="1" customHeight="1" x14ac:dyDescent="0.25">
      <c r="B61" s="49" t="str">
        <f t="shared" ref="B61:D62" si="11">IF(($E55&gt;0),B55,B54)</f>
        <v>per 100 arrests</v>
      </c>
      <c r="C61" s="49">
        <f t="shared" si="11"/>
        <v>0.36</v>
      </c>
      <c r="D61" s="49">
        <f t="shared" si="11"/>
        <v>0.02</v>
      </c>
      <c r="E61" s="49">
        <f>MAX(C61:D61)</f>
        <v>0.36</v>
      </c>
      <c r="G61" s="1" t="str">
        <f>G55</f>
        <v>per 100 arrests</v>
      </c>
      <c r="L61" s="58">
        <f>IF(($E55&gt;0),L55,L54)</f>
        <v>100</v>
      </c>
      <c r="M61" s="58"/>
    </row>
    <row r="62" spans="2:18" ht="15" hidden="1" customHeight="1" x14ac:dyDescent="0.25">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x14ac:dyDescent="0.25">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youth found delinquent</v>
      </c>
      <c r="C64" s="49">
        <f>IF(($E58&gt;0),C58,C57)</f>
        <v>0.48</v>
      </c>
      <c r="D64" s="49">
        <f>IF(($E58&gt;0),D58,D57)</f>
        <v>0</v>
      </c>
      <c r="E64" s="56">
        <f>MAX(C64:D64)</f>
        <v>0.48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6.8760000000000003</v>
      </c>
      <c r="D66" s="56">
        <f>D60</f>
        <v>0.10299999999999999</v>
      </c>
      <c r="E66" s="56">
        <f>MAX(C66:D66)</f>
        <v>6.8760000000000003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0.36</v>
      </c>
      <c r="D67" s="49">
        <f t="shared" si="12"/>
        <v>0.02</v>
      </c>
      <c r="E67" s="49">
        <f>MAX(C67:D67)</f>
        <v>0.36</v>
      </c>
      <c r="G67" s="1" t="str">
        <f>G61</f>
        <v>per 100 arrests</v>
      </c>
      <c r="L67" s="58">
        <f>IF(($E61&gt;0),L61,L60)</f>
        <v>100</v>
      </c>
      <c r="M67" s="58">
        <f>IF((B67=G67),1,2)</f>
        <v>1</v>
      </c>
    </row>
    <row r="68" spans="2:13" ht="15" hidden="1" customHeight="1" x14ac:dyDescent="0.25">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x14ac:dyDescent="0.25">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0.48</v>
      </c>
      <c r="D70" s="49">
        <f>IF(($E64&gt;0),D64,D63)</f>
        <v>0</v>
      </c>
      <c r="E70" s="56">
        <f>MAX(C70:D70)</f>
        <v>0.48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U47JMPN4QEAR-1806752177-30173</_dlc_DocId>
    <_dlc_DocIdUrl xmlns="ac3811b5-0f3e-49e2-ba69-f2ffa0c782af">
      <Url>https://michiganphi.sharepoint.com/sites/CMDMC/_layouts/15/DocIdRedir.aspx?ID=U47JMPN4QEAR-1806752177-30173</Url>
      <Description>U47JMPN4QEAR-1806752177-30173</Description>
    </_dlc_DocIdUrl>
  </documentManagement>
</p:properties>
</file>

<file path=customXml/itemProps1.xml><?xml version="1.0" encoding="utf-8"?>
<ds:datastoreItem xmlns:ds="http://schemas.openxmlformats.org/officeDocument/2006/customXml" ds:itemID="{C9BAF585-613C-4E39-920E-03BBFE489AA6}"/>
</file>

<file path=customXml/itemProps2.xml><?xml version="1.0" encoding="utf-8"?>
<ds:datastoreItem xmlns:ds="http://schemas.openxmlformats.org/officeDocument/2006/customXml" ds:itemID="{86879A35-C02C-4F7E-BAF4-86D2DB9224A7}"/>
</file>

<file path=customXml/itemProps3.xml><?xml version="1.0" encoding="utf-8"?>
<ds:datastoreItem xmlns:ds="http://schemas.openxmlformats.org/officeDocument/2006/customXml" ds:itemID="{3F1D9C04-6E1D-4EC7-B6DA-6F628E8502E4}"/>
</file>

<file path=customXml/itemProps4.xml><?xml version="1.0" encoding="utf-8"?>
<ds:datastoreItem xmlns:ds="http://schemas.openxmlformats.org/officeDocument/2006/customXml" ds:itemID="{5B482847-D9F3-4AE2-A73A-E9A8BFFBF4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640c7c79-b787-45ef-aa62-8325f22b5552</vt:lpwstr>
  </property>
</Properties>
</file>