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8" documentId="8_{8530D1AE-9689-4030-A070-27F88F48A8D2}" xr6:coauthVersionLast="47" xr6:coauthVersionMax="47" xr10:uidLastSave="{35E71172-7BAA-457D-AB16-F23743054DC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F27" i="8"/>
  <c r="M66" i="8"/>
  <c r="M66" i="6"/>
  <c r="F27"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7" l="1"/>
  <c r="D49" i="7"/>
  <c r="B50" i="6"/>
  <c r="L50" i="6"/>
  <c r="D50" i="5"/>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E49" i="5"/>
  <c r="L55" i="5" s="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E55" i="5" s="1"/>
  <c r="D61" i="5" s="1"/>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D64" i="5"/>
  <c r="B56" i="8"/>
  <c r="E58"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Q8" i="13"/>
  <c r="I7" i="9"/>
  <c r="B64" i="8"/>
  <c r="C64" i="8"/>
  <c r="L64" i="8"/>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D70" i="5" l="1"/>
  <c r="F14" i="5" s="1"/>
  <c r="L70" i="5"/>
  <c r="Q14" i="5" s="1"/>
  <c r="B70" i="5"/>
  <c r="F33" i="5" s="1"/>
  <c r="E64" i="8"/>
  <c r="B70" i="8" s="1"/>
  <c r="M70" i="8" s="1"/>
  <c r="E63" i="3"/>
  <c r="C69" i="3" s="1"/>
  <c r="D12" i="3" s="1"/>
  <c r="B70" i="3"/>
  <c r="M70" i="3" s="1"/>
  <c r="L69" i="7"/>
  <c r="C69" i="7"/>
  <c r="D12" i="7" s="1"/>
  <c r="D70" i="6"/>
  <c r="F13" i="6" s="1"/>
  <c r="D63" i="8"/>
  <c r="C63" i="8"/>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O14" i="5"/>
  <c r="B69" i="3"/>
  <c r="M69" i="3" s="1"/>
  <c r="O13" i="5"/>
  <c r="R13" i="5" s="1"/>
  <c r="S13" i="5" s="1"/>
  <c r="U13" i="5" s="1"/>
  <c r="J13" i="5" s="1"/>
  <c r="M13" i="5" s="1"/>
  <c r="F13" i="5"/>
  <c r="C70" i="8"/>
  <c r="D13" i="8" s="1"/>
  <c r="F34" i="3"/>
  <c r="D70" i="8"/>
  <c r="F13" i="8" s="1"/>
  <c r="L70" i="8"/>
  <c r="L69" i="3"/>
  <c r="Q12" i="3" s="1"/>
  <c r="F33" i="3"/>
  <c r="D69" i="3"/>
  <c r="E69" i="3" s="1"/>
  <c r="B69" i="6"/>
  <c r="M69" i="6" s="1"/>
  <c r="Q12" i="7"/>
  <c r="E70" i="6"/>
  <c r="D15" i="7"/>
  <c r="Q15" i="7"/>
  <c r="O14" i="6"/>
  <c r="E69" i="7"/>
  <c r="E63" i="8"/>
  <c r="D69" i="8" s="1"/>
  <c r="F15" i="8" s="1"/>
  <c r="D13" i="6"/>
  <c r="O13" i="6"/>
  <c r="F14" i="6"/>
  <c r="E70" i="3"/>
  <c r="D13" i="3"/>
  <c r="F14" i="3"/>
  <c r="O13" i="3"/>
  <c r="C69" i="6"/>
  <c r="D12" i="6" s="1"/>
  <c r="Q14" i="3"/>
  <c r="F12" i="7"/>
  <c r="O12" i="7"/>
  <c r="D14" i="6"/>
  <c r="O15" i="7"/>
  <c r="Q13" i="3"/>
  <c r="Q13" i="6"/>
  <c r="Q14" i="6"/>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K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D14" i="8" l="1"/>
  <c r="K13" i="5"/>
  <c r="L13" i="5" s="1"/>
  <c r="Q14" i="16" s="1"/>
  <c r="F32" i="3"/>
  <c r="O13" i="8"/>
  <c r="F35" i="3"/>
  <c r="F14" i="8"/>
  <c r="Q15" i="3"/>
  <c r="T13" i="5"/>
  <c r="E70" i="8"/>
  <c r="O12" i="3"/>
  <c r="R12" i="3" s="1"/>
  <c r="S12" i="3" s="1"/>
  <c r="U12" i="3" s="1"/>
  <c r="J12" i="3" s="1"/>
  <c r="T12" i="7"/>
  <c r="Q14" i="8"/>
  <c r="O14" i="8"/>
  <c r="K14" i="8" s="1"/>
  <c r="Q13" i="8"/>
  <c r="R13" i="8" s="1"/>
  <c r="S13" i="8" s="1"/>
  <c r="F35" i="6"/>
  <c r="D15" i="6"/>
  <c r="R14" i="3"/>
  <c r="S14" i="3" s="1"/>
  <c r="U14" i="3" s="1"/>
  <c r="J14" i="3" s="1"/>
  <c r="M14" i="3" s="1"/>
  <c r="G14" i="3" s="1"/>
  <c r="I15" i="16" s="1"/>
  <c r="F32" i="6"/>
  <c r="O15" i="3"/>
  <c r="K12" i="7"/>
  <c r="F15" i="3"/>
  <c r="F12" i="3"/>
  <c r="U9" i="4"/>
  <c r="J9" i="4" s="1"/>
  <c r="M9" i="4" s="1"/>
  <c r="G9" i="4" s="1"/>
  <c r="G10" i="16" s="1"/>
  <c r="R12" i="7"/>
  <c r="S12" i="7" s="1"/>
  <c r="U12" i="7" s="1"/>
  <c r="J12" i="7" s="1"/>
  <c r="T14" i="6"/>
  <c r="T15" i="7"/>
  <c r="K13" i="6"/>
  <c r="U11" i="5"/>
  <c r="J11" i="5" s="1"/>
  <c r="M11" i="5" s="1"/>
  <c r="C69" i="8"/>
  <c r="E69" i="8" s="1"/>
  <c r="F12" i="8"/>
  <c r="B69" i="8"/>
  <c r="M69" i="8" s="1"/>
  <c r="R14" i="6"/>
  <c r="S14" i="6" s="1"/>
  <c r="U14" i="6" s="1"/>
  <c r="J14" i="6" s="1"/>
  <c r="M14" i="6" s="1"/>
  <c r="G14" i="6" s="1"/>
  <c r="M15" i="13" s="1"/>
  <c r="U10" i="5"/>
  <c r="J10" i="5" s="1"/>
  <c r="M10" i="5" s="1"/>
  <c r="R15" i="7"/>
  <c r="S15" i="7" s="1"/>
  <c r="U15" i="7" s="1"/>
  <c r="J15" i="7" s="1"/>
  <c r="M15" i="7" s="1"/>
  <c r="L69" i="8"/>
  <c r="O15" i="8" s="1"/>
  <c r="O12" i="6"/>
  <c r="R13" i="6"/>
  <c r="S13" i="6" s="1"/>
  <c r="T13" i="6"/>
  <c r="K14" i="6"/>
  <c r="K13" i="3"/>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R13" i="7"/>
  <c r="S13" i="7" s="1"/>
  <c r="U13" i="7" s="1"/>
  <c r="J13" i="7" s="1"/>
  <c r="M13" i="7" s="1"/>
  <c r="Q13" i="2"/>
  <c r="U9" i="3"/>
  <c r="J9" i="3" s="1"/>
  <c r="L9" i="3" s="1"/>
  <c r="N30" i="5"/>
  <c r="L14" i="5"/>
  <c r="Q15"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4" i="4"/>
  <c r="G14" i="4" s="1"/>
  <c r="G15" i="16" s="1"/>
  <c r="N30" i="4"/>
  <c r="L14" i="4"/>
  <c r="O15"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3" l="1"/>
  <c r="K12" i="3"/>
  <c r="L12" i="3" s="1"/>
  <c r="P13" i="16" s="1"/>
  <c r="T15" i="3"/>
  <c r="R15" i="3"/>
  <c r="S15" i="3" s="1"/>
  <c r="U15" i="3" s="1"/>
  <c r="J15" i="3" s="1"/>
  <c r="M15" i="3" s="1"/>
  <c r="G15" i="3" s="1"/>
  <c r="I16" i="16" s="1"/>
  <c r="T12" i="3"/>
  <c r="R14" i="8"/>
  <c r="S14" i="8" s="1"/>
  <c r="U14" i="8" s="1"/>
  <c r="J14" i="8" s="1"/>
  <c r="N30" i="8" s="1"/>
  <c r="T14" i="8"/>
  <c r="T13" i="8"/>
  <c r="K13" i="8"/>
  <c r="I15" i="13"/>
  <c r="N30" i="3"/>
  <c r="E14" i="9"/>
  <c r="L14" i="3"/>
  <c r="P15" i="16" s="1"/>
  <c r="L12" i="7"/>
  <c r="S13" i="16" s="1"/>
  <c r="L9" i="4"/>
  <c r="O10" i="16" s="1"/>
  <c r="L11" i="5"/>
  <c r="Q12" i="16" s="1"/>
  <c r="M12" i="7"/>
  <c r="D9" i="9"/>
  <c r="G10" i="13"/>
  <c r="L10" i="5"/>
  <c r="Q11" i="16" s="1"/>
  <c r="L13" i="3"/>
  <c r="P14" i="16" s="1"/>
  <c r="U13" i="8"/>
  <c r="J13" i="8" s="1"/>
  <c r="M13" i="8" s="1"/>
  <c r="G13" i="8" s="1"/>
  <c r="K14" i="16" s="1"/>
  <c r="U13" i="6"/>
  <c r="J13" i="6" s="1"/>
  <c r="M13" i="6" s="1"/>
  <c r="G13" i="6" s="1"/>
  <c r="T12" i="6"/>
  <c r="F35" i="8"/>
  <c r="F32" i="8"/>
  <c r="D15" i="8"/>
  <c r="D12" i="8"/>
  <c r="R12" i="6"/>
  <c r="S12" i="6" s="1"/>
  <c r="L15" i="7"/>
  <c r="S16" i="16" s="1"/>
  <c r="Q15" i="8"/>
  <c r="R15" i="8" s="1"/>
  <c r="S15" i="8" s="1"/>
  <c r="U15" i="8" s="1"/>
  <c r="J15" i="8" s="1"/>
  <c r="K15" i="6"/>
  <c r="Q12" i="8"/>
  <c r="O12" i="8"/>
  <c r="K12" i="6"/>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D14" i="9"/>
  <c r="G15" i="13"/>
  <c r="N8" i="9"/>
  <c r="V9"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U10" i="13" l="1"/>
  <c r="O11" i="9"/>
  <c r="I16" i="13"/>
  <c r="W12" i="13"/>
  <c r="L15" i="3"/>
  <c r="P16" i="16" s="1"/>
  <c r="E15" i="9"/>
  <c r="V15" i="13"/>
  <c r="U11" i="7"/>
  <c r="J11" i="7" s="1"/>
  <c r="M11" i="7" s="1"/>
  <c r="Y13" i="13"/>
  <c r="M9" i="9"/>
  <c r="Q12" i="9"/>
  <c r="N14" i="9"/>
  <c r="W11" i="13"/>
  <c r="O10" i="9"/>
  <c r="K15" i="8"/>
  <c r="L15" i="8" s="1"/>
  <c r="T16" i="16" s="1"/>
  <c r="V14" i="13"/>
  <c r="N13" i="9"/>
  <c r="U12" i="6"/>
  <c r="J12" i="6" s="1"/>
  <c r="M12" i="6" s="1"/>
  <c r="G12" i="6" s="1"/>
  <c r="G12" i="9" s="1"/>
  <c r="L15" i="6"/>
  <c r="R16" i="16" s="1"/>
  <c r="L13" i="6"/>
  <c r="R14" i="16" s="1"/>
  <c r="L13" i="8"/>
  <c r="T14" i="16" s="1"/>
  <c r="I13" i="9"/>
  <c r="Q14" i="13"/>
  <c r="M14" i="13"/>
  <c r="G13" i="9"/>
  <c r="T12" i="8"/>
  <c r="M14" i="8"/>
  <c r="G14" i="8" s="1"/>
  <c r="K15" i="16" s="1"/>
  <c r="Y16" i="13"/>
  <c r="Q15" i="9"/>
  <c r="T15" i="8"/>
  <c r="R12" i="8"/>
  <c r="S12" i="8" s="1"/>
  <c r="L14" i="8"/>
  <c r="T15" i="16" s="1"/>
  <c r="K12" i="8"/>
  <c r="M15" i="6"/>
  <c r="G15" i="6" s="1"/>
  <c r="M16" i="13" s="1"/>
  <c r="L8" i="6"/>
  <c r="R9" i="16" s="1"/>
  <c r="L10" i="7"/>
  <c r="S11" i="16" s="1"/>
  <c r="L15" i="5"/>
  <c r="Q16" i="16" s="1"/>
  <c r="T9" i="13"/>
  <c r="L8" i="9"/>
  <c r="X15" i="13"/>
  <c r="P14" i="9"/>
  <c r="G8" i="9"/>
  <c r="Q14" i="9"/>
  <c r="Y15" i="13"/>
  <c r="Y14" i="13"/>
  <c r="E9" i="13"/>
  <c r="Q13" i="9"/>
  <c r="L10" i="2"/>
  <c r="N11" i="16" s="1"/>
  <c r="M10" i="7"/>
  <c r="L11" i="6"/>
  <c r="R12" i="16" s="1"/>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1" i="7" l="1"/>
  <c r="S12" i="16" s="1"/>
  <c r="N15" i="9"/>
  <c r="V16" i="13"/>
  <c r="X14" i="13"/>
  <c r="X16" i="13"/>
  <c r="M13" i="13"/>
  <c r="L12" i="6"/>
  <c r="R13" i="16" s="1"/>
  <c r="P15" i="9"/>
  <c r="U12" i="8"/>
  <c r="J12" i="8" s="1"/>
  <c r="M12" i="8" s="1"/>
  <c r="G12" i="8" s="1"/>
  <c r="K13" i="16" s="1"/>
  <c r="P13" i="9"/>
  <c r="R13" i="9"/>
  <c r="G15" i="9"/>
  <c r="Q15" i="13"/>
  <c r="Z14"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X13" i="13" l="1"/>
  <c r="P12" i="9"/>
  <c r="L12" i="8"/>
  <c r="T13" i="16" s="1"/>
  <c r="Q13" i="13"/>
  <c r="I12"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<sst xmlns="http://schemas.openxmlformats.org/spreadsheetml/2006/main" count="654" uniqueCount="141">
  <si>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</si>
  <si>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</si>
  <si>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</si>
  <si>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</si>
  <si>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</si>
  <si>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</si>
  <si>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</si>
  <si>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</si>
  <si>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</si>
  <si>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</si>
  <si>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</si>
  <si>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</si>
  <si>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</si>
  <si>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</si>
  <si>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</si>
  <si>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</si>
  <si>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</si>
  <si>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</si>
  <si>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</si>
  <si>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</si>
  <si>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</si>
  <si>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</si>
  <si>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</si>
  <si>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</si>
  <si>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</si>
  <si>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</si>
  <si>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</si>
  <si>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</si>
  <si>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</si>
  <si>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</si>
  <si>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</si>
  <si>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</si>
  <si>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</si>
  <si>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</si>
  <si>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</si>
  <si>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</si>
  <si>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</si>
  <si>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</si>
  <si>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</si>
  <si>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</si>
  <si>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</si>
  <si>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</si>
  <si>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</si>
  <si>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</si>
  <si>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</si>
  <si>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</si>
  <si>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</si>
  <si>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</si>
  <si>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</si>
  <si>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</si>
  <si>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</si>
  <si>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</si>
  <si>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</si>
  <si>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</si>
  <si>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</si>
  <si>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</si>
  <si>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</si>
  <si>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</si>
  <si>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</si>
  <si>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</si>
  <si>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</si>
  <si>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</si>
  <si>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</si>
  <si>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</si>
  <si>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</si>
  <si>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</si>
  <si>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</si>
  <si>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</si>
  <si>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</si>
  <si>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</si>
  <si>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</si>
  <si>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</si>
  <si>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</si>
  <si>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</si>
  <si>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</si>
  <si>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</si>
  <si>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</si>
  <si>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</si>
  <si>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</si>
  <si>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</si>
  <si>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</si>
  <si>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</si>
  <si>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</si>
  <si>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</si>
  <si>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</si>
  <si>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</si>
  <si>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</si>
  <si>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</si>
  <si>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</si>
  <si>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</si>
  <si>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</si>
  <si>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</si>
  <si>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</si>
  <si>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</si>
  <si>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</si>
  <si>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</si>
  <si>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</si>
  <si>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</si>
  <si>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</si>
  <si>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</si>
  <si>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</si>
  <si>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</si>
  <si>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</si>
  <si>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</si>
  <si>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</si>
  <si>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</si>
  <si>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</si>
  <si>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</si>
  <si>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</si>
  <si>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</si>
  <si>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</si>
  <si>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</si>
  <si>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</si>
  <si>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</si>
  <si>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</si>
  <si>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</si>
  <si>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</si>
  <si>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</si>
  <si>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</si>
  <si>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</si>
  <si>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</si>
  <si>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</si>
  <si>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</si>
  <si>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</si>
  <si>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</si>
  <si>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</si>
  <si>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</si>
  <si>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</si>
  <si>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</si>
  <si>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</si>
  <si>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</si>
  <si>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</si>
  <si>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</si>
  <si>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</si>
  <si>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</si>
  <si>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</si>
  <si>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Gogebic</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</si>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</sst>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Gogebic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N=9</c:v>
                </c:pt>
                <c:pt idx="3">
                  <c:v>Petitions, total N=14</c:v>
                </c:pt>
                <c:pt idx="4">
                  <c:v>Detentions, total N=0</c:v>
                </c:pt>
                <c:pt idx="5">
                  <c:v>Referrals, total N=20</c:v>
                </c:pt>
                <c:pt idx="6">
                  <c:v>Arrests, total N=14</c:v>
                </c:pt>
                <c:pt idx="7">
                  <c:v>Population, total N=1086</c:v>
                </c:pt>
              </c:strCache>
            </c:strRef>
          </c:cat>
          <c:val>
            <c:numRef>
              <c:f>'Stacked 100%'!$B$7:$B$14</c:f>
              <c:numCache>
                <c:formatCode>0%</c:formatCode>
                <c:ptCount val="8"/>
                <c:pt idx="0">
                  <c:v>0</c:v>
                </c:pt>
                <c:pt idx="1">
                  <c:v>0</c:v>
                </c:pt>
                <c:pt idx="2">
                  <c:v>0</c:v>
                </c:pt>
                <c:pt idx="3">
                  <c:v>0</c:v>
                </c:pt>
                <c:pt idx="4">
                  <c:v>0</c:v>
                </c:pt>
                <c:pt idx="5">
                  <c:v>0</c:v>
                </c:pt>
                <c:pt idx="6">
                  <c:v>0</c:v>
                </c:pt>
                <c:pt idx="7">
                  <c:v>1.7495395948434623E-2</c:v>
                </c:pt>
              </c:numCache>
            </c:numRef>
          </c:val>
          <c:extLst>
            <c:ext xmlns:c16="http://schemas.microsoft.com/office/drawing/2014/chart" uri="{C3380CC4-5D6E-409C-BE32-E72D297353CC}">
              <c16:uniqueId val="{00000000-49A4-42B5-836D-47F46A3B3D3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N=9</c:v>
                </c:pt>
                <c:pt idx="3">
                  <c:v>Petitions, total N=14</c:v>
                </c:pt>
                <c:pt idx="4">
                  <c:v>Detentions, total N=0</c:v>
                </c:pt>
                <c:pt idx="5">
                  <c:v>Referrals, total N=20</c:v>
                </c:pt>
                <c:pt idx="6">
                  <c:v>Arrests, total N=14</c:v>
                </c:pt>
                <c:pt idx="7">
                  <c:v>Population, total N=1086</c:v>
                </c:pt>
              </c:strCache>
            </c:strRef>
          </c:cat>
          <c:val>
            <c:numRef>
              <c:f>'Stacked 100%'!$C$7:$C$14</c:f>
              <c:numCache>
                <c:formatCode>0%</c:formatCode>
                <c:ptCount val="8"/>
                <c:pt idx="0">
                  <c:v>0</c:v>
                </c:pt>
                <c:pt idx="1">
                  <c:v>0</c:v>
                </c:pt>
                <c:pt idx="2">
                  <c:v>0</c:v>
                </c:pt>
                <c:pt idx="3">
                  <c:v>0</c:v>
                </c:pt>
                <c:pt idx="4">
                  <c:v>0</c:v>
                </c:pt>
                <c:pt idx="5">
                  <c:v>0</c:v>
                </c:pt>
                <c:pt idx="6">
                  <c:v>0</c:v>
                </c:pt>
                <c:pt idx="7">
                  <c:v>3.4990791896869246E-2</c:v>
                </c:pt>
              </c:numCache>
            </c:numRef>
          </c:val>
          <c:extLst>
            <c:ext xmlns:c16="http://schemas.microsoft.com/office/drawing/2014/chart" uri="{C3380CC4-5D6E-409C-BE32-E72D297353CC}">
              <c16:uniqueId val="{00000001-49A4-42B5-836D-47F46A3B3D3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N=9</c:v>
                </c:pt>
                <c:pt idx="3">
                  <c:v>Petitions, total N=14</c:v>
                </c:pt>
                <c:pt idx="4">
                  <c:v>Detentions, total N=0</c:v>
                </c:pt>
                <c:pt idx="5">
                  <c:v>Referrals, total N=20</c:v>
                </c:pt>
                <c:pt idx="6">
                  <c:v>Arrests, total N=14</c:v>
                </c:pt>
                <c:pt idx="7">
                  <c:v>Population, total N=1086</c:v>
                </c:pt>
              </c:strCache>
            </c:strRef>
          </c:cat>
          <c:val>
            <c:numRef>
              <c:f>'Stacked 100%'!$H$7:$H$14</c:f>
              <c:numCache>
                <c:formatCode>0%</c:formatCode>
                <c:ptCount val="8"/>
                <c:pt idx="0">
                  <c:v>0</c:v>
                </c:pt>
                <c:pt idx="1">
                  <c:v>0</c:v>
                </c:pt>
                <c:pt idx="2">
                  <c:v>2.4691358024691357E-2</c:v>
                </c:pt>
                <c:pt idx="3">
                  <c:v>1.5306122448979591E-2</c:v>
                </c:pt>
                <c:pt idx="4">
                  <c:v>0</c:v>
                </c:pt>
                <c:pt idx="5">
                  <c:v>0.01</c:v>
                </c:pt>
                <c:pt idx="6">
                  <c:v>5.1020408163265302E-3</c:v>
                </c:pt>
                <c:pt idx="7">
                  <c:v>7.2070788776628045E-5</c:v>
                </c:pt>
              </c:numCache>
            </c:numRef>
          </c:val>
          <c:extLst>
            <c:ext xmlns:c16="http://schemas.microsoft.com/office/drawing/2014/chart" uri="{C3380CC4-5D6E-409C-BE32-E72D297353CC}">
              <c16:uniqueId val="{00000002-49A4-42B5-836D-47F46A3B3D3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N=9</c:v>
                </c:pt>
                <c:pt idx="3">
                  <c:v>Petitions, total N=14</c:v>
                </c:pt>
                <c:pt idx="4">
                  <c:v>Detentions, total N=0</c:v>
                </c:pt>
                <c:pt idx="5">
                  <c:v>Referrals, total N=20</c:v>
                </c:pt>
                <c:pt idx="6">
                  <c:v>Arrests, total N=14</c:v>
                </c:pt>
                <c:pt idx="7">
                  <c:v>Population, total N=1086</c:v>
                </c:pt>
              </c:strCache>
            </c:strRef>
          </c:cat>
          <c:val>
            <c:numRef>
              <c:f>'Stacked 100%'!$I$7:$I$14</c:f>
              <c:numCache>
                <c:formatCode>0%</c:formatCode>
                <c:ptCount val="8"/>
                <c:pt idx="0">
                  <c:v>0</c:v>
                </c:pt>
                <c:pt idx="1">
                  <c:v>0</c:v>
                </c:pt>
                <c:pt idx="2">
                  <c:v>0.33333333333333331</c:v>
                </c:pt>
                <c:pt idx="3">
                  <c:v>0.21428571428571427</c:v>
                </c:pt>
                <c:pt idx="4">
                  <c:v>0</c:v>
                </c:pt>
                <c:pt idx="5">
                  <c:v>0.2</c:v>
                </c:pt>
                <c:pt idx="6">
                  <c:v>0.8571428571428571</c:v>
                </c:pt>
                <c:pt idx="7">
                  <c:v>0.86924493554327809</c:v>
                </c:pt>
              </c:numCache>
            </c:numRef>
          </c:val>
          <c:extLst>
            <c:ext xmlns:c16="http://schemas.microsoft.com/office/drawing/2014/chart" uri="{C3380CC4-5D6E-409C-BE32-E72D297353CC}">
              <c16:uniqueId val="{00000003-49A4-42B5-836D-47F46A3B3D3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N=9</c:v>
                </c:pt>
                <c:pt idx="3">
                  <c:v>Petitions, total N=14</c:v>
                </c:pt>
                <c:pt idx="4">
                  <c:v>Detentions, total N=0</c:v>
                </c:pt>
                <c:pt idx="5">
                  <c:v>Referrals, total N=20</c:v>
                </c:pt>
                <c:pt idx="6">
                  <c:v>Arrests, total N=14</c:v>
                </c:pt>
                <c:pt idx="7">
                  <c:v>Population, total N=1086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9A4-42B5-836D-47F46A3B3D3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1086</v>
      </c>
      <c r="C6" s="11">
        <v>944</v>
      </c>
      <c r="D6" s="11">
        <v>19</v>
      </c>
      <c r="E6" s="11">
        <v>38</v>
      </c>
      <c r="F6" s="11">
        <v>5</v>
      </c>
      <c r="G6" s="11"/>
      <c r="H6" s="11">
        <v>80</v>
      </c>
      <c r="I6" s="11"/>
      <c r="J6" s="91">
        <f>SUM(D6:I6)</f>
        <v>142</v>
      </c>
      <c r="K6" s="92"/>
    </row>
    <row r="7" spans="1:11" ht="15.75" customHeight="1" thickBot="1">
      <c r="A7" s="10" t="s">
        <v>8</v>
      </c>
      <c r="B7" s="11">
        <f t="shared" ref="B7:B15" si="0">SUM(C7:I7)+K7</f>
        <v>14</v>
      </c>
      <c r="C7" s="11">
        <v>12</v>
      </c>
      <c r="D7" s="11"/>
      <c r="E7" s="11"/>
      <c r="F7" s="11"/>
      <c r="G7" s="11"/>
      <c r="H7" s="11">
        <v>1</v>
      </c>
      <c r="I7" s="11"/>
      <c r="J7" s="91">
        <f t="shared" ref="J7:J15" si="1">SUM(D7:I7)</f>
        <v>1</v>
      </c>
      <c r="K7" s="92">
        <v>1</v>
      </c>
    </row>
    <row r="8" spans="1:11" ht="15.75" customHeight="1" thickBot="1">
      <c r="A8" s="10" t="s">
        <v>9</v>
      </c>
      <c r="B8" s="11">
        <f t="shared" si="0"/>
        <v>20</v>
      </c>
      <c r="C8" s="11">
        <v>4</v>
      </c>
      <c r="D8" s="11"/>
      <c r="E8" s="11"/>
      <c r="F8" s="11"/>
      <c r="G8" s="11"/>
      <c r="H8" s="11">
        <v>2</v>
      </c>
      <c r="I8" s="11">
        <v>2</v>
      </c>
      <c r="J8" s="91">
        <f t="shared" si="1"/>
        <v>4</v>
      </c>
      <c r="K8" s="92">
        <v>12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14</v>
      </c>
      <c r="C11" s="11">
        <v>3</v>
      </c>
      <c r="D11" s="11"/>
      <c r="E11" s="11"/>
      <c r="F11" s="11"/>
      <c r="G11" s="11"/>
      <c r="H11" s="11">
        <v>1</v>
      </c>
      <c r="I11" s="11">
        <v>2</v>
      </c>
      <c r="J11" s="91">
        <f t="shared" si="1"/>
        <v>3</v>
      </c>
      <c r="K11" s="92">
        <v>8</v>
      </c>
    </row>
    <row r="12" spans="1:11" ht="15.75" customHeight="1" thickBot="1">
      <c r="A12" s="10" t="s">
        <v>13</v>
      </c>
      <c r="B12" s="11">
        <f t="shared" si="0"/>
        <v>9</v>
      </c>
      <c r="C12" s="11">
        <v>3</v>
      </c>
      <c r="D12" s="11"/>
      <c r="E12" s="11"/>
      <c r="F12" s="11"/>
      <c r="G12" s="11"/>
      <c r="H12" s="11"/>
      <c r="I12" s="11">
        <v>2</v>
      </c>
      <c r="J12" s="91">
        <f t="shared" si="1"/>
        <v>2</v>
      </c>
      <c r="K12" s="92">
        <v>4</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2</v>
      </c>
      <c r="C14" s="11"/>
      <c r="D14" s="11"/>
      <c r="E14" s="11"/>
      <c r="F14" s="11"/>
      <c r="G14" s="11"/>
      <c r="H14" s="11"/>
      <c r="I14" s="11"/>
      <c r="J14" s="91">
        <f t="shared" si="1"/>
        <v>0</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932</v>
      </c>
      <c r="R7" s="42">
        <f t="shared" ref="R7:R15" si="5">SUM(N7:Q7)</f>
        <v>944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v>
      </c>
      <c r="D8" s="34">
        <f>IF((AND(C67&gt;0,C8&gt;0)),(C8/C67),0)</f>
        <v>33.333333333333336</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4</v>
      </c>
      <c r="Q8" s="42">
        <f>(C$67*L67)-C8</f>
        <v>8</v>
      </c>
      <c r="R8" s="42">
        <f t="shared" si="5"/>
        <v>12.05</v>
      </c>
      <c r="S8" s="30">
        <f t="shared" si="6"/>
        <v>6825.6020000000008</v>
      </c>
      <c r="T8" s="30">
        <f t="shared" si="7"/>
        <v>21.780000000000019</v>
      </c>
      <c r="U8" s="31">
        <f t="shared" si="8"/>
        <v>313.38852157943046</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4</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4</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75</v>
      </c>
      <c r="E11" s="33">
        <f>'Data Entry'!I11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0</v>
      </c>
      <c r="P11" s="42">
        <f t="shared" si="4"/>
        <v>3</v>
      </c>
      <c r="Q11" s="42">
        <f>(C$68*L68)-C11</f>
        <v>1</v>
      </c>
      <c r="R11" s="42">
        <f t="shared" si="5"/>
        <v>6</v>
      </c>
      <c r="S11" s="30">
        <f t="shared" si="6"/>
        <v>24</v>
      </c>
      <c r="T11" s="30">
        <f t="shared" si="7"/>
        <v>40</v>
      </c>
      <c r="U11" s="31">
        <f t="shared" si="8"/>
        <v>0.6</v>
      </c>
    </row>
    <row r="12" spans="2:21" ht="18" customHeight="1">
      <c r="B12" s="32" t="str">
        <f>'Data Entry'!A12</f>
        <v>7. Cases Resulting in Delinquent Findings</v>
      </c>
      <c r="C12" s="33">
        <f>'Data Entry'!C12</f>
        <v>3</v>
      </c>
      <c r="D12" s="34">
        <f>IF(((AND(C69&gt;0,C12&gt;0))),(C12/(C69)),0)</f>
        <v>100</v>
      </c>
      <c r="E12" s="33">
        <f>'Data Entry'!I12</f>
        <v>2</v>
      </c>
      <c r="F12" s="34">
        <f>IF(((AND($D$69&gt;0,$E$12&gt;0))),(E12/(D69)),0)</f>
        <v>100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2</v>
      </c>
      <c r="O12" s="42">
        <f>(D69*L69)-E12</f>
        <v>0</v>
      </c>
      <c r="P12" s="42">
        <f t="shared" si="4"/>
        <v>3</v>
      </c>
      <c r="Q12" s="42">
        <f>(C69*L69)-C12</f>
        <v>0</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3</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0</v>
      </c>
      <c r="E42" s="56">
        <f>MAX(C42:D42)</f>
        <v>0.94399999999999995</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0.04</v>
      </c>
      <c r="D44" s="56">
        <f>E8/100</f>
        <v>0.02</v>
      </c>
      <c r="E44" s="56">
        <f>MAX(C44:D44,0)</f>
        <v>0.04</v>
      </c>
      <c r="G44" s="1" t="str">
        <f>B44</f>
        <v>per 100 referrals</v>
      </c>
      <c r="L44" s="57">
        <v>100</v>
      </c>
      <c r="M44" s="57"/>
      <c r="R44" s="49"/>
    </row>
    <row r="45" spans="2:18" ht="15" hidden="1" customHeight="1">
      <c r="B45" s="49" t="s">
        <v>89</v>
      </c>
      <c r="C45" s="49">
        <f>C11/100</f>
        <v>0.03</v>
      </c>
      <c r="D45" s="49">
        <f>E11/100</f>
        <v>0.02</v>
      </c>
      <c r="E45" s="56">
        <f>MAX(C45:D45,0)</f>
        <v>0.03</v>
      </c>
      <c r="G45" s="1" t="str">
        <f>B45</f>
        <v>per 100 youth petitioned</v>
      </c>
      <c r="L45" s="57">
        <v>100</v>
      </c>
      <c r="M45" s="57"/>
      <c r="R45" s="49"/>
    </row>
    <row r="46" spans="2:18" ht="15" hidden="1" customHeight="1">
      <c r="B46" s="49" t="s">
        <v>90</v>
      </c>
      <c r="C46" s="49">
        <f>C12/100</f>
        <v>0.03</v>
      </c>
      <c r="D46" s="49">
        <f>E12/100</f>
        <v>0.02</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0</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0.02</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0.02</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0.02</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0</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0.02</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0.02</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0.02</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0</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0.02</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0.02</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0.02</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0</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0.02</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0.02</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0.02</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Entry'!J6</f>
        <v>142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Entry'!J7</f>
        <v>1</v>
      </c>
      <c r="F7" s="34">
        <f>IF((AND($E$7&gt;0,$D$66&gt;0)),($E$7/$D$66),0)</f>
        <v>7.042253521126761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141</v>
      </c>
      <c r="P7" s="42">
        <f t="shared" ref="P7:P15" si="4">C7</f>
        <v>12</v>
      </c>
      <c r="Q7" s="42">
        <f>C6-C7</f>
        <v>932</v>
      </c>
      <c r="R7" s="42">
        <f t="shared" ref="R7:R15" si="5">SUM(N7:Q7)</f>
        <v>1086</v>
      </c>
      <c r="S7" s="30">
        <f t="shared" ref="S7:S15" si="6">R7*((((N7*Q7)-(O7*P7))^2))</f>
        <v>627273600</v>
      </c>
      <c r="T7" s="30">
        <f t="shared" ref="T7:T15" si="7">(N7+O7)*(P7+Q7)*(N7+P7)*(O7+Q7)</f>
        <v>1869835552</v>
      </c>
      <c r="U7" s="31">
        <f t="shared" ref="U7:U15" si="8">IF((S7&gt;0),S7/T7,"- -")</f>
        <v>0.33546992906892809</v>
      </c>
    </row>
    <row r="8" spans="2:21" ht="18" customHeight="1">
      <c r="B8" s="32" t="str">
        <f>'Data Entry'!A8</f>
        <v>3. Refer to Juvenile Court</v>
      </c>
      <c r="C8" s="33">
        <f>'Data Entry'!C8</f>
        <v>4</v>
      </c>
      <c r="D8" s="34">
        <f>IF((AND(C67&gt;0,C8&gt;0)),(C8/C67),0)</f>
        <v>33.333333333333336</v>
      </c>
      <c r="E8" s="33">
        <f>'Data Entry'!J8</f>
        <v>4</v>
      </c>
      <c r="F8" s="34">
        <f>IF((AND($E$8&gt;0,$D$67&gt;0)),($E8/$D67),0)</f>
        <v>400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-2.95</v>
      </c>
      <c r="P8" s="42">
        <f t="shared" si="4"/>
        <v>4</v>
      </c>
      <c r="Q8" s="42">
        <f>(C$67*L67)-C8</f>
        <v>8</v>
      </c>
      <c r="R8" s="42">
        <f t="shared" si="5"/>
        <v>13.05</v>
      </c>
      <c r="S8" s="30">
        <f t="shared" si="6"/>
        <v>25035.642</v>
      </c>
      <c r="T8" s="30">
        <f t="shared" si="7"/>
        <v>509.03999999999991</v>
      </c>
      <c r="U8" s="31">
        <f t="shared" si="8"/>
        <v>49.182072135785013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4</v>
      </c>
      <c r="R9" s="42">
        <f t="shared" si="5"/>
        <v>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4</v>
      </c>
      <c r="R10" s="42">
        <f t="shared" si="5"/>
        <v>8</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75</v>
      </c>
      <c r="E11" s="33">
        <f>'Data Entry'!J11</f>
        <v>3</v>
      </c>
      <c r="F11" s="34">
        <f>IF(((AND($E$11&gt;0,$D$68&gt;0))),($E$11/($D$68)),0)</f>
        <v>75</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3</v>
      </c>
      <c r="O11" s="42">
        <f>(D$68*L68)-E11</f>
        <v>1</v>
      </c>
      <c r="P11" s="42">
        <f t="shared" si="4"/>
        <v>3</v>
      </c>
      <c r="Q11" s="42">
        <f>(C$68*L68)-C11</f>
        <v>1</v>
      </c>
      <c r="R11" s="42">
        <f t="shared" si="5"/>
        <v>8</v>
      </c>
      <c r="S11" s="30">
        <f t="shared" si="6"/>
        <v>0</v>
      </c>
      <c r="T11" s="30">
        <f t="shared" si="7"/>
        <v>192</v>
      </c>
      <c r="U11" s="31" t="str">
        <f t="shared" si="8"/>
        <v>- -</v>
      </c>
    </row>
    <row r="12" spans="2:21" ht="18" customHeight="1">
      <c r="B12" s="32" t="str">
        <f>'Data Entry'!A12</f>
        <v>7. Cases Resulting in Delinquent Findings</v>
      </c>
      <c r="C12" s="33">
        <f>'Data Entry'!C12</f>
        <v>3</v>
      </c>
      <c r="D12" s="34">
        <f>IF(((AND(C69&gt;0,C12&gt;0))),(C12/(C69)),0)</f>
        <v>100</v>
      </c>
      <c r="E12" s="33">
        <f>'Data Entry'!J12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3</v>
      </c>
      <c r="Q12" s="42">
        <f>(C69*L69)-C12</f>
        <v>0</v>
      </c>
      <c r="R12" s="42">
        <f t="shared" si="5"/>
        <v>6</v>
      </c>
      <c r="S12" s="30">
        <f t="shared" si="6"/>
        <v>54</v>
      </c>
      <c r="T12" s="30">
        <f t="shared" si="7"/>
        <v>45</v>
      </c>
      <c r="U12" s="31">
        <f t="shared" si="8"/>
        <v>1.2</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3</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3</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0.14199999999999999</v>
      </c>
      <c r="E42" s="56">
        <f>MAX(C42:D42)</f>
        <v>0.94399999999999995</v>
      </c>
      <c r="G42" s="1" t="str">
        <f>B42</f>
        <v>per 1000 youth</v>
      </c>
      <c r="L42" s="57">
        <v>1000</v>
      </c>
      <c r="M42" s="57"/>
      <c r="R42" s="49"/>
    </row>
    <row r="43" spans="2:18" ht="15" hidden="1" customHeight="1">
      <c r="B43" s="49" t="s">
        <v>87</v>
      </c>
      <c r="C43" s="56">
        <f>C7/100</f>
        <v>0.12</v>
      </c>
      <c r="D43" s="56">
        <f>E7/100</f>
        <v>0.01</v>
      </c>
      <c r="E43" s="56">
        <f>MAX(C43:D43,0)</f>
        <v>0.12</v>
      </c>
      <c r="G43" s="1" t="str">
        <f>B43</f>
        <v>per 100 arrests</v>
      </c>
      <c r="L43" s="57">
        <v>100</v>
      </c>
      <c r="M43" s="57"/>
      <c r="R43" s="49"/>
    </row>
    <row r="44" spans="2:18" ht="15" hidden="1" customHeight="1">
      <c r="B44" s="49" t="s">
        <v>88</v>
      </c>
      <c r="C44" s="56">
        <f>C8/100</f>
        <v>0.04</v>
      </c>
      <c r="D44" s="56">
        <f>E8/100</f>
        <v>0.04</v>
      </c>
      <c r="E44" s="56">
        <f>MAX(C44:D44,0)</f>
        <v>0.04</v>
      </c>
      <c r="G44" s="1" t="str">
        <f>B44</f>
        <v>per 100 referrals</v>
      </c>
      <c r="L44" s="57">
        <v>100</v>
      </c>
      <c r="M44" s="57"/>
      <c r="R44" s="49"/>
    </row>
    <row r="45" spans="2:18" ht="15" hidden="1" customHeight="1">
      <c r="B45" s="49" t="s">
        <v>89</v>
      </c>
      <c r="C45" s="49">
        <f>C11/100</f>
        <v>0.03</v>
      </c>
      <c r="D45" s="49">
        <f>E11/100</f>
        <v>0.03</v>
      </c>
      <c r="E45" s="56">
        <f>MAX(C45:D45,0)</f>
        <v>0.03</v>
      </c>
      <c r="G45" s="1" t="str">
        <f>B45</f>
        <v>per 100 youth petitioned</v>
      </c>
      <c r="L45" s="57">
        <v>100</v>
      </c>
      <c r="M45" s="57"/>
      <c r="R45" s="49"/>
    </row>
    <row r="46" spans="2:18" ht="15" hidden="1" customHeight="1">
      <c r="B46" s="49" t="s">
        <v>90</v>
      </c>
      <c r="C46" s="49">
        <f>C12/100</f>
        <v>0.03</v>
      </c>
      <c r="D46" s="49">
        <f>E12/100</f>
        <v>0.02</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0.14199999999999999</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0.01</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0.04</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0.03</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0.02</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0.14199999999999999</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0.04</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0.03</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0.02</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0.14199999999999999</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0.04</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0.03</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0.02</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0.14199999999999999</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0.04</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0.03</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0.02</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Gogebic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f>'Other - Mixed'!L11</f>
        <v>139</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20</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1086</v>
      </c>
      <c r="D3" s="57">
        <f>'Data Entry'!C6</f>
        <v>944</v>
      </c>
      <c r="E3" s="57">
        <f>'Data Entry'!D6</f>
        <v>19</v>
      </c>
      <c r="F3" s="57">
        <f>'Data Entry'!E6</f>
        <v>38</v>
      </c>
      <c r="G3" s="57">
        <f>'Data Entry'!F6</f>
        <v>5</v>
      </c>
      <c r="H3" s="57">
        <f>'Data Entry'!G6</f>
        <v>0</v>
      </c>
      <c r="I3" s="57">
        <f>'Data Entry'!H6</f>
        <v>80</v>
      </c>
      <c r="J3" s="57">
        <f>'Data Entry'!I6</f>
        <v>0</v>
      </c>
      <c r="K3" s="57">
        <f>'Data Entry'!J6</f>
        <v>142</v>
      </c>
    </row>
    <row r="4" spans="2:11" ht="15" customHeight="1">
      <c r="B4" s="16" t="s">
        <v>8</v>
      </c>
      <c r="C4" s="1">
        <f>IF((C$3&gt;0),(1000*('Data Entry'!B7/'Data Entry'!B$6)), 0)</f>
        <v>12.89134438305709</v>
      </c>
      <c r="D4" s="1">
        <f>IF((D$3&gt;0),(1000*('Data Entry'!C7/'Data Entry'!C$6)), 0)</f>
        <v>12.711864406779663</v>
      </c>
      <c r="E4" s="1">
        <f>IF((E$3&gt;0),(1000*('Data Entry'!D7/'Data Entry'!D$6)), 0)</f>
        <v>0</v>
      </c>
      <c r="F4" s="1">
        <f>IF((F$3&gt;0),(1000*('Data Entry'!E7/'Data Entry'!E$6)), 0)</f>
        <v>0</v>
      </c>
      <c r="G4" s="1">
        <f>IF((G$3&gt;0),(1000*('Data Entry'!F7/'Data Entry'!F$6)), 0)</f>
        <v>0</v>
      </c>
      <c r="H4" s="1">
        <f>IF((H$3&gt;0),(1000*('Data Entry'!G7/'Data Entry'!G$6)), 0)</f>
        <v>0</v>
      </c>
      <c r="I4" s="1">
        <f>IF((I$3&gt;0),(1000*('Data Entry'!H7/'Data Entry'!H$6)), 0)</f>
        <v>12.5</v>
      </c>
      <c r="J4" s="1">
        <f>IF((J$3&gt;0),(1000*('Data Entry'!I7/'Data Entry'!I$6)), 0)</f>
        <v>0</v>
      </c>
      <c r="K4" s="1">
        <f>IF((K$3&gt;0),(1000*('Data Entry'!J7/'Data Entry'!J$6)), 0)</f>
        <v>7.042253521126761</v>
      </c>
    </row>
    <row r="5" spans="2:11" ht="15" customHeight="1">
      <c r="B5" s="16" t="s">
        <v>9</v>
      </c>
      <c r="C5" s="1">
        <f>IF((C$3&gt;0),(1000*('Data Entry'!B8/'Data Entry'!B$6)), 0)</f>
        <v>18.41620626151013</v>
      </c>
      <c r="D5" s="1">
        <f>IF((D$3&gt;0),(1000*('Data Entry'!C8/'Data Entry'!C$6)), 0)</f>
        <v>4.2372881355932206</v>
      </c>
      <c r="E5" s="1">
        <f>IF((E$3&gt;0),(1000*('Data Entry'!D8/'Data Entry'!D$6)), 0)</f>
        <v>0</v>
      </c>
      <c r="F5" s="1">
        <f>IF((F$3&gt;0),(1000*('Data Entry'!E8/'Data Entry'!E$6)), 0)</f>
        <v>0</v>
      </c>
      <c r="G5" s="1">
        <f>IF((G$3&gt;0),(1000*('Data Entry'!F8/'Data Entry'!F$6)), 0)</f>
        <v>0</v>
      </c>
      <c r="H5" s="1">
        <f>IF((H$3&gt;0),(1000*('Data Entry'!G8/'Data Entry'!G$6)), 0)</f>
        <v>0</v>
      </c>
      <c r="I5" s="1">
        <f>IF((I$3&gt;0),(1000*('Data Entry'!H8/'Data Entry'!H$6)), 0)</f>
        <v>25</v>
      </c>
      <c r="J5" s="1">
        <f>IF((J$3&gt;0),(1000*('Data Entry'!I8/'Data Entry'!I$6)), 0)</f>
        <v>0</v>
      </c>
      <c r="K5" s="1">
        <f>IF((K$3&gt;0),(1000*('Data Entry'!J8/'Data Entry'!J$6)), 0)</f>
        <v>28.169014084507044</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12.89134438305709</v>
      </c>
      <c r="D8" s="1">
        <f>IF((D$3&gt;0),(1000*('Data Entry'!C11/'Data Entry'!C$6)), 0)</f>
        <v>3.1779661016949157</v>
      </c>
      <c r="E8" s="1">
        <f>IF((E$3&gt;0),(1000*('Data Entry'!D11/'Data Entry'!D$6)), 0)</f>
        <v>0</v>
      </c>
      <c r="F8" s="1">
        <f>IF((F$3&gt;0),(1000*('Data Entry'!E11/'Data Entry'!E$6)), 0)</f>
        <v>0</v>
      </c>
      <c r="G8" s="1">
        <f>IF((G$3&gt;0),(1000*('Data Entry'!F11/'Data Entry'!F$6)), 0)</f>
        <v>0</v>
      </c>
      <c r="H8" s="1">
        <f>IF((H$3&gt;0),(1000*('Data Entry'!G11/'Data Entry'!G$6)), 0)</f>
        <v>0</v>
      </c>
      <c r="I8" s="1">
        <f>IF((I$3&gt;0),(1000*('Data Entry'!H11/'Data Entry'!H$6)), 0)</f>
        <v>12.5</v>
      </c>
      <c r="J8" s="1">
        <f>IF((J$3&gt;0),(1000*('Data Entry'!I11/'Data Entry'!I$6)), 0)</f>
        <v>0</v>
      </c>
      <c r="K8" s="1">
        <f>IF((K$3&gt;0),(1000*('Data Entry'!J11/'Data Entry'!J$6)), 0)</f>
        <v>21.12676056338028</v>
      </c>
    </row>
    <row r="9" spans="2:11" ht="15" customHeight="1">
      <c r="B9" s="16" t="s">
        <v>13</v>
      </c>
      <c r="C9" s="1">
        <f>IF((C$3&gt;0),(1000*('Data Entry'!B12/'Data Entry'!B$6)), 0)</f>
        <v>8.2872928176795568</v>
      </c>
      <c r="D9" s="1">
        <f>IF((D$3&gt;0),(1000*('Data Entry'!C12/'Data Entry'!C$6)), 0)</f>
        <v>3.1779661016949157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14.084507042253522</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1.8416206261510129</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Gogebic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0.98333333333333317</v>
      </c>
      <c r="I19" s="72" t="str">
        <f t="shared" si="1"/>
        <v>--</v>
      </c>
      <c r="J19" s="73">
        <f t="shared" si="1"/>
        <v>0.5539906103286385</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5.8999999999999995</v>
      </c>
      <c r="I20" s="72" t="str">
        <f t="shared" si="2"/>
        <v>--</v>
      </c>
      <c r="J20" s="73">
        <f t="shared" si="2"/>
        <v>6.647887323943662</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f t="shared" si="2"/>
        <v>3.9333333333333327</v>
      </c>
      <c r="I23" s="72" t="str">
        <f t="shared" si="2"/>
        <v>--</v>
      </c>
      <c r="J23" s="73">
        <f t="shared" si="2"/>
        <v>6.6478873239436602</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4.431924882629108</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Gogebic</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944</v>
      </c>
      <c r="D7" s="104">
        <f>'Data Entry'!D6</f>
        <v>19</v>
      </c>
      <c r="E7" s="105"/>
      <c r="F7" s="106">
        <f>'Data Entry'!E6</f>
        <v>38</v>
      </c>
      <c r="G7" s="105"/>
      <c r="H7" s="106">
        <f>'Data Entry'!F6</f>
        <v>5</v>
      </c>
      <c r="I7" s="105"/>
      <c r="J7" s="106">
        <f>'Data Entry'!G6</f>
        <v>0</v>
      </c>
      <c r="K7" s="105"/>
      <c r="L7" s="106">
        <f>'Data Entry'!H6</f>
        <v>80</v>
      </c>
      <c r="M7" s="105"/>
      <c r="N7" s="106">
        <f>'Data Entry'!I6</f>
        <v>0</v>
      </c>
      <c r="O7" s="105"/>
      <c r="P7" s="106">
        <f>'Data Entry'!J6</f>
        <v>142</v>
      </c>
      <c r="Q7" s="107"/>
    </row>
    <row r="8" spans="2:26" s="1" customFormat="1" ht="15" customHeight="1">
      <c r="B8" s="142" t="s">
        <v>8</v>
      </c>
      <c r="C8" s="103">
        <f>'Data Entry'!C7</f>
        <v>12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4</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2</v>
      </c>
      <c r="M9" s="109" t="str">
        <f>'Am Indian'!G8</f>
        <v>**</v>
      </c>
      <c r="N9" s="110">
        <f>'Data Entry'!I8</f>
        <v>2</v>
      </c>
      <c r="O9" s="109" t="str">
        <f>'Other - Mixed'!G8</f>
        <v>*</v>
      </c>
      <c r="P9" s="110">
        <f>'Data Entry'!J8</f>
        <v>4</v>
      </c>
      <c r="Q9" s="111" t="str">
        <f>'All Minorities'!G8</f>
        <v>**</v>
      </c>
      <c r="R9"/>
      <c r="T9" s="1">
        <f>'Black or African-American'!L8</f>
        <v>40</v>
      </c>
      <c r="U9" s="1">
        <f>Hispanic!L8</f>
        <v>40</v>
      </c>
      <c r="V9" s="1">
        <f>Asian!L8</f>
        <v>139</v>
      </c>
      <c r="W9" s="1">
        <f>Hawaiian!L8</f>
        <v>139</v>
      </c>
      <c r="X9" s="1">
        <f>'Am Indian'!L8</f>
        <v>20</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1</v>
      </c>
      <c r="M12" s="113" t="str">
        <f>'Am Indian'!G11</f>
        <v>**</v>
      </c>
      <c r="N12" s="114">
        <f>'Data Entry'!I11</f>
        <v>2</v>
      </c>
      <c r="O12" s="113" t="str">
        <f>'Other - Mixed'!G11</f>
        <v>*</v>
      </c>
      <c r="P12" s="114">
        <f>'Data Entry'!J11</f>
        <v>3</v>
      </c>
      <c r="Q12" s="115" t="str">
        <f>'All Minorities'!G11</f>
        <v>--</v>
      </c>
      <c r="R12"/>
      <c r="T12" s="1" t="e">
        <f>'Black or African-American'!L11</f>
        <v>#VALUE!</v>
      </c>
      <c r="U12" s="1" t="e">
        <f>Hispanic!L11</f>
        <v>#VALUE!</v>
      </c>
      <c r="V12" s="1" t="e">
        <f>Asian!L11</f>
        <v>#VALUE!</v>
      </c>
      <c r="W12" s="1" t="e">
        <f>Hawaiian!L11</f>
        <v>#VALUE!</v>
      </c>
      <c r="X12" s="1">
        <f>'Am Indian'!L11</f>
        <v>40</v>
      </c>
      <c r="Y12" s="1">
        <f>'Other - Mixed'!L11</f>
        <v>139</v>
      </c>
      <c r="Z12" s="1" t="e">
        <f>'All Minorities'!L11</f>
        <v>#VALUE!</v>
      </c>
    </row>
    <row r="13" spans="2:26" s="1" customFormat="1" ht="15" customHeight="1">
      <c r="B13" s="142" t="s">
        <v>13</v>
      </c>
      <c r="C13" s="103">
        <f>'Data Entry'!C12</f>
        <v>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2</v>
      </c>
      <c r="Q13" s="111" t="str">
        <f>'All Minorities'!G12</f>
        <v>**</v>
      </c>
      <c r="R13"/>
      <c r="T13" s="1" t="e">
        <f>'Black or African-American'!L12</f>
        <v>#VALUE!</v>
      </c>
      <c r="U13" s="1" t="e">
        <f>Hispanic!L12</f>
        <v>#VALUE!</v>
      </c>
      <c r="V13" s="1" t="e">
        <f>Asian!L12</f>
        <v>#VALUE!</v>
      </c>
      <c r="W13" s="1" t="e">
        <f>Hawaiian!L12</f>
        <v>#VALUE!</v>
      </c>
      <c r="X13" s="1">
        <f>'Am Indian'!L12</f>
        <v>20</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Gogebic</v>
      </c>
    </row>
    <row r="6" spans="1:12">
      <c r="A6" s="135" t="str">
        <f>CONCATENATE("Percentage of Minorities at Stages of the Juvenile Justice System, ", A5, " 2022")</f>
        <v>Percentage of Minorities at Stages of the Juvenile Justice System, County: Gogebic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6.647887323943662</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N=2</v>
      </c>
      <c r="L8">
        <f>I14/(SUM(B14:G14))</f>
        <v>6.647887323943662</v>
      </c>
    </row>
    <row r="9" spans="1:12">
      <c r="A9" s="128" t="str">
        <f>CONCATENATE("Delinquent Findings, total N=", 'Data Entry'!B12)</f>
        <v>Delinquent Findings, total N=9</v>
      </c>
      <c r="B9" s="150">
        <f>'Data Entry'!D12/'Data Entry'!B12</f>
        <v>0</v>
      </c>
      <c r="C9" s="150">
        <f>'Data Entry'!E12/'Data Entry'!B12</f>
        <v>0</v>
      </c>
      <c r="D9" s="150">
        <f>'Data Entry'!F12/'Data Entry'!B12</f>
        <v>0</v>
      </c>
      <c r="E9" s="150">
        <f>'Data Entry'!G12/'Data Entry'!B12</f>
        <v>0</v>
      </c>
      <c r="F9" s="150">
        <f>'Data Entry'!H12/'Data Entry'!B12</f>
        <v>0</v>
      </c>
      <c r="G9" s="150">
        <f>'Data Entry'!I12/'Data Entry'!B12</f>
        <v>0.22222222222222221</v>
      </c>
      <c r="H9" s="150">
        <f>SUM(D9:G9)/'Data Entry'!B12</f>
        <v>2.4691358024691357E-2</v>
      </c>
      <c r="I9" s="150">
        <f>'Data Entry'!C12/'Data Entry'!B12</f>
        <v>0.33333333333333331</v>
      </c>
      <c r="K9" s="96" t="str">
        <f t="shared" si="0"/>
        <v>Delinquent Findings, total N=9</v>
      </c>
      <c r="L9">
        <f>I14/(SUM(B14:G14))</f>
        <v>6.647887323943662</v>
      </c>
    </row>
    <row r="10" spans="1:12">
      <c r="A10" s="128" t="str">
        <f>CONCATENATE("Petitions, total N=", 'Data Entry'!B11)</f>
        <v>Petitions, total N=14</v>
      </c>
      <c r="B10" s="150">
        <f>'Data Entry'!D11/'Data Entry'!B11</f>
        <v>0</v>
      </c>
      <c r="C10" s="150">
        <f>'Data Entry'!E11/'Data Entry'!B11</f>
        <v>0</v>
      </c>
      <c r="D10" s="150">
        <f>'Data Entry'!F11/'Data Entry'!B11</f>
        <v>0</v>
      </c>
      <c r="E10" s="150">
        <f>'Data Entry'!G11/'Data Entry'!B11</f>
        <v>0</v>
      </c>
      <c r="F10" s="150">
        <f>'Data Entry'!H11/'Data Entry'!B11</f>
        <v>7.1428571428571425E-2</v>
      </c>
      <c r="G10" s="150">
        <f>'Data Entry'!I11/'Data Entry'!B11</f>
        <v>0.14285714285714285</v>
      </c>
      <c r="H10" s="150">
        <f>SUM(D10:G10)/'Data Entry'!B11</f>
        <v>1.5306122448979591E-2</v>
      </c>
      <c r="I10" s="150">
        <f>'Data Entry'!C11/'Data Entry'!B11</f>
        <v>0.21428571428571427</v>
      </c>
      <c r="K10" s="96" t="str">
        <f t="shared" si="0"/>
        <v>Petitions, total N=14</v>
      </c>
      <c r="L10">
        <f>I14/(SUM(B14:G14))</f>
        <v>6.647887323943662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6.647887323943662</v>
      </c>
    </row>
    <row r="12" spans="1:12">
      <c r="A12" s="128" t="str">
        <f>CONCATENATE("Referrals, total N=", 'Data Entry'!B8)</f>
        <v>Referrals, total N=20</v>
      </c>
      <c r="B12" s="150">
        <f>'Data Entry'!D8/'Data Entry'!B8</f>
        <v>0</v>
      </c>
      <c r="C12" s="150">
        <f>'Data Entry'!E8/'Data Entry'!B8</f>
        <v>0</v>
      </c>
      <c r="D12" s="150">
        <f>'Data Entry'!F8/'Data Entry'!B8</f>
        <v>0</v>
      </c>
      <c r="E12" s="150">
        <f>'Data Entry'!G8/'Data Entry'!B8</f>
        <v>0</v>
      </c>
      <c r="F12" s="150">
        <f>'Data Entry'!H8/'Data Entry'!B8</f>
        <v>0.1</v>
      </c>
      <c r="G12" s="150">
        <f>'Data Entry'!I8/'Data Entry'!B8</f>
        <v>0.1</v>
      </c>
      <c r="H12" s="150">
        <f>SUM(D12:G12)/'Data Entry'!B8</f>
        <v>0.01</v>
      </c>
      <c r="I12" s="150">
        <f>'Data Entry'!C8/'Data Entry'!B8</f>
        <v>0.2</v>
      </c>
      <c r="K12" s="96" t="str">
        <f t="shared" si="0"/>
        <v>Referrals, total N=20</v>
      </c>
      <c r="L12">
        <f>I14/(SUM(B14:G14))</f>
        <v>6.647887323943662</v>
      </c>
    </row>
    <row r="13" spans="1:12">
      <c r="A13" s="128" t="str">
        <f>CONCATENATE("Arrests, total N=", 'Data Entry'!B7)</f>
        <v>Arrests, total N=14</v>
      </c>
      <c r="B13" s="150">
        <f>'Data Entry'!D7/'Data Entry'!B7</f>
        <v>0</v>
      </c>
      <c r="C13" s="150">
        <f>'Data Entry'!E7/'Data Entry'!B7</f>
        <v>0</v>
      </c>
      <c r="D13" s="150">
        <f>'Data Entry'!F7/'Data Entry'!B7</f>
        <v>0</v>
      </c>
      <c r="E13" s="150">
        <f>'Data Entry'!G7/'Data Entry'!B7</f>
        <v>0</v>
      </c>
      <c r="F13" s="150">
        <f>'Data Entry'!H7/'Data Entry'!B7</f>
        <v>7.1428571428571425E-2</v>
      </c>
      <c r="G13" s="150">
        <f>'Data Entry'!I7/'Data Entry'!B7</f>
        <v>0</v>
      </c>
      <c r="H13" s="150">
        <f>SUM(D13:G13)/'Data Entry'!B7</f>
        <v>5.1020408163265302E-3</v>
      </c>
      <c r="I13" s="150">
        <f>'Data Entry'!C7/'Data Entry'!B7</f>
        <v>0.8571428571428571</v>
      </c>
      <c r="K13" s="96" t="str">
        <f t="shared" si="0"/>
        <v>Arrests, total N=14</v>
      </c>
      <c r="L13">
        <f>I14/(SUM(B14:G14))</f>
        <v>6.647887323943662</v>
      </c>
    </row>
    <row r="14" spans="1:12">
      <c r="A14" s="128" t="str">
        <f>CONCATENATE("Population, total N=", 'Data Entry'!B6)</f>
        <v>Population, total N=1086</v>
      </c>
      <c r="B14" s="150">
        <f>'Data Entry'!D6/'Data Entry'!B6</f>
        <v>1.7495395948434623E-2</v>
      </c>
      <c r="C14" s="150">
        <f>'Data Entry'!E6/'Data Entry'!B6</f>
        <v>3.4990791896869246E-2</v>
      </c>
      <c r="D14" s="150">
        <f>'Data Entry'!F6/'Data Entry'!B6</f>
        <v>4.6040515653775326E-3</v>
      </c>
      <c r="E14" s="150">
        <f>'Data Entry'!G6/'Data Entry'!B6</f>
        <v>0</v>
      </c>
      <c r="F14" s="150">
        <f>'Data Entry'!H6/'Data Entry'!B6</f>
        <v>7.3664825046040522E-2</v>
      </c>
      <c r="G14" s="150">
        <f>'Data Entry'!I6/'Data Entry'!B6</f>
        <v>0</v>
      </c>
      <c r="H14" s="150">
        <f>SUM(D14:G14)/'Data Entry'!B6</f>
        <v>7.2070788776628045E-5</v>
      </c>
      <c r="I14" s="150">
        <f>'Data Entry'!C6/'Data Entry'!B6</f>
        <v>0.86924493554327809</v>
      </c>
      <c r="K14" s="96" t="str">
        <f t="shared" si="0"/>
        <v>Population, total N=1086</v>
      </c>
      <c r="L14">
        <f>I14/(SUM(B14:G14))</f>
        <v>6.647887323943662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Gogebic</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944</v>
      </c>
      <c r="D7" s="104">
        <f>'Data Entry'!D6</f>
        <v>19</v>
      </c>
      <c r="E7" s="105"/>
      <c r="F7" s="106">
        <f>'Data Entry'!E6</f>
        <v>38</v>
      </c>
      <c r="G7" s="105"/>
      <c r="H7" s="106">
        <f>'Data Entry'!F6</f>
        <v>5</v>
      </c>
      <c r="I7" s="105"/>
      <c r="J7" s="106">
        <f>'Data Entry'!J6</f>
        <v>142</v>
      </c>
      <c r="K7" s="107"/>
    </row>
    <row r="8" spans="2:30" s="1" customFormat="1" ht="15" customHeight="1">
      <c r="B8" s="121" t="s">
        <v>8</v>
      </c>
      <c r="C8" s="103">
        <f>'Data Entry'!C7</f>
        <v>12</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4</v>
      </c>
      <c r="D9" s="108">
        <f>'Data Entry'!D8</f>
        <v>0</v>
      </c>
      <c r="E9" s="109" t="str">
        <f>'Black or African-American'!$G8</f>
        <v>**</v>
      </c>
      <c r="F9" s="110">
        <f>'Data Entry'!E8</f>
        <v>0</v>
      </c>
      <c r="G9" s="109" t="str">
        <f>Hispanic!G8</f>
        <v>**</v>
      </c>
      <c r="H9" s="110">
        <f>'Data Entry'!F8</f>
        <v>0</v>
      </c>
      <c r="I9" s="109" t="str">
        <f>Asian!G8</f>
        <v>*</v>
      </c>
      <c r="J9" s="110">
        <f>'Data Entry'!J8</f>
        <v>4</v>
      </c>
      <c r="K9" s="111" t="str">
        <f>'All Minorities'!G8</f>
        <v>**</v>
      </c>
      <c r="L9"/>
      <c r="N9" s="1">
        <f>'Black or African-American'!L8</f>
        <v>40</v>
      </c>
      <c r="O9" s="1">
        <f>Hispanic!L8</f>
        <v>40</v>
      </c>
      <c r="P9" s="1">
        <f>Asian!L8</f>
        <v>139</v>
      </c>
      <c r="Q9" s="1">
        <f>Hawaiian!L8</f>
        <v>139</v>
      </c>
      <c r="R9" s="1">
        <f>'Am Indian'!L8</f>
        <v>20</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t="e">
        <f>'Black or African-American'!L11</f>
        <v>#VALUE!</v>
      </c>
      <c r="O12" s="1" t="e">
        <f>Hispanic!L11</f>
        <v>#VALUE!</v>
      </c>
      <c r="P12" s="1" t="e">
        <f>Asian!L11</f>
        <v>#VALUE!</v>
      </c>
      <c r="Q12" s="1" t="e">
        <f>Hawaiian!L11</f>
        <v>#VALUE!</v>
      </c>
      <c r="R12" s="1">
        <f>'Am Indian'!L11</f>
        <v>40</v>
      </c>
      <c r="S12" s="1">
        <f>'Other - Mixed'!L11</f>
        <v>139</v>
      </c>
      <c r="T12" s="1" t="e">
        <f>'All Minorities'!L11</f>
        <v>#VALUE!</v>
      </c>
    </row>
    <row r="13" spans="2:30" s="1" customFormat="1" ht="15" customHeight="1">
      <c r="B13" s="121" t="s">
        <v>13</v>
      </c>
      <c r="C13" s="103">
        <f>'Data Entry'!C12</f>
        <v>3</v>
      </c>
      <c r="D13" s="108">
        <f>'Data Entry'!D12</f>
        <v>0</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t="e">
        <f>'Black or African-American'!L12</f>
        <v>#VALUE!</v>
      </c>
      <c r="O13" s="1" t="e">
        <f>Hispanic!L12</f>
        <v>#VALUE!</v>
      </c>
      <c r="P13" s="1" t="e">
        <f>Asian!L12</f>
        <v>#VALUE!</v>
      </c>
      <c r="Q13" s="1" t="e">
        <f>Hawaiian!L12</f>
        <v>#VALUE!</v>
      </c>
      <c r="R13" s="1">
        <f>'Am Indian'!L12</f>
        <v>20</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Entry'!D6</f>
        <v>19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19</v>
      </c>
      <c r="P7" s="42">
        <f t="shared" ref="P7:P15" si="2">C7</f>
        <v>12</v>
      </c>
      <c r="Q7" s="42">
        <f>C6-C7</f>
        <v>932</v>
      </c>
      <c r="R7" s="42">
        <f t="shared" ref="R7:R15" si="3">SUM(N7:Q7)</f>
        <v>963</v>
      </c>
      <c r="S7" s="30">
        <f t="shared" ref="S7:S15" si="4">R7*((((N7*Q7)-(O7*P7))^2))</f>
        <v>50060592</v>
      </c>
      <c r="T7" s="30">
        <f t="shared" ref="T7:T15" si="5">(N7+O7)*(P7+Q7)*(N7+P7)*(O7+Q7)</f>
        <v>204685632</v>
      </c>
      <c r="U7" s="31">
        <f t="shared" ref="U7:U15" si="6">IF((S7&gt;0),S7/T7,"- -")</f>
        <v>0.24457306314495</v>
      </c>
    </row>
    <row r="8" spans="2:21" ht="18" customHeight="1">
      <c r="B8" s="32" t="str">
        <f>'Data Entry'!A8</f>
        <v>3. Refer to Juvenile Court</v>
      </c>
      <c r="C8" s="33">
        <f>'Data Entry'!C8</f>
        <v>4</v>
      </c>
      <c r="D8" s="34">
        <f>IF((AND(C67&gt;0,C8&gt;0)),(C8/C67),0)</f>
        <v>33.333333333333336</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4</v>
      </c>
      <c r="Q8" s="42">
        <f>(C$67*L67)-C8</f>
        <v>8</v>
      </c>
      <c r="R8" s="42">
        <f t="shared" si="3"/>
        <v>12.05</v>
      </c>
      <c r="S8" s="30">
        <f t="shared" si="4"/>
        <v>0.4820000000000001</v>
      </c>
      <c r="T8" s="30">
        <f t="shared" si="5"/>
        <v>19.320000000000004</v>
      </c>
      <c r="U8" s="31">
        <f t="shared" si="6"/>
        <v>2.494824016563147E-2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4</v>
      </c>
      <c r="R9" s="42">
        <f t="shared" si="3"/>
        <v>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4</v>
      </c>
      <c r="R10" s="42">
        <f t="shared" si="3"/>
        <v>4</v>
      </c>
      <c r="S10" s="30">
        <f t="shared" si="4"/>
        <v>0</v>
      </c>
      <c r="T10" s="30">
        <f t="shared" si="5"/>
        <v>0</v>
      </c>
      <c r="U10" s="31" t="str">
        <f t="shared" si="6"/>
        <v>- -</v>
      </c>
    </row>
    <row r="11" spans="2:21" ht="18" customHeight="1">
      <c r="B11" s="32" t="str">
        <f>'Data Entry'!A11</f>
        <v>6. Cases Petitioned (Charge Filed)</v>
      </c>
      <c r="C11" s="33">
        <f>'Data Entry'!C11</f>
        <v>3</v>
      </c>
      <c r="D11" s="34">
        <f>IF(((AND(C68&gt;0,C11&gt;0))),(C11/(C68)),0)</f>
        <v>75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3</v>
      </c>
      <c r="Q11" s="42">
        <f>(C$68*L68)-C11</f>
        <v>1</v>
      </c>
      <c r="R11" s="42">
        <f t="shared" si="3"/>
        <v>4</v>
      </c>
      <c r="S11" s="30">
        <f t="shared" si="4"/>
        <v>0</v>
      </c>
      <c r="T11" s="30">
        <f t="shared" si="5"/>
        <v>0</v>
      </c>
      <c r="U11" s="31" t="str">
        <f t="shared" si="6"/>
        <v>- -</v>
      </c>
    </row>
    <row r="12" spans="2:21" ht="18" customHeight="1">
      <c r="B12" s="32" t="str">
        <f>'Data Entry'!A12</f>
        <v>7. Cases Resulting in Delinquent Findings</v>
      </c>
      <c r="C12" s="33">
        <f>'Data Entry'!C12</f>
        <v>3</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v>
      </c>
      <c r="Q12" s="42">
        <f>(C69*L69)-C12</f>
        <v>0</v>
      </c>
      <c r="R12" s="42">
        <f t="shared" si="3"/>
        <v>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v>
      </c>
      <c r="R13" s="42">
        <f t="shared" si="3"/>
        <v>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v>
      </c>
      <c r="R14" s="42">
        <f t="shared" si="3"/>
        <v>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1.9E-2</v>
      </c>
      <c r="E42" s="56">
        <f>MAX(C42:D42)</f>
        <v>0.94399999999999995</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0.04</v>
      </c>
      <c r="D44" s="56">
        <f>E8/100</f>
        <v>0</v>
      </c>
      <c r="E44" s="56">
        <f>MAX(C44:D44,0)</f>
        <v>0.04</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1.9E-2</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1.9E-2</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1.9E-2</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1.9E-2</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12</v>
      </c>
      <c r="Q7" s="42">
        <f>C6-C7</f>
        <v>932</v>
      </c>
      <c r="R7" s="42">
        <f t="shared" ref="R7:R15" si="5">SUM(N7:Q7)</f>
        <v>949</v>
      </c>
      <c r="S7" s="30">
        <f t="shared" ref="S7:S15" si="6">R7*((((N7*Q7)-(O7*P7))^2))</f>
        <v>3416400</v>
      </c>
      <c r="T7" s="30">
        <f t="shared" ref="T7:T15" si="7">(N7+O7)*(P7+Q7)*(N7+P7)*(O7+Q7)</f>
        <v>53071680</v>
      </c>
      <c r="U7" s="31">
        <f t="shared" ref="U7:U15" si="8">IF((S7&gt;0),S7/T7,"- -")</f>
        <v>6.43733154857732E-2</v>
      </c>
    </row>
    <row r="8" spans="2:21" ht="18" customHeight="1">
      <c r="B8" s="32" t="str">
        <f>'Data Entry'!A8</f>
        <v>3. Refer to Juvenile Court</v>
      </c>
      <c r="C8" s="33">
        <f>'Data Entry'!C8</f>
        <v>4</v>
      </c>
      <c r="D8" s="34">
        <f>IF((AND(C67&gt;0,C8&gt;0)),(C8/C67),0)</f>
        <v>33.333333333333336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v>
      </c>
      <c r="Q8" s="42">
        <f>(C$67*L67)-C8</f>
        <v>8</v>
      </c>
      <c r="R8" s="42">
        <f t="shared" si="5"/>
        <v>12.05</v>
      </c>
      <c r="S8" s="30">
        <f t="shared" si="6"/>
        <v>0.4820000000000001</v>
      </c>
      <c r="T8" s="30">
        <f t="shared" si="7"/>
        <v>19.320000000000004</v>
      </c>
      <c r="U8" s="31">
        <f t="shared" si="8"/>
        <v>2.494824016563147E-2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1</v>
      </c>
      <c r="R11" s="42">
        <f t="shared" si="5"/>
        <v>4</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5.0000000000000001E-3</v>
      </c>
      <c r="E42" s="56">
        <f>MAX(C42:D42)</f>
        <v>0.94399999999999995</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0.04</v>
      </c>
      <c r="D44" s="56">
        <f>E8/100</f>
        <v>0</v>
      </c>
      <c r="E44" s="56">
        <f>MAX(C44:D44,0)</f>
        <v>0.04</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5.0000000000000001E-3</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5.0000000000000001E-3</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5.0000000000000001E-3</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5.0000000000000001E-3</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Entry'!E6</f>
        <v>38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38</v>
      </c>
      <c r="P7" s="42">
        <f t="shared" ref="P7:P15" si="4">C7</f>
        <v>12</v>
      </c>
      <c r="Q7" s="42">
        <f>C6-C7</f>
        <v>932</v>
      </c>
      <c r="R7" s="42">
        <f t="shared" ref="R7:R15" si="5">SUM(N7:Q7)</f>
        <v>982</v>
      </c>
      <c r="S7" s="30">
        <f t="shared" ref="S7:S15" si="6">R7*((((N7*Q7)-(O7*P7))^2))</f>
        <v>204193152</v>
      </c>
      <c r="T7" s="30">
        <f t="shared" ref="T7:T15" si="7">(N7+O7)*(P7+Q7)*(N7+P7)*(O7+Q7)</f>
        <v>417550080</v>
      </c>
      <c r="U7" s="31">
        <f t="shared" ref="U7:U15" si="8">IF((S7&gt;0),S7/T7,"- -")</f>
        <v>0.4890267342302988</v>
      </c>
    </row>
    <row r="8" spans="2:21" ht="18" customHeight="1">
      <c r="B8" s="32" t="str">
        <f>'Data Entry'!A8</f>
        <v>3. Refer to Juvenile Court</v>
      </c>
      <c r="C8" s="33">
        <f>'Data Entry'!C8</f>
        <v>4</v>
      </c>
      <c r="D8" s="34">
        <f>IF((AND(C67&gt;0,C8&gt;0)),(C8/C67),0)</f>
        <v>33.333333333333336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v>
      </c>
      <c r="Q8" s="42">
        <f>(C$67*L67)-C8</f>
        <v>8</v>
      </c>
      <c r="R8" s="42">
        <f t="shared" si="5"/>
        <v>12.05</v>
      </c>
      <c r="S8" s="30">
        <f t="shared" si="6"/>
        <v>0.4820000000000001</v>
      </c>
      <c r="T8" s="30">
        <f t="shared" si="7"/>
        <v>19.320000000000004</v>
      </c>
      <c r="U8" s="31">
        <f t="shared" si="8"/>
        <v>2.494824016563147E-2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1</v>
      </c>
      <c r="R11" s="42">
        <f t="shared" si="5"/>
        <v>4</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3.7999999999999999E-2</v>
      </c>
      <c r="E42" s="56">
        <f>MAX(C42:D42)</f>
        <v>0.94399999999999995</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0.04</v>
      </c>
      <c r="D44" s="56">
        <f>E8/100</f>
        <v>0</v>
      </c>
      <c r="E44" s="56">
        <f>MAX(C44:D44,0)</f>
        <v>0.04</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3.7999999999999999E-2</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3.7999999999999999E-2</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3.7999999999999999E-2</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3.7999999999999999E-2</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932</v>
      </c>
      <c r="R7" s="42">
        <f t="shared" ref="R7:R15" si="5">SUM(N7:Q7)</f>
        <v>944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v>
      </c>
      <c r="D8" s="34">
        <f>IF((AND(C67&gt;0,C8&gt;0)),(C8/C67),0)</f>
        <v>33.333333333333336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v>
      </c>
      <c r="Q8" s="42">
        <f>(C$67*L67)-C8</f>
        <v>8</v>
      </c>
      <c r="R8" s="42">
        <f t="shared" si="5"/>
        <v>12.05</v>
      </c>
      <c r="S8" s="30">
        <f t="shared" si="6"/>
        <v>0.4820000000000001</v>
      </c>
      <c r="T8" s="30">
        <f t="shared" si="7"/>
        <v>19.320000000000004</v>
      </c>
      <c r="U8" s="31">
        <f t="shared" si="8"/>
        <v>2.494824016563147E-2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1</v>
      </c>
      <c r="R11" s="42">
        <f t="shared" si="5"/>
        <v>4</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0</v>
      </c>
      <c r="E42" s="56">
        <f>MAX(C42:D42)</f>
        <v>0.94399999999999995</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0.04</v>
      </c>
      <c r="D44" s="56">
        <f>E8/100</f>
        <v>0</v>
      </c>
      <c r="E44" s="56">
        <f>MAX(C44:D44,0)</f>
        <v>0.04</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0</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0</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0</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0</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944</v>
      </c>
      <c r="D6" s="34"/>
      <c r="E6" s="33">
        <f>'Data Entry'!H6</f>
        <v>80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12.711864406779661</v>
      </c>
      <c r="E7" s="33">
        <f>'Data Entry'!H7</f>
        <v>1</v>
      </c>
      <c r="F7" s="34">
        <f>IF((AND($E$7&gt;0,$D$66&gt;0)),($E$7/$D$66),0)</f>
        <v>12.5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79</v>
      </c>
      <c r="P7" s="42">
        <f t="shared" ref="P7:P15" si="4">C7</f>
        <v>12</v>
      </c>
      <c r="Q7" s="42">
        <f>C6-C7</f>
        <v>932</v>
      </c>
      <c r="R7" s="42">
        <f t="shared" ref="R7:R15" si="5">SUM(N7:Q7)</f>
        <v>1024</v>
      </c>
      <c r="S7" s="30">
        <f t="shared" ref="S7:S15" si="6">R7*((((N7*Q7)-(O7*P7))^2))</f>
        <v>262144</v>
      </c>
      <c r="T7" s="30">
        <f t="shared" ref="T7:T15" si="7">(N7+O7)*(P7+Q7)*(N7+P7)*(O7+Q7)</f>
        <v>992559360</v>
      </c>
      <c r="U7" s="31">
        <f t="shared" ref="U7:U15" si="8">IF((S7&gt;0),S7/T7,"- -")</f>
        <v>2.641091410391818E-4</v>
      </c>
    </row>
    <row r="8" spans="2:21" ht="18" customHeight="1">
      <c r="B8" s="32" t="str">
        <f>'Data Entry'!A8</f>
        <v>3. Refer to Juvenile Court</v>
      </c>
      <c r="C8" s="33">
        <f>'Data Entry'!C8</f>
        <v>4</v>
      </c>
      <c r="D8" s="34">
        <f>IF((AND(C67&gt;0,C8&gt;0)),(C8/C67),0)</f>
        <v>33.333333333333336</v>
      </c>
      <c r="E8" s="33">
        <f>'Data Entry'!H8</f>
        <v>2</v>
      </c>
      <c r="F8" s="34">
        <f>IF((AND($E$8&gt;0,$D$67&gt;0)),($E8/$D67),0)</f>
        <v>200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-0.95</v>
      </c>
      <c r="P8" s="42">
        <f t="shared" si="4"/>
        <v>4</v>
      </c>
      <c r="Q8" s="42">
        <f>(C$67*L67)-C8</f>
        <v>8</v>
      </c>
      <c r="R8" s="42">
        <f t="shared" si="5"/>
        <v>13.05</v>
      </c>
      <c r="S8" s="30">
        <f t="shared" si="6"/>
        <v>5116.1220000000003</v>
      </c>
      <c r="T8" s="30">
        <f t="shared" si="7"/>
        <v>532.98</v>
      </c>
      <c r="U8" s="31">
        <f t="shared" si="8"/>
        <v>9.5990881458966566</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4</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4</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75</v>
      </c>
      <c r="E11" s="33">
        <f>'Data Entry'!H11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3</v>
      </c>
      <c r="Q11" s="42">
        <f>(C$68*L68)-C11</f>
        <v>1</v>
      </c>
      <c r="R11" s="42">
        <f t="shared" si="5"/>
        <v>6</v>
      </c>
      <c r="S11" s="30">
        <f t="shared" si="6"/>
        <v>24</v>
      </c>
      <c r="T11" s="30">
        <f t="shared" si="7"/>
        <v>64</v>
      </c>
      <c r="U11" s="31">
        <f t="shared" si="8"/>
        <v>0.375</v>
      </c>
    </row>
    <row r="12" spans="2:21" ht="18" customHeight="1">
      <c r="B12" s="32" t="str">
        <f>'Data Entry'!A12</f>
        <v>7. Cases Resulting in Delinquent Findings</v>
      </c>
      <c r="C12" s="33">
        <f>'Data Entry'!C12</f>
        <v>3</v>
      </c>
      <c r="D12" s="34">
        <f>IF(((AND(C69&gt;0,C12&gt;0))),(C12/(C69)),0)</f>
        <v>100</v>
      </c>
      <c r="E12" s="33">
        <f>'Data Entry'!H12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0</v>
      </c>
      <c r="O12" s="42">
        <f>(D69*L69)-E12</f>
        <v>1</v>
      </c>
      <c r="P12" s="42">
        <f t="shared" si="4"/>
        <v>3</v>
      </c>
      <c r="Q12" s="42">
        <f>(C69*L69)-C12</f>
        <v>0</v>
      </c>
      <c r="R12" s="42">
        <f t="shared" si="5"/>
        <v>4</v>
      </c>
      <c r="S12" s="30">
        <f t="shared" si="6"/>
        <v>36</v>
      </c>
      <c r="T12" s="30">
        <f t="shared" si="7"/>
        <v>9</v>
      </c>
      <c r="U12" s="31">
        <f t="shared" si="8"/>
        <v>4</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0.94399999999999995</v>
      </c>
      <c r="D42" s="56">
        <f>E6/1000</f>
        <v>0.08</v>
      </c>
      <c r="E42" s="56">
        <f>MAX(C42:D42)</f>
        <v>0.94399999999999995</v>
      </c>
      <c r="G42" s="1" t="str">
        <f>B42</f>
        <v>per 1000 youth</v>
      </c>
      <c r="L42" s="57">
        <v>1000</v>
      </c>
      <c r="M42" s="57"/>
      <c r="R42" s="49"/>
    </row>
    <row r="43" spans="2:18" ht="15" hidden="1" customHeight="1">
      <c r="B43" s="49" t="s">
        <v>87</v>
      </c>
      <c r="C43" s="56">
        <f>C7/100</f>
        <v>0.12</v>
      </c>
      <c r="D43" s="56">
        <f>E7/100</f>
        <v>0.01</v>
      </c>
      <c r="E43" s="56">
        <f>MAX(C43:D43,0)</f>
        <v>0.12</v>
      </c>
      <c r="G43" s="1" t="str">
        <f>B43</f>
        <v>per 100 arrests</v>
      </c>
      <c r="L43" s="57">
        <v>100</v>
      </c>
      <c r="M43" s="57"/>
      <c r="R43" s="49"/>
    </row>
    <row r="44" spans="2:18" ht="15" hidden="1" customHeight="1">
      <c r="B44" s="49" t="s">
        <v>88</v>
      </c>
      <c r="C44" s="56">
        <f>C8/100</f>
        <v>0.04</v>
      </c>
      <c r="D44" s="56">
        <f>E8/100</f>
        <v>0.02</v>
      </c>
      <c r="E44" s="56">
        <f>MAX(C44:D44,0)</f>
        <v>0.04</v>
      </c>
      <c r="G44" s="1" t="str">
        <f>B44</f>
        <v>per 100 referrals</v>
      </c>
      <c r="L44" s="57">
        <v>100</v>
      </c>
      <c r="M44" s="57"/>
      <c r="R44" s="49"/>
    </row>
    <row r="45" spans="2:18" ht="15" hidden="1" customHeight="1">
      <c r="B45" s="49" t="s">
        <v>89</v>
      </c>
      <c r="C45" s="49">
        <f>C11/100</f>
        <v>0.03</v>
      </c>
      <c r="D45" s="49">
        <f>E11/100</f>
        <v>0.01</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0.94399999999999995</v>
      </c>
      <c r="D48" s="56">
        <f>D42</f>
        <v>0.08</v>
      </c>
      <c r="E48" s="56">
        <f>MAX(C48:D48)</f>
        <v>0.94399999999999995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0.01</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0.04</v>
      </c>
      <c r="D50" s="49">
        <f t="shared" si="9"/>
        <v>0.02</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0.01</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0.94399999999999995</v>
      </c>
      <c r="D54" s="56">
        <f>D48</f>
        <v>0.08</v>
      </c>
      <c r="E54" s="56">
        <f>MAX(C54:D54)</f>
        <v>0.94399999999999995</v>
      </c>
      <c r="G54" s="1" t="str">
        <f>G48</f>
        <v>per 1000 youth</v>
      </c>
      <c r="L54" s="58">
        <f>L48</f>
        <v>1000</v>
      </c>
      <c r="M54" s="58"/>
    </row>
    <row r="55" spans="2:18" ht="15" hidden="1" customHeight="1">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c r="B56" s="49" t="str">
        <f t="shared" si="10"/>
        <v>per 100 referrals</v>
      </c>
      <c r="C56" s="49">
        <f t="shared" si="10"/>
        <v>0.04</v>
      </c>
      <c r="D56" s="49">
        <f t="shared" si="10"/>
        <v>0.02</v>
      </c>
      <c r="E56" s="49">
        <f>MAX(C56:D56)</f>
        <v>0.04</v>
      </c>
      <c r="G56" s="1" t="str">
        <f>G50</f>
        <v>per 100 referrals</v>
      </c>
      <c r="L56" s="58">
        <f>IF(($E50&gt;0),L50,L49)</f>
        <v>100</v>
      </c>
      <c r="M56" s="58"/>
    </row>
    <row r="57" spans="2:18" ht="15" hidden="1" customHeight="1">
      <c r="B57" s="49" t="str">
        <f>IF(($E51&gt;0),B51,B49)</f>
        <v>per 100 youth petitioned</v>
      </c>
      <c r="C57" s="49">
        <f>IF(($E51&gt;0),C51,C50)</f>
        <v>0.03</v>
      </c>
      <c r="D57" s="49">
        <f>IF(($E51&gt;0),D51,D50)</f>
        <v>0.01</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0.94399999999999995</v>
      </c>
      <c r="D60" s="56">
        <f>D54</f>
        <v>0.08</v>
      </c>
      <c r="E60" s="56">
        <f>MAX(C60:D60)</f>
        <v>0.94399999999999995</v>
      </c>
      <c r="G60" s="1" t="str">
        <f>G54</f>
        <v>per 1000 youth</v>
      </c>
      <c r="L60" s="58">
        <f>L54</f>
        <v>1000</v>
      </c>
      <c r="M60" s="58"/>
    </row>
    <row r="61" spans="2:18" ht="15" hidden="1" customHeight="1">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c r="B62" s="49" t="str">
        <f t="shared" si="11"/>
        <v>per 100 referrals</v>
      </c>
      <c r="C62" s="49">
        <f t="shared" si="11"/>
        <v>0.04</v>
      </c>
      <c r="D62" s="49">
        <f t="shared" si="11"/>
        <v>0.02</v>
      </c>
      <c r="E62" s="49">
        <f>MAX(C62:D62)</f>
        <v>0.04</v>
      </c>
      <c r="G62" s="1" t="str">
        <f>G56</f>
        <v>per 100 referrals</v>
      </c>
      <c r="L62" s="58">
        <f>IF(($E56&gt;0),L56,L55)</f>
        <v>100</v>
      </c>
      <c r="M62" s="58"/>
    </row>
    <row r="63" spans="2:18" ht="15" hidden="1" customHeight="1">
      <c r="B63" s="49" t="str">
        <f>IF(($E57&gt;0),B57,B55)</f>
        <v>per 100 youth petitioned</v>
      </c>
      <c r="C63" s="49">
        <f>IF(($E57&gt;0),C57,C56)</f>
        <v>0.03</v>
      </c>
      <c r="D63" s="49">
        <f>IF(($E57&gt;0),D57,D56)</f>
        <v>0.01</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0.94399999999999995</v>
      </c>
      <c r="D66" s="56">
        <f>D60</f>
        <v>0.08</v>
      </c>
      <c r="E66" s="56">
        <f>MAX(C66:D66)</f>
        <v>0.94399999999999995</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c r="B68" s="49" t="str">
        <f t="shared" si="12"/>
        <v>per 100 referrals</v>
      </c>
      <c r="C68" s="49">
        <f t="shared" si="12"/>
        <v>0.04</v>
      </c>
      <c r="D68" s="49">
        <f t="shared" si="12"/>
        <v>0.02</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0.01</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U47JMPN4QEAR-1806752177-30455</_dlc_DocId>
    <_dlc_DocIdUrl xmlns="ac3811b5-0f3e-49e2-ba69-f2ffa0c782af">
      <Url>https://michiganphi.sharepoint.com/sites/CMDMC/_layouts/15/DocIdRedir.aspx?ID=U47JMPN4QEAR-1806752177-30455</Url>
      <Description>U47JMPN4QEAR-1806752177-30455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F6100F-6689-43AB-A00F-149AFDE629F1}"/>
</file>

<file path=customXml/itemProps2.xml><?xml version="1.0" encoding="utf-8"?>
<ds:datastoreItem xmlns:ds="http://schemas.openxmlformats.org/officeDocument/2006/customXml" ds:itemID="{78E1B97E-EC51-44A0-9EE5-8A476B6C2DCF}">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35BAEE7B-B85F-402A-A54F-593BBF6C2E4A}">
  <ds:schemaRefs>
    <ds:schemaRef ds:uri="http://schemas.microsoft.com/sharepoint/v3/contenttype/forms"/>
  </ds:schemaRefs>
</ds:datastoreItem>
</file>

<file path=customXml/itemProps4.xml><?xml version="1.0" encoding="utf-8"?>
<ds:datastoreItem xmlns:ds="http://schemas.openxmlformats.org/officeDocument/2006/customXml" ds:itemID="{4EA643BE-0429-4AE2-A90B-D06FEF1BCF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bf64c0e1-72d6-40dc-b460-6a756b6d9ba4</vt:lpwstr>
  </property>
</Properties>
</file>