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7639F60C-0317-4D7F-A8ED-A8D3187CD034}"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2"/>
  <c r="M66" i="2"/>
  <c r="F27" i="8"/>
  <c r="M66" i="8"/>
  <c r="M66" i="6"/>
  <c r="F27"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E44" i="6"/>
  <c r="D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49" i="7" l="1"/>
  <c r="D49" i="7"/>
  <c r="B50" i="6"/>
  <c r="L50" i="6"/>
  <c r="D50" i="5"/>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L55" i="5" s="1"/>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E55" i="5" s="1"/>
  <c r="D61" i="5" s="1"/>
  <c r="B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C64" i="5"/>
  <c r="D64" i="5"/>
  <c r="B56" i="8"/>
  <c r="E58"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E64" i="5"/>
  <c r="Q8" i="13"/>
  <c r="I7" i="9"/>
  <c r="B64" i="8"/>
  <c r="C64" i="8"/>
  <c r="L64" i="8"/>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L63" i="5"/>
  <c r="F8" i="5"/>
  <c r="D70" i="5" l="1"/>
  <c r="F14" i="5" s="1"/>
  <c r="L70" i="5"/>
  <c r="B70" i="5"/>
  <c r="F33" i="5" s="1"/>
  <c r="E64" i="8"/>
  <c r="B70" i="8" s="1"/>
  <c r="M70" i="8" s="1"/>
  <c r="E63" i="3"/>
  <c r="C69" i="3" s="1"/>
  <c r="D12" i="3" s="1"/>
  <c r="B70" i="3"/>
  <c r="M70" i="3" s="1"/>
  <c r="L69" i="7"/>
  <c r="C69" i="7"/>
  <c r="D12" i="7" s="1"/>
  <c r="D70" i="6"/>
  <c r="F13" i="6" s="1"/>
  <c r="D63" i="8"/>
  <c r="C63" i="8"/>
  <c r="L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69" i="3"/>
  <c r="M69" i="3" s="1"/>
  <c r="E64" i="2"/>
  <c r="L70" i="2" s="1"/>
  <c r="L67" i="6"/>
  <c r="F10" i="3"/>
  <c r="F11" i="3"/>
  <c r="D67" i="6"/>
  <c r="F8" i="6" s="1"/>
  <c r="M70" i="5"/>
  <c r="E70" i="5"/>
  <c r="Q13" i="5"/>
  <c r="D13" i="5"/>
  <c r="Q14"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O13" i="5" l="1"/>
  <c r="R13" i="5" s="1"/>
  <c r="S13" i="5" s="1"/>
  <c r="U13" i="5" s="1"/>
  <c r="J13" i="5" s="1"/>
  <c r="M13" i="5" s="1"/>
  <c r="F13" i="5"/>
  <c r="C70" i="8"/>
  <c r="D13" i="8" s="1"/>
  <c r="F34" i="3"/>
  <c r="D70" i="8"/>
  <c r="F13" i="8" s="1"/>
  <c r="L70" i="8"/>
  <c r="O13" i="8" s="1"/>
  <c r="L69" i="3"/>
  <c r="Q12" i="3" s="1"/>
  <c r="F33" i="3"/>
  <c r="D69" i="3"/>
  <c r="E69" i="3" s="1"/>
  <c r="B69" i="6"/>
  <c r="M69" i="6" s="1"/>
  <c r="Q12" i="7"/>
  <c r="E70" i="6"/>
  <c r="D15" i="7"/>
  <c r="Q15" i="7"/>
  <c r="O14" i="6"/>
  <c r="E69" i="7"/>
  <c r="E63" i="8"/>
  <c r="D69" i="8" s="1"/>
  <c r="F15" i="8" s="1"/>
  <c r="D13" i="6"/>
  <c r="O13" i="6"/>
  <c r="F14" i="6"/>
  <c r="E70" i="3"/>
  <c r="D13" i="3"/>
  <c r="F14" i="3"/>
  <c r="O13" i="3"/>
  <c r="C69" i="6"/>
  <c r="D12" i="6" s="1"/>
  <c r="Q14" i="3"/>
  <c r="F12" i="7"/>
  <c r="O12" i="7"/>
  <c r="D14" i="6"/>
  <c r="O15" i="7"/>
  <c r="Q13" i="3"/>
  <c r="Q13" i="6"/>
  <c r="Q14" i="6"/>
  <c r="O14" i="3"/>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F32" i="2"/>
  <c r="R10" i="3"/>
  <c r="S10" i="3" s="1"/>
  <c r="U10" i="3" s="1"/>
  <c r="J10" i="3" s="1"/>
  <c r="M10" i="3" s="1"/>
  <c r="G10" i="3" s="1"/>
  <c r="I11" i="16" s="1"/>
  <c r="F8" i="2"/>
  <c r="F14" i="8"/>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F33" i="8"/>
  <c r="C70" i="2"/>
  <c r="D14" i="2" s="1"/>
  <c r="T14" i="5"/>
  <c r="K14" i="5"/>
  <c r="D70" i="2"/>
  <c r="O14" i="2" s="1"/>
  <c r="D14" i="8"/>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Q15" i="3" l="1"/>
  <c r="K15" i="3" s="1"/>
  <c r="T13" i="5"/>
  <c r="E70" i="8"/>
  <c r="O12" i="3"/>
  <c r="R12" i="3" s="1"/>
  <c r="S12" i="3" s="1"/>
  <c r="U12" i="3" s="1"/>
  <c r="J12" i="3" s="1"/>
  <c r="T12" i="7"/>
  <c r="Q14" i="8"/>
  <c r="O14" i="8"/>
  <c r="K14" i="8" s="1"/>
  <c r="Q13" i="8"/>
  <c r="R13" i="8" s="1"/>
  <c r="S13" i="8" s="1"/>
  <c r="F35" i="6"/>
  <c r="D15" i="6"/>
  <c r="R14" i="3"/>
  <c r="S14" i="3" s="1"/>
  <c r="U14" i="3" s="1"/>
  <c r="J14" i="3" s="1"/>
  <c r="M14" i="3" s="1"/>
  <c r="G14" i="3" s="1"/>
  <c r="I15" i="16" s="1"/>
  <c r="F32" i="6"/>
  <c r="O15" i="3"/>
  <c r="K12" i="7"/>
  <c r="F15" i="3"/>
  <c r="F12" i="3"/>
  <c r="U9" i="4"/>
  <c r="J9" i="4" s="1"/>
  <c r="M9" i="4" s="1"/>
  <c r="G9" i="4" s="1"/>
  <c r="G10" i="16" s="1"/>
  <c r="R12" i="7"/>
  <c r="S12" i="7" s="1"/>
  <c r="U12" i="7" s="1"/>
  <c r="J12" i="7" s="1"/>
  <c r="T14" i="6"/>
  <c r="T15" i="7"/>
  <c r="K13" i="6"/>
  <c r="U11" i="5"/>
  <c r="J11" i="5" s="1"/>
  <c r="M11" i="5" s="1"/>
  <c r="C69" i="8"/>
  <c r="E69" i="8" s="1"/>
  <c r="F12" i="8"/>
  <c r="B69" i="8"/>
  <c r="M69" i="8" s="1"/>
  <c r="R14" i="6"/>
  <c r="S14" i="6" s="1"/>
  <c r="U14" i="6" s="1"/>
  <c r="J14" i="6" s="1"/>
  <c r="M14" i="6" s="1"/>
  <c r="G14" i="6" s="1"/>
  <c r="M15" i="13" s="1"/>
  <c r="U10" i="5"/>
  <c r="J10" i="5" s="1"/>
  <c r="M10" i="5" s="1"/>
  <c r="R15" i="7"/>
  <c r="S15" i="7" s="1"/>
  <c r="U15" i="7" s="1"/>
  <c r="J15" i="7" s="1"/>
  <c r="M15" i="7" s="1"/>
  <c r="L69" i="8"/>
  <c r="O15" i="8" s="1"/>
  <c r="O12" i="6"/>
  <c r="R13" i="6"/>
  <c r="S13" i="6" s="1"/>
  <c r="T13" i="6"/>
  <c r="K14" i="6"/>
  <c r="K13" i="3"/>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K12" i="3"/>
  <c r="D15" i="5"/>
  <c r="D12" i="5"/>
  <c r="Q15" i="5"/>
  <c r="K15" i="5" s="1"/>
  <c r="I12" i="16"/>
  <c r="E11" i="9"/>
  <c r="I12" i="13"/>
  <c r="D13" i="2"/>
  <c r="E70" i="2"/>
  <c r="Q14" i="2"/>
  <c r="K14" i="2" s="1"/>
  <c r="M13" i="4"/>
  <c r="G13" i="4" s="1"/>
  <c r="G14"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4" i="4"/>
  <c r="G14" i="4" s="1"/>
  <c r="G15" i="16" s="1"/>
  <c r="N30" i="4"/>
  <c r="L14" i="4"/>
  <c r="O15"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5" i="3" l="1"/>
  <c r="R15" i="3"/>
  <c r="S15" i="3" s="1"/>
  <c r="U15" i="3" s="1"/>
  <c r="J15" i="3" s="1"/>
  <c r="M15" i="3" s="1"/>
  <c r="G15" i="3" s="1"/>
  <c r="I16" i="16" s="1"/>
  <c r="T12" i="3"/>
  <c r="R14" i="8"/>
  <c r="S14" i="8" s="1"/>
  <c r="T14" i="8"/>
  <c r="T13" i="8"/>
  <c r="K13" i="8"/>
  <c r="I15" i="13"/>
  <c r="N30" i="3"/>
  <c r="E14" i="9"/>
  <c r="L14" i="3"/>
  <c r="P15" i="16" s="1"/>
  <c r="L12" i="7"/>
  <c r="S13" i="16" s="1"/>
  <c r="L9" i="4"/>
  <c r="O10" i="16" s="1"/>
  <c r="L11" i="5"/>
  <c r="Q12" i="16" s="1"/>
  <c r="M12" i="7"/>
  <c r="D9" i="9"/>
  <c r="G10" i="13"/>
  <c r="L10" i="5"/>
  <c r="Q11" i="16" s="1"/>
  <c r="L13" i="3"/>
  <c r="P14" i="16" s="1"/>
  <c r="U13" i="8"/>
  <c r="J13" i="8" s="1"/>
  <c r="M13" i="8" s="1"/>
  <c r="G13" i="8" s="1"/>
  <c r="K14" i="16" s="1"/>
  <c r="U13" i="6"/>
  <c r="J13" i="6" s="1"/>
  <c r="M13" i="6" s="1"/>
  <c r="G13" i="6" s="1"/>
  <c r="T12" i="6"/>
  <c r="F35" i="8"/>
  <c r="F32" i="8"/>
  <c r="D15" i="8"/>
  <c r="D12" i="8"/>
  <c r="R12" i="6"/>
  <c r="S12" i="6" s="1"/>
  <c r="L15" i="7"/>
  <c r="S16" i="16" s="1"/>
  <c r="Q15" i="8"/>
  <c r="R15" i="8" s="1"/>
  <c r="S15" i="8" s="1"/>
  <c r="U15" i="8" s="1"/>
  <c r="J15" i="8" s="1"/>
  <c r="K15" i="6"/>
  <c r="Q12" i="8"/>
  <c r="O12" i="8"/>
  <c r="K12" i="6"/>
  <c r="U14" i="8"/>
  <c r="J14" i="8" s="1"/>
  <c r="N30" i="8" s="1"/>
  <c r="R15" i="6"/>
  <c r="S15" i="6" s="1"/>
  <c r="U15" i="6" s="1"/>
  <c r="J15" i="6" s="1"/>
  <c r="T15" i="6"/>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D14" i="9"/>
  <c r="G15" i="13"/>
  <c r="N8" i="9"/>
  <c r="V9"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O11" i="9" l="1"/>
  <c r="I16" i="13"/>
  <c r="W12" i="13"/>
  <c r="L15" i="3"/>
  <c r="P16" i="16" s="1"/>
  <c r="E15" i="9"/>
  <c r="V15" i="13"/>
  <c r="U11" i="7"/>
  <c r="J11" i="7" s="1"/>
  <c r="Y13" i="13"/>
  <c r="M9" i="9"/>
  <c r="Q12" i="9"/>
  <c r="N14" i="9"/>
  <c r="W11" i="13"/>
  <c r="O10" i="9"/>
  <c r="K15" i="8"/>
  <c r="L15" i="8" s="1"/>
  <c r="T16" i="16" s="1"/>
  <c r="V14" i="13"/>
  <c r="N13" i="9"/>
  <c r="U12" i="6"/>
  <c r="J12" i="6" s="1"/>
  <c r="M12" i="6" s="1"/>
  <c r="G12" i="6" s="1"/>
  <c r="G12" i="9" s="1"/>
  <c r="L15" i="6"/>
  <c r="R16" i="16" s="1"/>
  <c r="L13" i="6"/>
  <c r="R14" i="16" s="1"/>
  <c r="L13" i="8"/>
  <c r="T14" i="16" s="1"/>
  <c r="I13" i="9"/>
  <c r="Q14" i="13"/>
  <c r="M14" i="13"/>
  <c r="G13" i="9"/>
  <c r="T12" i="8"/>
  <c r="M14" i="8"/>
  <c r="G14" i="8" s="1"/>
  <c r="K15" i="16" s="1"/>
  <c r="Y16" i="13"/>
  <c r="Q15" i="9"/>
  <c r="T15" i="8"/>
  <c r="R12" i="8"/>
  <c r="S12" i="8" s="1"/>
  <c r="L14" i="8"/>
  <c r="T15" i="16" s="1"/>
  <c r="K12" i="8"/>
  <c r="M15" i="6"/>
  <c r="G15" i="6" s="1"/>
  <c r="M16" i="13"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4" i="13" l="1"/>
  <c r="X16" i="13"/>
  <c r="M13" i="13"/>
  <c r="L12" i="6"/>
  <c r="R13" i="16" s="1"/>
  <c r="P15" i="9"/>
  <c r="U12" i="8"/>
  <c r="J12" i="8" s="1"/>
  <c r="M12" i="8" s="1"/>
  <c r="G12" i="8" s="1"/>
  <c r="K13" i="16" s="1"/>
  <c r="P13" i="9"/>
  <c r="R13" i="9"/>
  <c r="G15" i="9"/>
  <c r="Q15" i="13"/>
  <c r="Z14" i="13"/>
  <c r="X13" i="13"/>
  <c r="I14" i="9"/>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P12" i="9" l="1"/>
  <c r="L12" i="8"/>
  <c r="T13" i="16" s="1"/>
  <c r="Q13" i="13"/>
  <c r="I12"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<sst xmlns="http://schemas.openxmlformats.org/spreadsheetml/2006/main" count="654" uniqueCount="141">
  <si>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</si>
  <si>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</si>
  <si>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</si>
  <si>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</si>
  <si>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</si>
  <si>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</si>
  <si>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</si>
  <si>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</si>
  <si>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</si>
  <si>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</si>
  <si>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</si>
  <si>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</si>
  <si>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</si>
  <si>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</si>
  <si>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</si>
  <si>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</si>
  <si>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</si>
  <si>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</si>
  <si>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</si>
  <si>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</si>
  <si>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</si>
  <si>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</si>
  <si>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</si>
  <si>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</si>
  <si>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</si>
  <si>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</si>
  <si>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</si>
  <si>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</si>
  <si>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</si>
  <si>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</si>
  <si>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</si>
  <si>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</si>
  <si>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</si>
  <si>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</si>
  <si>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</si>
  <si>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</si>
  <si>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</si>
  <si>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</si>
  <si>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</si>
  <si>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</si>
  <si>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</si>
  <si>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</si>
  <si>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</si>
  <si>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</si>
  <si>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</si>
  <si>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</si>
  <si>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</si>
  <si>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</si>
  <si>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</si>
  <si>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</si>
  <si>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</si>
  <si>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</si>
  <si>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</si>
  <si>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</si>
  <si>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</si>
  <si>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</si>
  <si>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</si>
  <si>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</si>
  <si>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</si>
  <si>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</si>
  <si>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</si>
  <si>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</si>
  <si>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</si>
  <si>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</si>
  <si>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</si>
  <si>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</si>
  <si>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</si>
  <si>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</si>
  <si>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</si>
  <si>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</si>
  <si>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</si>
  <si>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</si>
  <si>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</si>
  <si>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</si>
  <si>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</si>
  <si>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</si>
  <si>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</si>
  <si>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</si>
  <si>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</si>
  <si>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</si>
  <si>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</si>
  <si>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</si>
  <si>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</si>
  <si>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</si>
  <si>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</si>
  <si>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</si>
  <si>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</si>
  <si>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</si>
  <si>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</si>
  <si>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</si>
  <si>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</si>
  <si>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</si>
  <si>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</si>
  <si>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</si>
  <si>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</si>
  <si>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</si>
  <si>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</si>
  <si>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</si>
  <si>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</si>
  <si>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</si>
  <si>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</si>
  <si>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</si>
  <si>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</si>
  <si>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</si>
  <si>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</si>
  <si>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</si>
  <si>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</si>
  <si>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</si>
  <si>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</si>
  <si>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</si>
  <si>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</si>
  <si>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</si>
  <si>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</si>
  <si>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</si>
  <si>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</si>
  <si>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</si>
  <si>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</si>
  <si>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</si>
  <si>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</si>
  <si>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</si>
  <si>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</si>
  <si>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</si>
  <si>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</si>
  <si>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</si>
  <si>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</si>
  <si>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</si>
  <si>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</si>
  <si>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</si>
  <si>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</si>
  <si>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</si>
  <si>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</si>
  <si>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</si>
  <si>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</si>
  <si>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</si>
  <si>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</si>
  <si>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</si>
  <si>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</si>
  <si>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Gogebic</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</si>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</sst>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Gogebic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N=7</c:v>
                </c:pt>
                <c:pt idx="3">
                  <c:v>Petitions, total N=14</c:v>
                </c:pt>
                <c:pt idx="4">
                  <c:v>Detentions, total N=0</c:v>
                </c:pt>
                <c:pt idx="5">
                  <c:v>Referrals, total N=23</c:v>
                </c:pt>
                <c:pt idx="6">
                  <c:v>Arrests, total N=8</c:v>
                </c:pt>
                <c:pt idx="7">
                  <c:v>Population, total N=954</c:v>
                </c:pt>
              </c:strCache>
            </c:strRef>
          </c:cat>
          <c:val>
            <c:numRef>
              <c:f>'Stacked 100%'!$B$7:$B$14</c:f>
              <c:numCache>
                <c:formatCode>0%</c:formatCode>
                <c:ptCount val="8"/>
                <c:pt idx="0">
                  <c:v>0</c:v>
                </c:pt>
                <c:pt idx="1">
                  <c:v>0</c:v>
                </c:pt>
                <c:pt idx="2">
                  <c:v>0</c:v>
                </c:pt>
                <c:pt idx="3">
                  <c:v>0</c:v>
                </c:pt>
                <c:pt idx="4">
                  <c:v>0</c:v>
                </c:pt>
                <c:pt idx="5">
                  <c:v>0</c:v>
                </c:pt>
                <c:pt idx="6">
                  <c:v>0</c:v>
                </c:pt>
                <c:pt idx="7">
                  <c:v>1.5723270440251572E-2</c:v>
                </c:pt>
              </c:numCache>
            </c:numRef>
          </c:val>
          <c:extLst>
            <c:ext xmlns:c16="http://schemas.microsoft.com/office/drawing/2014/chart" uri="{C3380CC4-5D6E-409C-BE32-E72D297353CC}">
              <c16:uniqueId val="{00000000-49A4-42B5-836D-47F46A3B3D3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N=7</c:v>
                </c:pt>
                <c:pt idx="3">
                  <c:v>Petitions, total N=14</c:v>
                </c:pt>
                <c:pt idx="4">
                  <c:v>Detentions, total N=0</c:v>
                </c:pt>
                <c:pt idx="5">
                  <c:v>Referrals, total N=23</c:v>
                </c:pt>
                <c:pt idx="6">
                  <c:v>Arrests, total N=8</c:v>
                </c:pt>
                <c:pt idx="7">
                  <c:v>Population, total N=954</c:v>
                </c:pt>
              </c:strCache>
            </c:strRef>
          </c:cat>
          <c:val>
            <c:numRef>
              <c:f>'Stacked 100%'!$C$7:$C$14</c:f>
              <c:numCache>
                <c:formatCode>0%</c:formatCode>
                <c:ptCount val="8"/>
                <c:pt idx="0">
                  <c:v>0</c:v>
                </c:pt>
                <c:pt idx="1">
                  <c:v>0</c:v>
                </c:pt>
                <c:pt idx="2">
                  <c:v>0</c:v>
                </c:pt>
                <c:pt idx="3">
                  <c:v>0</c:v>
                </c:pt>
                <c:pt idx="4">
                  <c:v>0</c:v>
                </c:pt>
                <c:pt idx="5">
                  <c:v>0</c:v>
                </c:pt>
                <c:pt idx="6">
                  <c:v>0</c:v>
                </c:pt>
                <c:pt idx="7">
                  <c:v>3.7735849056603772E-2</c:v>
                </c:pt>
              </c:numCache>
            </c:numRef>
          </c:val>
          <c:extLst>
            <c:ext xmlns:c16="http://schemas.microsoft.com/office/drawing/2014/chart" uri="{C3380CC4-5D6E-409C-BE32-E72D297353CC}">
              <c16:uniqueId val="{00000001-49A4-42B5-836D-47F46A3B3D3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N=7</c:v>
                </c:pt>
                <c:pt idx="3">
                  <c:v>Petitions, total N=14</c:v>
                </c:pt>
                <c:pt idx="4">
                  <c:v>Detentions, total N=0</c:v>
                </c:pt>
                <c:pt idx="5">
                  <c:v>Referrals, total N=23</c:v>
                </c:pt>
                <c:pt idx="6">
                  <c:v>Arrests, total N=8</c:v>
                </c:pt>
                <c:pt idx="7">
                  <c:v>Population, total N=954</c:v>
                </c:pt>
              </c:strCache>
            </c:strRef>
          </c:cat>
          <c:val>
            <c:numRef>
              <c:f>'Stacked 100%'!$H$7:$H$14</c:f>
              <c:numCache>
                <c:formatCode>0%</c:formatCode>
                <c:ptCount val="8"/>
                <c:pt idx="0">
                  <c:v>0</c:v>
                </c:pt>
                <c:pt idx="1">
                  <c:v>0</c:v>
                </c:pt>
                <c:pt idx="2">
                  <c:v>2.0408163265306121E-2</c:v>
                </c:pt>
                <c:pt idx="3">
                  <c:v>1.5306122448979591E-2</c:v>
                </c:pt>
                <c:pt idx="4">
                  <c:v>0</c:v>
                </c:pt>
                <c:pt idx="5">
                  <c:v>9.4517958412098299E-3</c:v>
                </c:pt>
                <c:pt idx="6">
                  <c:v>0</c:v>
                </c:pt>
                <c:pt idx="7">
                  <c:v>8.460459985320551E-5</c:v>
                </c:pt>
              </c:numCache>
            </c:numRef>
          </c:val>
          <c:extLst>
            <c:ext xmlns:c16="http://schemas.microsoft.com/office/drawing/2014/chart" uri="{C3380CC4-5D6E-409C-BE32-E72D297353CC}">
              <c16:uniqueId val="{00000002-49A4-42B5-836D-47F46A3B3D3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N=7</c:v>
                </c:pt>
                <c:pt idx="3">
                  <c:v>Petitions, total N=14</c:v>
                </c:pt>
                <c:pt idx="4">
                  <c:v>Detentions, total N=0</c:v>
                </c:pt>
                <c:pt idx="5">
                  <c:v>Referrals, total N=23</c:v>
                </c:pt>
                <c:pt idx="6">
                  <c:v>Arrests, total N=8</c:v>
                </c:pt>
                <c:pt idx="7">
                  <c:v>Population, total N=954</c:v>
                </c:pt>
              </c:strCache>
            </c:strRef>
          </c:cat>
          <c:val>
            <c:numRef>
              <c:f>'Stacked 100%'!$I$7:$I$14</c:f>
              <c:numCache>
                <c:formatCode>0%</c:formatCode>
                <c:ptCount val="8"/>
                <c:pt idx="0">
                  <c:v>0</c:v>
                </c:pt>
                <c:pt idx="1">
                  <c:v>0</c:v>
                </c:pt>
                <c:pt idx="2">
                  <c:v>0.8571428571428571</c:v>
                </c:pt>
                <c:pt idx="3">
                  <c:v>0.7857142857142857</c:v>
                </c:pt>
                <c:pt idx="4">
                  <c:v>0</c:v>
                </c:pt>
                <c:pt idx="5">
                  <c:v>0.78260869565217395</c:v>
                </c:pt>
                <c:pt idx="6">
                  <c:v>0.875</c:v>
                </c:pt>
                <c:pt idx="7">
                  <c:v>0.86582809224318658</c:v>
                </c:pt>
              </c:numCache>
            </c:numRef>
          </c:val>
          <c:extLst>
            <c:ext xmlns:c16="http://schemas.microsoft.com/office/drawing/2014/chart" uri="{C3380CC4-5D6E-409C-BE32-E72D297353CC}">
              <c16:uniqueId val="{00000003-49A4-42B5-836D-47F46A3B3D3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N=7</c:v>
                </c:pt>
                <c:pt idx="3">
                  <c:v>Petitions, total N=14</c:v>
                </c:pt>
                <c:pt idx="4">
                  <c:v>Detentions, total N=0</c:v>
                </c:pt>
                <c:pt idx="5">
                  <c:v>Referrals, total N=23</c:v>
                </c:pt>
                <c:pt idx="6">
                  <c:v>Arrests, total N=8</c:v>
                </c:pt>
                <c:pt idx="7">
                  <c:v>Population, total N=954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9A4-42B5-836D-47F46A3B3D3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H13" sqref="H13"/>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954</v>
      </c>
      <c r="C6" s="11">
        <v>826</v>
      </c>
      <c r="D6" s="11">
        <v>15</v>
      </c>
      <c r="E6" s="11">
        <v>36</v>
      </c>
      <c r="F6" s="11">
        <v>5</v>
      </c>
      <c r="G6" s="11"/>
      <c r="H6" s="11">
        <v>72</v>
      </c>
      <c r="I6" s="11"/>
      <c r="J6" s="91">
        <f>SUM(D6:I6)</f>
        <v>128</v>
      </c>
      <c r="K6" s="92"/>
    </row>
    <row r="7" spans="1:11" ht="15.75" customHeight="1" thickBot="1" x14ac:dyDescent="0.25">
      <c r="A7" s="10" t="s">
        <v>8</v>
      </c>
      <c r="B7" s="11">
        <f t="shared" ref="B7:B15" si="0">SUM(C7:I7)+K7</f>
        <v>8</v>
      </c>
      <c r="C7" s="11">
        <v>7</v>
      </c>
      <c r="D7" s="11"/>
      <c r="E7" s="11"/>
      <c r="F7" s="11"/>
      <c r="G7" s="11"/>
      <c r="H7" s="11"/>
      <c r="I7" s="11"/>
      <c r="J7" s="91">
        <f t="shared" ref="J7:J15" si="1">SUM(D7:I7)</f>
        <v>0</v>
      </c>
      <c r="K7" s="92">
        <v>1</v>
      </c>
    </row>
    <row r="8" spans="1:11" ht="15.75" customHeight="1" thickBot="1" x14ac:dyDescent="0.25">
      <c r="A8" s="10" t="s">
        <v>9</v>
      </c>
      <c r="B8" s="11">
        <f t="shared" si="0"/>
        <v>23</v>
      </c>
      <c r="C8" s="11">
        <v>18</v>
      </c>
      <c r="D8" s="11"/>
      <c r="E8" s="11"/>
      <c r="F8" s="11"/>
      <c r="G8" s="11"/>
      <c r="H8" s="11">
        <v>4</v>
      </c>
      <c r="I8" s="11">
        <v>1</v>
      </c>
      <c r="J8" s="91">
        <f t="shared" si="1"/>
        <v>5</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14</v>
      </c>
      <c r="C11" s="11">
        <v>11</v>
      </c>
      <c r="D11" s="11"/>
      <c r="E11" s="11"/>
      <c r="F11" s="11"/>
      <c r="G11" s="11"/>
      <c r="H11" s="11">
        <v>2</v>
      </c>
      <c r="I11" s="11">
        <v>1</v>
      </c>
      <c r="J11" s="91">
        <f t="shared" si="1"/>
        <v>3</v>
      </c>
      <c r="K11" s="92"/>
    </row>
    <row r="12" spans="1:11" ht="15.75" customHeight="1" thickBot="1" x14ac:dyDescent="0.25">
      <c r="A12" s="10" t="s">
        <v>13</v>
      </c>
      <c r="B12" s="11">
        <f t="shared" si="0"/>
        <v>7</v>
      </c>
      <c r="C12" s="11">
        <v>6</v>
      </c>
      <c r="D12" s="11"/>
      <c r="E12" s="11"/>
      <c r="F12" s="11"/>
      <c r="G12" s="11"/>
      <c r="H12" s="11">
        <v>1</v>
      </c>
      <c r="I12" s="11"/>
      <c r="J12" s="91">
        <f t="shared" si="1"/>
        <v>1</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Gogebic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826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8.4745762711864412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819</v>
      </c>
      <c r="R7" s="42">
        <f t="shared" ref="R7:R15" si="5">SUM(N7:Q7)</f>
        <v>826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18</v>
      </c>
      <c r="D8" s="34">
        <f>IF((AND(C67&gt;0,C8&gt;0)),(C8/C67),0)</f>
        <v>257.14285714285711</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18</v>
      </c>
      <c r="Q8" s="42">
        <f>(C$67*L67)-C8</f>
        <v>-11</v>
      </c>
      <c r="R8" s="42">
        <f t="shared" si="5"/>
        <v>7.0500000000000007</v>
      </c>
      <c r="S8" s="30">
        <f t="shared" si="6"/>
        <v>262.33049999999986</v>
      </c>
      <c r="T8" s="30">
        <f t="shared" si="7"/>
        <v>-79.467500000000058</v>
      </c>
      <c r="U8" s="31">
        <f t="shared" si="8"/>
        <v>-3.3011042249976366</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18</v>
      </c>
      <c r="R9" s="42">
        <f t="shared" si="5"/>
        <v>19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18</v>
      </c>
      <c r="R10" s="42">
        <f t="shared" si="5"/>
        <v>19</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61.111111111111114</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11</v>
      </c>
      <c r="Q11" s="42">
        <f>(C$68*L68)-C11</f>
        <v>7</v>
      </c>
      <c r="R11" s="42">
        <f t="shared" si="5"/>
        <v>19</v>
      </c>
      <c r="S11" s="30">
        <f t="shared" si="6"/>
        <v>931</v>
      </c>
      <c r="T11" s="30">
        <f t="shared" si="7"/>
        <v>1512</v>
      </c>
      <c r="U11" s="31">
        <f t="shared" si="8"/>
        <v>0.6157407407407407</v>
      </c>
    </row>
    <row r="12" spans="2:21" ht="18" customHeight="1" x14ac:dyDescent="0.25">
      <c r="B12" s="32" t="str">
        <f>'Data Entry'!A12</f>
        <v>7. Cases Resulting in Delinquent Findings</v>
      </c>
      <c r="C12" s="33">
        <f>'Data Entry'!C12</f>
        <v>6</v>
      </c>
      <c r="D12" s="34">
        <f>IF(((AND(C69&gt;0,C12&gt;0))),(C12/(C69)),0)</f>
        <v>54.545454545454547</v>
      </c>
      <c r="E12" s="33">
        <f>'Data Entry'!I12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1</v>
      </c>
      <c r="P12" s="42">
        <f t="shared" si="4"/>
        <v>6</v>
      </c>
      <c r="Q12" s="42">
        <f>(C69*L69)-C12</f>
        <v>5</v>
      </c>
      <c r="R12" s="42">
        <f t="shared" si="5"/>
        <v>12</v>
      </c>
      <c r="S12" s="30">
        <f t="shared" si="6"/>
        <v>432</v>
      </c>
      <c r="T12" s="30">
        <f t="shared" si="7"/>
        <v>396</v>
      </c>
      <c r="U12" s="31">
        <f t="shared" si="8"/>
        <v>1.0909090909090908</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11</v>
      </c>
      <c r="R15" s="42">
        <f t="shared" si="5"/>
        <v>12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0.82599999999999996</v>
      </c>
      <c r="D42" s="56">
        <f>E6/1000</f>
        <v>0</v>
      </c>
      <c r="E42" s="56">
        <f>MAX(C42:D42)</f>
        <v>0.82599999999999996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0.18</v>
      </c>
      <c r="D44" s="56">
        <f>E8/100</f>
        <v>0.01</v>
      </c>
      <c r="E44" s="56">
        <f>MAX(C44:D44,0)</f>
        <v>0.18</v>
      </c>
      <c r="G44" s="1" t="str">
        <f>B44</f>
        <v>per 100 referrals</v>
      </c>
      <c r="L44" s="57">
        <v>100</v>
      </c>
      <c r="M44" s="57"/>
      <c r="R44" s="49"/>
    </row>
    <row r="45" spans="2:18" ht="15" hidden="1" customHeight="1" x14ac:dyDescent="0.25">
      <c r="B45" s="49" t="s">
        <v>89</v>
      </c>
      <c r="C45" s="49">
        <f>C11/100</f>
        <v>0.11</v>
      </c>
      <c r="D45" s="49">
        <f>E11/100</f>
        <v>0.01</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0.82599999999999996</v>
      </c>
      <c r="D48" s="56">
        <f>D42</f>
        <v>0</v>
      </c>
      <c r="E48" s="56">
        <f>MAX(C48:D48)</f>
        <v>0.82599999999999996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0.18</v>
      </c>
      <c r="D50" s="49">
        <f t="shared" si="9"/>
        <v>0.01</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0.01</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0.82599999999999996</v>
      </c>
      <c r="D54" s="56">
        <f>D48</f>
        <v>0</v>
      </c>
      <c r="E54" s="56">
        <f>MAX(C54:D54)</f>
        <v>0.82599999999999996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0.18</v>
      </c>
      <c r="D56" s="49">
        <f t="shared" si="10"/>
        <v>0.01</v>
      </c>
      <c r="E56" s="49">
        <f>MAX(C56:D56)</f>
        <v>0.18</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0.01</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0.82599999999999996</v>
      </c>
      <c r="D60" s="56">
        <f>D54</f>
        <v>0</v>
      </c>
      <c r="E60" s="56">
        <f>MAX(C60:D60)</f>
        <v>0.82599999999999996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0.18</v>
      </c>
      <c r="D62" s="49">
        <f t="shared" si="11"/>
        <v>0.01</v>
      </c>
      <c r="E62" s="49">
        <f>MAX(C62:D62)</f>
        <v>0.18</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0.01</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0.82599999999999996</v>
      </c>
      <c r="D66" s="56">
        <f>D60</f>
        <v>0</v>
      </c>
      <c r="E66" s="56">
        <f>MAX(C66:D66)</f>
        <v>0.82599999999999996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0.18</v>
      </c>
      <c r="D68" s="49">
        <f t="shared" si="12"/>
        <v>0.01</v>
      </c>
      <c r="E68" s="49">
        <f>MAX(C68:D68)</f>
        <v>0.18</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0.01</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Gogebic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826</v>
      </c>
      <c r="D6" s="34"/>
      <c r="E6" s="33">
        <f>'Data Entry'!J6</f>
        <v>128</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8.4745762711864412</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128</v>
      </c>
      <c r="P7" s="42">
        <f t="shared" ref="P7:P15" si="4">C7</f>
        <v>7</v>
      </c>
      <c r="Q7" s="42">
        <f>C6-C7</f>
        <v>819</v>
      </c>
      <c r="R7" s="42">
        <f t="shared" ref="R7:R15" si="5">SUM(N7:Q7)</f>
        <v>954</v>
      </c>
      <c r="S7" s="30">
        <f t="shared" ref="S7:S15" si="6">R7*((((N7*Q7)-(O7*P7))^2))</f>
        <v>765886464</v>
      </c>
      <c r="T7" s="30">
        <f t="shared" ref="T7:T15" si="7">(N7+O7)*(P7+Q7)*(N7+P7)*(O7+Q7)</f>
        <v>700870912</v>
      </c>
      <c r="U7" s="31">
        <f t="shared" ref="U7:U15" si="8">IF((S7&gt;0),S7/T7,"- -")</f>
        <v>1.0927639468079395</v>
      </c>
    </row>
    <row r="8" spans="2:21" ht="18" customHeight="1" x14ac:dyDescent="0.25">
      <c r="B8" s="32" t="str">
        <f>'Data Entry'!A8</f>
        <v>3. Refer to Juvenile Court</v>
      </c>
      <c r="C8" s="33">
        <f>'Data Entry'!C8</f>
        <v>18</v>
      </c>
      <c r="D8" s="34">
        <f>IF((AND(C67&gt;0,C8&gt;0)),(C8/C67),0)</f>
        <v>257.14285714285711</v>
      </c>
      <c r="E8" s="33">
        <f>'Data Entry'!J8</f>
        <v>5</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5</v>
      </c>
      <c r="O8" s="42">
        <f>((D67*L67)-E8)+0.05</f>
        <v>-4.95</v>
      </c>
      <c r="P8" s="42">
        <f t="shared" si="4"/>
        <v>18</v>
      </c>
      <c r="Q8" s="42">
        <f>(C$67*L67)-C8</f>
        <v>-11</v>
      </c>
      <c r="R8" s="42">
        <f t="shared" si="5"/>
        <v>7.0500000000000007</v>
      </c>
      <c r="S8" s="30">
        <f t="shared" si="6"/>
        <v>8197.810500000005</v>
      </c>
      <c r="T8" s="30">
        <f t="shared" si="7"/>
        <v>-128.39749999999955</v>
      </c>
      <c r="U8" s="31">
        <f t="shared" si="8"/>
        <v>-63.847119297494373</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18</v>
      </c>
      <c r="R9" s="42">
        <f t="shared" si="5"/>
        <v>23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18</v>
      </c>
      <c r="R10" s="42">
        <f t="shared" si="5"/>
        <v>23</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61.111111111111114</v>
      </c>
      <c r="E11" s="33">
        <f>'Data Entry'!J11</f>
        <v>3</v>
      </c>
      <c r="F11" s="34">
        <f>IF(((AND($E$11&gt;0,$D$68&gt;0))),($E$11/($D$68)),0)</f>
        <v>60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2</v>
      </c>
      <c r="P11" s="42">
        <f t="shared" si="4"/>
        <v>11</v>
      </c>
      <c r="Q11" s="42">
        <f>(C$68*L68)-C11</f>
        <v>7</v>
      </c>
      <c r="R11" s="42">
        <f t="shared" si="5"/>
        <v>23</v>
      </c>
      <c r="S11" s="30">
        <f t="shared" si="6"/>
        <v>23</v>
      </c>
      <c r="T11" s="30">
        <f t="shared" si="7"/>
        <v>11340</v>
      </c>
      <c r="U11" s="31">
        <f t="shared" si="8"/>
        <v>2.0282186948853615E-3</v>
      </c>
    </row>
    <row r="12" spans="2:21" ht="18" customHeight="1" x14ac:dyDescent="0.25">
      <c r="B12" s="32" t="str">
        <f>'Data Entry'!A12</f>
        <v>7. Cases Resulting in Delinquent Findings</v>
      </c>
      <c r="C12" s="33">
        <f>'Data Entry'!C12</f>
        <v>6</v>
      </c>
      <c r="D12" s="34">
        <f>IF(((AND(C69&gt;0,C12&gt;0))),(C12/(C69)),0)</f>
        <v>54.545454545454547</v>
      </c>
      <c r="E12" s="33">
        <f>'Data Entry'!J12</f>
        <v>1</v>
      </c>
      <c r="F12" s="34">
        <f>IF(((AND($D$69&gt;0,$E$12&gt;0))),(E12/(D69)),0)</f>
        <v>33.333333333333336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2</v>
      </c>
      <c r="P12" s="42">
        <f t="shared" si="4"/>
        <v>6</v>
      </c>
      <c r="Q12" s="42">
        <f>(C69*L69)-C12</f>
        <v>5</v>
      </c>
      <c r="R12" s="42">
        <f t="shared" si="5"/>
        <v>14</v>
      </c>
      <c r="S12" s="30">
        <f t="shared" si="6"/>
        <v>686</v>
      </c>
      <c r="T12" s="30">
        <f t="shared" si="7"/>
        <v>1617</v>
      </c>
      <c r="U12" s="31">
        <f t="shared" si="8"/>
        <v>0.42424242424242425</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6</v>
      </c>
      <c r="R13" s="42">
        <f t="shared" si="5"/>
        <v>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6</v>
      </c>
      <c r="R14" s="42">
        <f t="shared" si="5"/>
        <v>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11</v>
      </c>
      <c r="R15" s="42">
        <f t="shared" si="5"/>
        <v>14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0.82599999999999996</v>
      </c>
      <c r="D42" s="56">
        <f>E6/1000</f>
        <v>0.128</v>
      </c>
      <c r="E42" s="56">
        <f>MAX(C42:D42)</f>
        <v>0.82599999999999996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0.18</v>
      </c>
      <c r="D44" s="56">
        <f>E8/100</f>
        <v>0.05</v>
      </c>
      <c r="E44" s="56">
        <f>MAX(C44:D44,0)</f>
        <v>0.18</v>
      </c>
      <c r="G44" s="1" t="str">
        <f>B44</f>
        <v>per 100 referrals</v>
      </c>
      <c r="L44" s="57">
        <v>100</v>
      </c>
      <c r="M44" s="57"/>
      <c r="R44" s="49"/>
    </row>
    <row r="45" spans="2:18" ht="15" hidden="1" customHeight="1" x14ac:dyDescent="0.25">
      <c r="B45" s="49" t="s">
        <v>89</v>
      </c>
      <c r="C45" s="49">
        <f>C11/100</f>
        <v>0.11</v>
      </c>
      <c r="D45" s="49">
        <f>E11/100</f>
        <v>0.03</v>
      </c>
      <c r="E45" s="56">
        <f>MAX(C45:D45,0)</f>
        <v>0.11</v>
      </c>
      <c r="G45" s="1" t="str">
        <f>B45</f>
        <v>per 100 youth petitioned</v>
      </c>
      <c r="L45" s="57">
        <v>100</v>
      </c>
      <c r="M45" s="57"/>
      <c r="R45" s="49"/>
    </row>
    <row r="46" spans="2:18" ht="15" hidden="1" customHeight="1" x14ac:dyDescent="0.25">
      <c r="B46" s="49" t="s">
        <v>90</v>
      </c>
      <c r="C46" s="49">
        <f>C12/100</f>
        <v>0.06</v>
      </c>
      <c r="D46" s="49">
        <f>E12/100</f>
        <v>0.01</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0.82599999999999996</v>
      </c>
      <c r="D48" s="56">
        <f>D42</f>
        <v>0.128</v>
      </c>
      <c r="E48" s="56">
        <f>MAX(C48:D48)</f>
        <v>0.82599999999999996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0.18</v>
      </c>
      <c r="D50" s="49">
        <f t="shared" si="9"/>
        <v>0.05</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0.03</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0.01</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0.82599999999999996</v>
      </c>
      <c r="D54" s="56">
        <f>D48</f>
        <v>0.128</v>
      </c>
      <c r="E54" s="56">
        <f>MAX(C54:D54)</f>
        <v>0.82599999999999996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0.18</v>
      </c>
      <c r="D56" s="49">
        <f t="shared" si="10"/>
        <v>0.05</v>
      </c>
      <c r="E56" s="49">
        <f>MAX(C56:D56)</f>
        <v>0.18</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0.03</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0.01</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0.82599999999999996</v>
      </c>
      <c r="D60" s="56">
        <f>D54</f>
        <v>0.128</v>
      </c>
      <c r="E60" s="56">
        <f>MAX(C60:D60)</f>
        <v>0.82599999999999996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0.18</v>
      </c>
      <c r="D62" s="49">
        <f t="shared" si="11"/>
        <v>0.05</v>
      </c>
      <c r="E62" s="49">
        <f>MAX(C62:D62)</f>
        <v>0.18</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0.03</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0.01</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0.82599999999999996</v>
      </c>
      <c r="D66" s="56">
        <f>D60</f>
        <v>0.128</v>
      </c>
      <c r="E66" s="56">
        <f>MAX(C66:D66)</f>
        <v>0.82599999999999996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0.18</v>
      </c>
      <c r="D68" s="49">
        <f t="shared" si="12"/>
        <v>0.05</v>
      </c>
      <c r="E68" s="49">
        <f>MAX(C68:D68)</f>
        <v>0.18</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0.03</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0.01</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Gogebic</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20</v>
      </c>
      <c r="Q8" s="1">
        <f>'Other - Mixed'!L8</f>
        <v>139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40</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f>'Am Indian'!L12</f>
        <v>40</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954</v>
      </c>
      <c r="D3" s="57">
        <f>'Data Entry'!C6</f>
        <v>826</v>
      </c>
      <c r="E3" s="57">
        <f>'Data Entry'!D6</f>
        <v>15</v>
      </c>
      <c r="F3" s="57">
        <f>'Data Entry'!E6</f>
        <v>36</v>
      </c>
      <c r="G3" s="57">
        <f>'Data Entry'!F6</f>
        <v>5</v>
      </c>
      <c r="H3" s="57">
        <f>'Data Entry'!G6</f>
        <v>0</v>
      </c>
      <c r="I3" s="57">
        <f>'Data Entry'!H6</f>
        <v>72</v>
      </c>
      <c r="J3" s="57">
        <f>'Data Entry'!I6</f>
        <v>0</v>
      </c>
      <c r="K3" s="57">
        <f>'Data Entry'!J6</f>
        <v>128</v>
      </c>
    </row>
    <row r="4" spans="2:11" ht="15" customHeight="1" x14ac:dyDescent="0.25">
      <c r="B4" s="16" t="s">
        <v>8</v>
      </c>
      <c r="C4" s="1">
        <f>IF((C$3&gt;0),(1000*('Data Entry'!B7/'Data Entry'!B$6)), 0)</f>
        <v>8.3857442348008391</v>
      </c>
      <c r="D4" s="1">
        <f>IF((D$3&gt;0),(1000*('Data Entry'!C7/'Data Entry'!C$6)), 0)</f>
        <v>8.4745762711864412</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24.109014675052411</v>
      </c>
      <c r="D5" s="1">
        <f>IF((D$3&gt;0),(1000*('Data Entry'!C8/'Data Entry'!C$6)), 0)</f>
        <v>21.791767554479417</v>
      </c>
      <c r="E5" s="1">
        <f>IF((E$3&gt;0),(1000*('Data Entry'!D8/'Data Entry'!D$6)), 0)</f>
        <v>0</v>
      </c>
      <c r="F5" s="1">
        <f>IF((F$3&gt;0),(1000*('Data Entry'!E8/'Data Entry'!E$6)), 0)</f>
        <v>0</v>
      </c>
      <c r="G5" s="1">
        <f>IF((G$3&gt;0),(1000*('Data Entry'!F8/'Data Entry'!F$6)), 0)</f>
        <v>0</v>
      </c>
      <c r="H5" s="1">
        <f>IF((H$3&gt;0),(1000*('Data Entry'!G8/'Data Entry'!G$6)), 0)</f>
        <v>0</v>
      </c>
      <c r="I5" s="1">
        <f>IF((I$3&gt;0),(1000*('Data Entry'!H8/'Data Entry'!H$6)), 0)</f>
        <v>55.55555555555555</v>
      </c>
      <c r="J5" s="1">
        <f>IF((J$3&gt;0),(1000*('Data Entry'!I8/'Data Entry'!I$6)), 0)</f>
        <v>0</v>
      </c>
      <c r="K5" s="1">
        <f>IF((K$3&gt;0),(1000*('Data Entry'!J8/'Data Entry'!J$6)), 0)</f>
        <v>39.0625</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14.675052410901468</v>
      </c>
      <c r="D8" s="1">
        <f>IF((D$3&gt;0),(1000*('Data Entry'!C11/'Data Entry'!C$6)), 0)</f>
        <v>13.317191283292978</v>
      </c>
      <c r="E8" s="1">
        <f>IF((E$3&gt;0),(1000*('Data Entry'!D11/'Data Entry'!D$6)), 0)</f>
        <v>0</v>
      </c>
      <c r="F8" s="1">
        <f>IF((F$3&gt;0),(1000*('Data Entry'!E11/'Data Entry'!E$6)), 0)</f>
        <v>0</v>
      </c>
      <c r="G8" s="1">
        <f>IF((G$3&gt;0),(1000*('Data Entry'!F11/'Data Entry'!F$6)), 0)</f>
        <v>0</v>
      </c>
      <c r="H8" s="1">
        <f>IF((H$3&gt;0),(1000*('Data Entry'!G11/'Data Entry'!G$6)), 0)</f>
        <v>0</v>
      </c>
      <c r="I8" s="1">
        <f>IF((I$3&gt;0),(1000*('Data Entry'!H11/'Data Entry'!H$6)), 0)</f>
        <v>27.777777777777775</v>
      </c>
      <c r="J8" s="1">
        <f>IF((J$3&gt;0),(1000*('Data Entry'!I11/'Data Entry'!I$6)), 0)</f>
        <v>0</v>
      </c>
      <c r="K8" s="1">
        <f>IF((K$3&gt;0),(1000*('Data Entry'!J11/'Data Entry'!J$6)), 0)</f>
        <v>23.4375</v>
      </c>
    </row>
    <row r="9" spans="2:11" ht="15" customHeight="1" x14ac:dyDescent="0.25">
      <c r="B9" s="16" t="s">
        <v>13</v>
      </c>
      <c r="C9" s="1">
        <f>IF((C$3&gt;0),(1000*('Data Entry'!B12/'Data Entry'!B$6)), 0)</f>
        <v>7.3375262054507342</v>
      </c>
      <c r="D9" s="1">
        <f>IF((D$3&gt;0),(1000*('Data Entry'!C12/'Data Entry'!C$6)), 0)</f>
        <v>7.2639225181598066</v>
      </c>
      <c r="E9" s="1">
        <f>IF((E$3&gt;0),(1000*('Data Entry'!D12/'Data Entry'!D$6)), 0)</f>
        <v>0</v>
      </c>
      <c r="F9" s="1">
        <f>IF((F$3&gt;0),(1000*('Data Entry'!E12/'Data Entry'!E$6)), 0)</f>
        <v>0</v>
      </c>
      <c r="G9" s="1">
        <f>IF((G$3&gt;0),(1000*('Data Entry'!F12/'Data Entry'!F$6)), 0)</f>
        <v>0</v>
      </c>
      <c r="H9" s="1">
        <f>IF((H$3&gt;0),(1000*('Data Entry'!G12/'Data Entry'!G$6)), 0)</f>
        <v>0</v>
      </c>
      <c r="I9" s="1">
        <f>IF((I$3&gt;0),(1000*('Data Entry'!H12/'Data Entry'!H$6)), 0)</f>
        <v>13.888888888888888</v>
      </c>
      <c r="J9" s="1">
        <f>IF((J$3&gt;0),(1000*('Data Entry'!I12/'Data Entry'!I$6)), 0)</f>
        <v>0</v>
      </c>
      <c r="K9" s="1">
        <f>IF((K$3&gt;0),(1000*('Data Entry'!J12/'Data Entry'!J$6)), 0)</f>
        <v>7.8125</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Gogebic</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f t="shared" si="2"/>
        <v>2.5493827160493825</v>
      </c>
      <c r="I20" s="72" t="str">
        <f t="shared" si="2"/>
        <v>--</v>
      </c>
      <c r="J20" s="73">
        <f t="shared" si="2"/>
        <v>1.7925347222222223</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f t="shared" si="2"/>
        <v>2.0858585858585856</v>
      </c>
      <c r="I23" s="72" t="str">
        <f t="shared" si="2"/>
        <v>--</v>
      </c>
      <c r="J23" s="73">
        <f t="shared" si="2"/>
        <v>1.7599431818181819</v>
      </c>
    </row>
    <row r="24" spans="2:10" ht="15" customHeight="1" x14ac:dyDescent="0.25">
      <c r="B24" s="71" t="s">
        <v>13</v>
      </c>
      <c r="C24" s="72">
        <f t="shared" si="2"/>
        <v>1</v>
      </c>
      <c r="D24" s="72" t="str">
        <f t="shared" si="2"/>
        <v>--</v>
      </c>
      <c r="E24" s="72" t="str">
        <f t="shared" si="2"/>
        <v>--</v>
      </c>
      <c r="F24" s="72" t="str">
        <f t="shared" si="2"/>
        <v>--</v>
      </c>
      <c r="G24" s="72" t="str">
        <f t="shared" si="2"/>
        <v>--</v>
      </c>
      <c r="H24" s="72">
        <f t="shared" si="2"/>
        <v>1.9120370370370368</v>
      </c>
      <c r="I24" s="72" t="str">
        <f t="shared" si="2"/>
        <v>--</v>
      </c>
      <c r="J24" s="73">
        <f t="shared" si="2"/>
        <v>1.0755208333333333</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Gogebic</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826</v>
      </c>
      <c r="D7" s="105">
        <f>'Data Entry'!D6</f>
        <v>15</v>
      </c>
      <c r="E7" s="106"/>
      <c r="F7" s="107">
        <f>'Data Entry'!E6</f>
        <v>36</v>
      </c>
      <c r="G7" s="106"/>
      <c r="H7" s="107">
        <f>'Data Entry'!F6</f>
        <v>5</v>
      </c>
      <c r="I7" s="106"/>
      <c r="J7" s="107">
        <f>'Data Entry'!G6</f>
        <v>0</v>
      </c>
      <c r="K7" s="106"/>
      <c r="L7" s="107">
        <f>'Data Entry'!H6</f>
        <v>72</v>
      </c>
      <c r="M7" s="106"/>
      <c r="N7" s="107">
        <f>'Data Entry'!I6</f>
        <v>0</v>
      </c>
      <c r="O7" s="106"/>
      <c r="P7" s="107">
        <f>'Data Entry'!J6</f>
        <v>128</v>
      </c>
      <c r="Q7" s="108"/>
    </row>
    <row r="8" spans="2:26" s="1" customFormat="1" ht="15" customHeight="1" x14ac:dyDescent="0.3">
      <c r="B8" s="149" t="s">
        <v>8</v>
      </c>
      <c r="C8" s="104">
        <f>'Data Entry'!C7</f>
        <v>7</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18</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4</v>
      </c>
      <c r="M9" s="110" t="str">
        <f>'Am Indian'!G8</f>
        <v>**</v>
      </c>
      <c r="N9" s="111">
        <f>'Data Entry'!I8</f>
        <v>1</v>
      </c>
      <c r="O9" s="110" t="str">
        <f>'Other - Mixed'!G8</f>
        <v>*</v>
      </c>
      <c r="P9" s="111">
        <f>'Data Entry'!J8</f>
        <v>5</v>
      </c>
      <c r="Q9" s="112" t="str">
        <f>'All Minorities'!G8</f>
        <v>**</v>
      </c>
      <c r="R9"/>
      <c r="T9" s="1">
        <f>'Black or African-American'!L8</f>
        <v>40</v>
      </c>
      <c r="U9" s="1">
        <f>Hispanic!L8</f>
        <v>40</v>
      </c>
      <c r="V9" s="1">
        <f>Asian!L8</f>
        <v>139</v>
      </c>
      <c r="W9" s="1">
        <f>Hawaiian!L8</f>
        <v>139</v>
      </c>
      <c r="X9" s="1">
        <f>'Am Indian'!L8</f>
        <v>20</v>
      </c>
      <c r="Y9" s="1">
        <f>'Other - Mixed'!L8</f>
        <v>139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11</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2</v>
      </c>
      <c r="M12" s="114" t="str">
        <f>'Am Indian'!G11</f>
        <v>**</v>
      </c>
      <c r="N12" s="115">
        <f>'Data Entry'!I11</f>
        <v>1</v>
      </c>
      <c r="O12" s="114" t="str">
        <f>'Other - Mixed'!G11</f>
        <v>*</v>
      </c>
      <c r="P12" s="115">
        <f>'Data Entry'!J11</f>
        <v>3</v>
      </c>
      <c r="Q12" s="116" t="str">
        <f>'All Minorities'!G11</f>
        <v>**</v>
      </c>
      <c r="R12"/>
      <c r="T12" s="1" t="e">
        <f>'Black or African-American'!L11</f>
        <v>#VALUE!</v>
      </c>
      <c r="U12" s="1" t="e">
        <f>Hispanic!L11</f>
        <v>#VALUE!</v>
      </c>
      <c r="V12" s="1" t="e">
        <f>Asian!L11</f>
        <v>#VALUE!</v>
      </c>
      <c r="W12" s="1" t="e">
        <f>Hawaiian!L11</f>
        <v>#VALUE!</v>
      </c>
      <c r="X12" s="1">
        <f>'Am Indian'!L11</f>
        <v>40</v>
      </c>
      <c r="Y12" s="1">
        <f>'Other - Mixed'!L11</f>
        <v>139</v>
      </c>
      <c r="Z12" s="1">
        <f>'All Minorities'!L11</f>
        <v>40</v>
      </c>
    </row>
    <row r="13" spans="2:26" s="1" customFormat="1" ht="15" customHeight="1" x14ac:dyDescent="0.3">
      <c r="B13" s="149" t="s">
        <v>13</v>
      </c>
      <c r="C13" s="104">
        <f>'Data Entry'!C12</f>
        <v>6</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1</v>
      </c>
      <c r="M13" s="110" t="str">
        <f>'Am Indian'!G12</f>
        <v>**</v>
      </c>
      <c r="N13" s="111">
        <f>'Data Entry'!I12</f>
        <v>0</v>
      </c>
      <c r="O13" s="110" t="str">
        <f>'Other - Mixed'!G12</f>
        <v>*</v>
      </c>
      <c r="P13" s="111">
        <f>'Data Entry'!J12</f>
        <v>1</v>
      </c>
      <c r="Q13" s="112" t="str">
        <f>'All Minorities'!G12</f>
        <v>**</v>
      </c>
      <c r="R13"/>
      <c r="T13" s="1" t="e">
        <f>'Black or African-American'!L12</f>
        <v>#VALUE!</v>
      </c>
      <c r="U13" s="1" t="e">
        <f>Hispanic!L12</f>
        <v>#VALUE!</v>
      </c>
      <c r="V13" s="1" t="e">
        <f>Asian!L12</f>
        <v>#VALUE!</v>
      </c>
      <c r="W13" s="1" t="e">
        <f>Hawaiian!L12</f>
        <v>#VALUE!</v>
      </c>
      <c r="X13" s="1">
        <f>'Am Indian'!L12</f>
        <v>40</v>
      </c>
      <c r="Y13" s="1">
        <f>'Other - Mixed'!L12</f>
        <v>139</v>
      </c>
      <c r="Z13" s="1">
        <f>'All Minorities'!L12</f>
        <v>40</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Gogebic</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Gogebic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6.453125</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6.453125</v>
      </c>
    </row>
    <row r="9" spans="1:12" x14ac:dyDescent="0.2">
      <c r="A9" s="132" t="str">
        <f>CONCATENATE("Delinquent Findings, total N=", 'Data Entry'!B12)</f>
        <v>Delinquent Findings, total N=7</v>
      </c>
      <c r="B9" s="157">
        <f>'Data Entry'!D12/'Data Entry'!B12</f>
        <v>0</v>
      </c>
      <c r="C9" s="157">
        <f>'Data Entry'!E12/'Data Entry'!B12</f>
        <v>0</v>
      </c>
      <c r="D9" s="157">
        <f>'Data Entry'!F12/'Data Entry'!B12</f>
        <v>0</v>
      </c>
      <c r="E9" s="157">
        <f>'Data Entry'!G12/'Data Entry'!B12</f>
        <v>0</v>
      </c>
      <c r="F9" s="157">
        <f>'Data Entry'!H12/'Data Entry'!B12</f>
        <v>0.14285714285714285</v>
      </c>
      <c r="G9" s="157">
        <f>'Data Entry'!I12/'Data Entry'!B12</f>
        <v>0</v>
      </c>
      <c r="H9" s="157">
        <f>SUM(D9:G9)/'Data Entry'!B12</f>
        <v>2.0408163265306121E-2</v>
      </c>
      <c r="I9" s="157">
        <f>'Data Entry'!C12/'Data Entry'!B12</f>
        <v>0.8571428571428571</v>
      </c>
      <c r="K9" s="97" t="str">
        <f t="shared" si="0"/>
        <v>Delinquent Findings, total N=7</v>
      </c>
      <c r="L9">
        <f>I14/(SUM(B14:G14))</f>
        <v>6.453125</v>
      </c>
    </row>
    <row r="10" spans="1:12" x14ac:dyDescent="0.2">
      <c r="A10" s="132" t="str">
        <f>CONCATENATE("Petitions, total N=", 'Data Entry'!B11)</f>
        <v>Petitions, total N=14</v>
      </c>
      <c r="B10" s="157">
        <f>'Data Entry'!D11/'Data Entry'!B11</f>
        <v>0</v>
      </c>
      <c r="C10" s="157">
        <f>'Data Entry'!E11/'Data Entry'!B11</f>
        <v>0</v>
      </c>
      <c r="D10" s="157">
        <f>'Data Entry'!F11/'Data Entry'!B11</f>
        <v>0</v>
      </c>
      <c r="E10" s="157">
        <f>'Data Entry'!G11/'Data Entry'!B11</f>
        <v>0</v>
      </c>
      <c r="F10" s="157">
        <f>'Data Entry'!H11/'Data Entry'!B11</f>
        <v>0.14285714285714285</v>
      </c>
      <c r="G10" s="157">
        <f>'Data Entry'!I11/'Data Entry'!B11</f>
        <v>7.1428571428571425E-2</v>
      </c>
      <c r="H10" s="157">
        <f>SUM(D10:G10)/'Data Entry'!B11</f>
        <v>1.5306122448979591E-2</v>
      </c>
      <c r="I10" s="157">
        <f>'Data Entry'!C11/'Data Entry'!B11</f>
        <v>0.7857142857142857</v>
      </c>
      <c r="K10" s="97" t="str">
        <f t="shared" si="0"/>
        <v>Petitions, total N=14</v>
      </c>
      <c r="L10">
        <f>I14/(SUM(B14:G14))</f>
        <v>6.453125</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6.453125</v>
      </c>
    </row>
    <row r="12" spans="1:12" x14ac:dyDescent="0.2">
      <c r="A12" s="132" t="str">
        <f>CONCATENATE("Referrals, total N=", 'Data Entry'!B8)</f>
        <v>Referrals, total N=23</v>
      </c>
      <c r="B12" s="157">
        <f>'Data Entry'!D8/'Data Entry'!B8</f>
        <v>0</v>
      </c>
      <c r="C12" s="157">
        <f>'Data Entry'!E8/'Data Entry'!B8</f>
        <v>0</v>
      </c>
      <c r="D12" s="157">
        <f>'Data Entry'!F8/'Data Entry'!B8</f>
        <v>0</v>
      </c>
      <c r="E12" s="157">
        <f>'Data Entry'!G8/'Data Entry'!B8</f>
        <v>0</v>
      </c>
      <c r="F12" s="157">
        <f>'Data Entry'!H8/'Data Entry'!B8</f>
        <v>0.17391304347826086</v>
      </c>
      <c r="G12" s="157">
        <f>'Data Entry'!I8/'Data Entry'!B8</f>
        <v>4.3478260869565216E-2</v>
      </c>
      <c r="H12" s="157">
        <f>SUM(D12:G12)/'Data Entry'!B8</f>
        <v>9.4517958412098299E-3</v>
      </c>
      <c r="I12" s="157">
        <f>'Data Entry'!C8/'Data Entry'!B8</f>
        <v>0.78260869565217395</v>
      </c>
      <c r="K12" s="97" t="str">
        <f t="shared" si="0"/>
        <v>Referrals, total N=23</v>
      </c>
      <c r="L12">
        <f>I14/(SUM(B14:G14))</f>
        <v>6.453125</v>
      </c>
    </row>
    <row r="13" spans="1:12" x14ac:dyDescent="0.2">
      <c r="A13" s="132" t="str">
        <f>CONCATENATE("Arrests, total N=", 'Data Entry'!B7)</f>
        <v>Arrests, total N=8</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0.875</v>
      </c>
      <c r="K13" s="97" t="str">
        <f t="shared" si="0"/>
        <v>Arrests, total N=8</v>
      </c>
      <c r="L13">
        <f>I14/(SUM(B14:G14))</f>
        <v>6.453125</v>
      </c>
    </row>
    <row r="14" spans="1:12" x14ac:dyDescent="0.2">
      <c r="A14" s="132" t="str">
        <f>CONCATENATE("Population, total N=", 'Data Entry'!B6)</f>
        <v>Population, total N=954</v>
      </c>
      <c r="B14" s="157">
        <f>'Data Entry'!D6/'Data Entry'!B6</f>
        <v>1.5723270440251572E-2</v>
      </c>
      <c r="C14" s="157">
        <f>'Data Entry'!E6/'Data Entry'!B6</f>
        <v>3.7735849056603772E-2</v>
      </c>
      <c r="D14" s="157">
        <f>'Data Entry'!F6/'Data Entry'!B6</f>
        <v>5.2410901467505244E-3</v>
      </c>
      <c r="E14" s="157">
        <f>'Data Entry'!G6/'Data Entry'!B6</f>
        <v>0</v>
      </c>
      <c r="F14" s="157">
        <f>'Data Entry'!H6/'Data Entry'!B6</f>
        <v>7.5471698113207544E-2</v>
      </c>
      <c r="G14" s="157">
        <f>'Data Entry'!I6/'Data Entry'!B6</f>
        <v>0</v>
      </c>
      <c r="H14" s="157">
        <f>SUM(D14:G14)/'Data Entry'!B6</f>
        <v>8.460459985320551E-5</v>
      </c>
      <c r="I14" s="157">
        <f>'Data Entry'!C6/'Data Entry'!B6</f>
        <v>0.86582809224318658</v>
      </c>
      <c r="K14" s="97" t="str">
        <f t="shared" si="0"/>
        <v>Population, total N=954</v>
      </c>
      <c r="L14">
        <f>I14/(SUM(B14:G14))</f>
        <v>6.453125</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Gogebic</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826</v>
      </c>
      <c r="D7" s="105">
        <f>'Data Entry'!D6</f>
        <v>15</v>
      </c>
      <c r="E7" s="106"/>
      <c r="F7" s="107">
        <f>'Data Entry'!E6</f>
        <v>36</v>
      </c>
      <c r="G7" s="106"/>
      <c r="H7" s="107">
        <f>'Data Entry'!F6</f>
        <v>5</v>
      </c>
      <c r="I7" s="106"/>
      <c r="J7" s="107">
        <f>'Data Entry'!J6</f>
        <v>128</v>
      </c>
      <c r="K7" s="108"/>
    </row>
    <row r="8" spans="2:30" s="1" customFormat="1" ht="15" customHeight="1" x14ac:dyDescent="0.3">
      <c r="B8" s="125" t="s">
        <v>8</v>
      </c>
      <c r="C8" s="104">
        <f>'Data Entry'!C7</f>
        <v>7</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18</v>
      </c>
      <c r="D9" s="109">
        <f>'Data Entry'!D8</f>
        <v>0</v>
      </c>
      <c r="E9" s="110" t="str">
        <f>'Black or African-American'!$G8</f>
        <v>**</v>
      </c>
      <c r="F9" s="111">
        <f>'Data Entry'!E8</f>
        <v>0</v>
      </c>
      <c r="G9" s="110" t="str">
        <f>Hispanic!G8</f>
        <v>**</v>
      </c>
      <c r="H9" s="111">
        <f>'Data Entry'!F8</f>
        <v>0</v>
      </c>
      <c r="I9" s="110" t="str">
        <f>Asian!G8</f>
        <v>*</v>
      </c>
      <c r="J9" s="111">
        <f>'Data Entry'!J8</f>
        <v>5</v>
      </c>
      <c r="K9" s="112" t="str">
        <f>'All Minorities'!G8</f>
        <v>**</v>
      </c>
      <c r="L9"/>
      <c r="N9" s="1">
        <f>'Black or African-American'!L8</f>
        <v>40</v>
      </c>
      <c r="O9" s="1">
        <f>Hispanic!L8</f>
        <v>40</v>
      </c>
      <c r="P9" s="1">
        <f>Asian!L8</f>
        <v>139</v>
      </c>
      <c r="Q9" s="1">
        <f>Hawaiian!L8</f>
        <v>139</v>
      </c>
      <c r="R9" s="1">
        <f>'Am Indian'!L8</f>
        <v>20</v>
      </c>
      <c r="S9" s="1">
        <f>'Other - Mixed'!L8</f>
        <v>139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11</v>
      </c>
      <c r="D12" s="113">
        <f>'Data Entry'!D11</f>
        <v>0</v>
      </c>
      <c r="E12" s="114" t="str">
        <f>'Black or African-American'!$G11</f>
        <v>--</v>
      </c>
      <c r="F12" s="115">
        <f>'Data Entry'!E11</f>
        <v>0</v>
      </c>
      <c r="G12" s="114" t="str">
        <f>Hispanic!G11</f>
        <v>--</v>
      </c>
      <c r="H12" s="115">
        <f>'Data Entry'!F11</f>
        <v>0</v>
      </c>
      <c r="I12" s="114" t="str">
        <f>Asian!G11</f>
        <v>*</v>
      </c>
      <c r="J12" s="115">
        <f>'Data Entry'!J11</f>
        <v>3</v>
      </c>
      <c r="K12" s="116" t="str">
        <f>'All Minorities'!G11</f>
        <v>**</v>
      </c>
      <c r="L12"/>
      <c r="N12" s="1" t="e">
        <f>'Black or African-American'!L11</f>
        <v>#VALUE!</v>
      </c>
      <c r="O12" s="1" t="e">
        <f>Hispanic!L11</f>
        <v>#VALUE!</v>
      </c>
      <c r="P12" s="1" t="e">
        <f>Asian!L11</f>
        <v>#VALUE!</v>
      </c>
      <c r="Q12" s="1" t="e">
        <f>Hawaiian!L11</f>
        <v>#VALUE!</v>
      </c>
      <c r="R12" s="1">
        <f>'Am Indian'!L11</f>
        <v>40</v>
      </c>
      <c r="S12" s="1">
        <f>'Other - Mixed'!L11</f>
        <v>139</v>
      </c>
      <c r="T12" s="1">
        <f>'All Minorities'!L11</f>
        <v>40</v>
      </c>
    </row>
    <row r="13" spans="2:30" s="1" customFormat="1" ht="15" customHeight="1" x14ac:dyDescent="0.3">
      <c r="B13" s="125" t="s">
        <v>13</v>
      </c>
      <c r="C13" s="104">
        <f>'Data Entry'!C12</f>
        <v>6</v>
      </c>
      <c r="D13" s="109">
        <f>'Data Entry'!D12</f>
        <v>0</v>
      </c>
      <c r="E13" s="110" t="str">
        <f>'Black or African-American'!$G12</f>
        <v>--</v>
      </c>
      <c r="F13" s="111">
        <f>'Data Entry'!E12</f>
        <v>0</v>
      </c>
      <c r="G13" s="110" t="str">
        <f>Hispanic!G12</f>
        <v>--</v>
      </c>
      <c r="H13" s="111">
        <f>'Data Entry'!F12</f>
        <v>0</v>
      </c>
      <c r="I13" s="110" t="str">
        <f>Asian!G12</f>
        <v>*</v>
      </c>
      <c r="J13" s="111">
        <f>'Data Entry'!J12</f>
        <v>1</v>
      </c>
      <c r="K13" s="112" t="str">
        <f>'All Minorities'!G12</f>
        <v>**</v>
      </c>
      <c r="L13"/>
      <c r="N13" s="1" t="e">
        <f>'Black or African-American'!L12</f>
        <v>#VALUE!</v>
      </c>
      <c r="O13" s="1" t="e">
        <f>Hispanic!L12</f>
        <v>#VALUE!</v>
      </c>
      <c r="P13" s="1" t="e">
        <f>Asian!L12</f>
        <v>#VALUE!</v>
      </c>
      <c r="Q13" s="1" t="e">
        <f>Hawaiian!L12</f>
        <v>#VALUE!</v>
      </c>
      <c r="R13" s="1">
        <f>'Am Indian'!L12</f>
        <v>40</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Gogebic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826</v>
      </c>
      <c r="D6" s="34"/>
      <c r="E6" s="33">
        <f>'Data Entry'!D6</f>
        <v>15</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8.4745762711864412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15</v>
      </c>
      <c r="P7" s="42">
        <f t="shared" ref="P7:P15" si="2">C7</f>
        <v>7</v>
      </c>
      <c r="Q7" s="42">
        <f>C6-C7</f>
        <v>819</v>
      </c>
      <c r="R7" s="42">
        <f t="shared" ref="R7:R15" si="3">SUM(N7:Q7)</f>
        <v>841</v>
      </c>
      <c r="S7" s="30">
        <f t="shared" ref="S7:S15" si="4">R7*((((N7*Q7)-(O7*P7))^2))</f>
        <v>9272025</v>
      </c>
      <c r="T7" s="30">
        <f t="shared" ref="T7:T15" si="5">(N7+O7)*(P7+Q7)*(N7+P7)*(O7+Q7)</f>
        <v>72332820</v>
      </c>
      <c r="U7" s="31">
        <f t="shared" ref="U7:U15" si="6">IF((S7&gt;0),S7/T7,"- -")</f>
        <v>0.12818558712352152</v>
      </c>
    </row>
    <row r="8" spans="2:21" ht="18" customHeight="1" x14ac:dyDescent="0.25">
      <c r="B8" s="32" t="str">
        <f>'Data Entry'!A8</f>
        <v>3. Refer to Juvenile Court</v>
      </c>
      <c r="C8" s="33">
        <f>'Data Entry'!C8</f>
        <v>18</v>
      </c>
      <c r="D8" s="34">
        <f>IF((AND(C67&gt;0,C8&gt;0)),(C8/C67),0)</f>
        <v>257.14285714285711</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18</v>
      </c>
      <c r="Q8" s="42">
        <f>(C$67*L67)-C8</f>
        <v>-11</v>
      </c>
      <c r="R8" s="42">
        <f t="shared" si="3"/>
        <v>7.0500000000000007</v>
      </c>
      <c r="S8" s="30">
        <f t="shared" si="4"/>
        <v>5.7105000000000006</v>
      </c>
      <c r="T8" s="30">
        <f t="shared" si="5"/>
        <v>-68.984999999999999</v>
      </c>
      <c r="U8" s="31">
        <f t="shared" si="6"/>
        <v>-8.2778864970645807E-2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18</v>
      </c>
      <c r="R9" s="42">
        <f t="shared" si="3"/>
        <v>18</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18</v>
      </c>
      <c r="R10" s="42">
        <f t="shared" si="3"/>
        <v>18</v>
      </c>
      <c r="S10" s="30">
        <f t="shared" si="4"/>
        <v>0</v>
      </c>
      <c r="T10" s="30">
        <f t="shared" si="5"/>
        <v>0</v>
      </c>
      <c r="U10" s="31" t="str">
        <f t="shared" si="6"/>
        <v>- -</v>
      </c>
    </row>
    <row r="11" spans="2:21" ht="18" customHeight="1" x14ac:dyDescent="0.25">
      <c r="B11" s="32" t="str">
        <f>'Data Entry'!A11</f>
        <v>6. Cases Petitioned (Charge Filed)</v>
      </c>
      <c r="C11" s="33">
        <f>'Data Entry'!C11</f>
        <v>11</v>
      </c>
      <c r="D11" s="34">
        <f>IF(((AND(C68&gt;0,C11&gt;0))),(C11/(C68)),0)</f>
        <v>61.111111111111114</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11</v>
      </c>
      <c r="Q11" s="42">
        <f>(C$68*L68)-C11</f>
        <v>7</v>
      </c>
      <c r="R11" s="42">
        <f t="shared" si="3"/>
        <v>18</v>
      </c>
      <c r="S11" s="30">
        <f t="shared" si="4"/>
        <v>0</v>
      </c>
      <c r="T11" s="30">
        <f t="shared" si="5"/>
        <v>0</v>
      </c>
      <c r="U11" s="31" t="str">
        <f t="shared" si="6"/>
        <v>- -</v>
      </c>
    </row>
    <row r="12" spans="2:21" ht="18" customHeight="1" x14ac:dyDescent="0.25">
      <c r="B12" s="32" t="str">
        <f>'Data Entry'!A12</f>
        <v>7. Cases Resulting in Delinquent Findings</v>
      </c>
      <c r="C12" s="33">
        <f>'Data Entry'!C12</f>
        <v>6</v>
      </c>
      <c r="D12" s="34">
        <f>IF(((AND(C69&gt;0,C12&gt;0))),(C12/(C69)),0)</f>
        <v>54.545454545454547</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6</v>
      </c>
      <c r="Q12" s="42">
        <f>(C69*L69)-C12</f>
        <v>5</v>
      </c>
      <c r="R12" s="42">
        <f t="shared" si="3"/>
        <v>11</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6</v>
      </c>
      <c r="R13" s="42">
        <f t="shared" si="3"/>
        <v>6</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6</v>
      </c>
      <c r="R14" s="42">
        <f t="shared" si="3"/>
        <v>6</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11</v>
      </c>
      <c r="R15" s="42">
        <f t="shared" si="3"/>
        <v>11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0.82599999999999996</v>
      </c>
      <c r="D42" s="56">
        <f>E6/1000</f>
        <v>1.4999999999999999E-2</v>
      </c>
      <c r="E42" s="56">
        <f>MAX(C42:D42)</f>
        <v>0.82599999999999996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0.18</v>
      </c>
      <c r="D44" s="56">
        <f>E8/100</f>
        <v>0</v>
      </c>
      <c r="E44" s="56">
        <f>MAX(C44:D44,0)</f>
        <v>0.18</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0.82599999999999996</v>
      </c>
      <c r="D48" s="56">
        <f>D42</f>
        <v>1.4999999999999999E-2</v>
      </c>
      <c r="E48" s="56">
        <f>MAX(C48:D48)</f>
        <v>0.82599999999999996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0.82599999999999996</v>
      </c>
      <c r="D54" s="56">
        <f>D48</f>
        <v>1.4999999999999999E-2</v>
      </c>
      <c r="E54" s="56">
        <f>MAX(C54:D54)</f>
        <v>0.82599999999999996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0.82599999999999996</v>
      </c>
      <c r="D60" s="56">
        <f>D54</f>
        <v>1.4999999999999999E-2</v>
      </c>
      <c r="E60" s="56">
        <f>MAX(C60:D60)</f>
        <v>0.82599999999999996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0.82599999999999996</v>
      </c>
      <c r="D66" s="56">
        <f>D60</f>
        <v>1.4999999999999999E-2</v>
      </c>
      <c r="E66" s="56">
        <f>MAX(C66:D66)</f>
        <v>0.82599999999999996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0.18</v>
      </c>
      <c r="D68" s="49">
        <f t="shared" si="12"/>
        <v>0</v>
      </c>
      <c r="E68" s="49">
        <f>MAX(C68:D68)</f>
        <v>0.18</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Gogebic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826</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8.4745762711864412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7</v>
      </c>
      <c r="Q7" s="42">
        <f>C6-C7</f>
        <v>819</v>
      </c>
      <c r="R7" s="42">
        <f t="shared" ref="R7:R15" si="5">SUM(N7:Q7)</f>
        <v>831</v>
      </c>
      <c r="S7" s="30">
        <f t="shared" ref="S7:S15" si="6">R7*((((N7*Q7)-(O7*P7))^2))</f>
        <v>1017975</v>
      </c>
      <c r="T7" s="30">
        <f t="shared" ref="T7:T15" si="7">(N7+O7)*(P7+Q7)*(N7+P7)*(O7+Q7)</f>
        <v>23821840</v>
      </c>
      <c r="U7" s="31">
        <f t="shared" ref="U7:U15" si="8">IF((S7&gt;0),S7/T7,"- -")</f>
        <v>4.2732845153858813E-2</v>
      </c>
    </row>
    <row r="8" spans="2:21" ht="18" customHeight="1" x14ac:dyDescent="0.25">
      <c r="B8" s="32" t="str">
        <f>'Data Entry'!A8</f>
        <v>3. Refer to Juvenile Court</v>
      </c>
      <c r="C8" s="33">
        <f>'Data Entry'!C8</f>
        <v>18</v>
      </c>
      <c r="D8" s="34">
        <f>IF((AND(C67&gt;0,C8&gt;0)),(C8/C67),0)</f>
        <v>257.14285714285711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18</v>
      </c>
      <c r="Q8" s="42">
        <f>(C$67*L67)-C8</f>
        <v>-11</v>
      </c>
      <c r="R8" s="42">
        <f t="shared" si="5"/>
        <v>7.0500000000000007</v>
      </c>
      <c r="S8" s="30">
        <f t="shared" si="6"/>
        <v>5.7105000000000006</v>
      </c>
      <c r="T8" s="30">
        <f t="shared" si="7"/>
        <v>-68.984999999999999</v>
      </c>
      <c r="U8" s="31">
        <f t="shared" si="8"/>
        <v>-8.2778864970645807E-2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61.111111111111114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7</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6</v>
      </c>
      <c r="D12" s="34">
        <f>IF(((AND(C69&gt;0,C12&gt;0))),(C12/(C69)),0)</f>
        <v>54.545454545454547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0.82599999999999996</v>
      </c>
      <c r="D42" s="56">
        <f>E6/1000</f>
        <v>5.0000000000000001E-3</v>
      </c>
      <c r="E42" s="56">
        <f>MAX(C42:D42)</f>
        <v>0.82599999999999996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0.18</v>
      </c>
      <c r="D44" s="56">
        <f>E8/100</f>
        <v>0</v>
      </c>
      <c r="E44" s="56">
        <f>MAX(C44:D44,0)</f>
        <v>0.18</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0.82599999999999996</v>
      </c>
      <c r="D48" s="56">
        <f>D42</f>
        <v>5.0000000000000001E-3</v>
      </c>
      <c r="E48" s="56">
        <f>MAX(C48:D48)</f>
        <v>0.82599999999999996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0.82599999999999996</v>
      </c>
      <c r="D54" s="56">
        <f>D48</f>
        <v>5.0000000000000001E-3</v>
      </c>
      <c r="E54" s="56">
        <f>MAX(C54:D54)</f>
        <v>0.82599999999999996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0.82599999999999996</v>
      </c>
      <c r="D60" s="56">
        <f>D54</f>
        <v>5.0000000000000001E-3</v>
      </c>
      <c r="E60" s="56">
        <f>MAX(C60:D60)</f>
        <v>0.82599999999999996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0.82599999999999996</v>
      </c>
      <c r="D66" s="56">
        <f>D60</f>
        <v>5.0000000000000001E-3</v>
      </c>
      <c r="E66" s="56">
        <f>MAX(C66:D66)</f>
        <v>0.82599999999999996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0.18</v>
      </c>
      <c r="D68" s="49">
        <f t="shared" si="12"/>
        <v>0</v>
      </c>
      <c r="E68" s="49">
        <f>MAX(C68:D68)</f>
        <v>0.18</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Gogebic</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826</v>
      </c>
      <c r="D6" s="34"/>
      <c r="E6" s="33">
        <f>'Data Entry'!E6</f>
        <v>36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8.4745762711864412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36</v>
      </c>
      <c r="P7" s="42">
        <f t="shared" ref="P7:P15" si="4">C7</f>
        <v>7</v>
      </c>
      <c r="Q7" s="42">
        <f>C6-C7</f>
        <v>819</v>
      </c>
      <c r="R7" s="42">
        <f t="shared" ref="R7:R15" si="5">SUM(N7:Q7)</f>
        <v>862</v>
      </c>
      <c r="S7" s="30">
        <f t="shared" ref="S7:S15" si="6">R7*((((N7*Q7)-(O7*P7))^2))</f>
        <v>54740448</v>
      </c>
      <c r="T7" s="30">
        <f t="shared" ref="T7:T15" si="7">(N7+O7)*(P7+Q7)*(N7+P7)*(O7+Q7)</f>
        <v>177969960</v>
      </c>
      <c r="U7" s="31">
        <f t="shared" ref="U7:U15" si="8">IF((S7&gt;0),S7/T7,"- -")</f>
        <v>0.30758251561106154</v>
      </c>
    </row>
    <row r="8" spans="2:21" ht="18" customHeight="1" x14ac:dyDescent="0.25">
      <c r="B8" s="32" t="str">
        <f>'Data Entry'!A8</f>
        <v>3. Refer to Juvenile Court</v>
      </c>
      <c r="C8" s="33">
        <f>'Data Entry'!C8</f>
        <v>18</v>
      </c>
      <c r="D8" s="34">
        <f>IF((AND(C67&gt;0,C8&gt;0)),(C8/C67),0)</f>
        <v>257.14285714285711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18</v>
      </c>
      <c r="Q8" s="42">
        <f>(C$67*L67)-C8</f>
        <v>-11</v>
      </c>
      <c r="R8" s="42">
        <f t="shared" si="5"/>
        <v>7.0500000000000007</v>
      </c>
      <c r="S8" s="30">
        <f t="shared" si="6"/>
        <v>5.7105000000000006</v>
      </c>
      <c r="T8" s="30">
        <f t="shared" si="7"/>
        <v>-68.984999999999999</v>
      </c>
      <c r="U8" s="31">
        <f t="shared" si="8"/>
        <v>-8.2778864970645807E-2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61.111111111111114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7</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6</v>
      </c>
      <c r="D12" s="34">
        <f>IF(((AND(C69&gt;0,C12&gt;0))),(C12/(C69)),0)</f>
        <v>54.545454545454547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0.82599999999999996</v>
      </c>
      <c r="D42" s="56">
        <f>E6/1000</f>
        <v>3.5999999999999997E-2</v>
      </c>
      <c r="E42" s="56">
        <f>MAX(C42:D42)</f>
        <v>0.82599999999999996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0.18</v>
      </c>
      <c r="D44" s="56">
        <f>E8/100</f>
        <v>0</v>
      </c>
      <c r="E44" s="56">
        <f>MAX(C44:D44,0)</f>
        <v>0.18</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0.82599999999999996</v>
      </c>
      <c r="D48" s="56">
        <f>D42</f>
        <v>3.5999999999999997E-2</v>
      </c>
      <c r="E48" s="56">
        <f>MAX(C48:D48)</f>
        <v>0.82599999999999996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0.82599999999999996</v>
      </c>
      <c r="D54" s="56">
        <f>D48</f>
        <v>3.5999999999999997E-2</v>
      </c>
      <c r="E54" s="56">
        <f>MAX(C54:D54)</f>
        <v>0.82599999999999996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0.82599999999999996</v>
      </c>
      <c r="D60" s="56">
        <f>D54</f>
        <v>3.5999999999999997E-2</v>
      </c>
      <c r="E60" s="56">
        <f>MAX(C60:D60)</f>
        <v>0.82599999999999996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0.82599999999999996</v>
      </c>
      <c r="D66" s="56">
        <f>D60</f>
        <v>3.5999999999999997E-2</v>
      </c>
      <c r="E66" s="56">
        <f>MAX(C66:D66)</f>
        <v>0.82599999999999996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0.18</v>
      </c>
      <c r="D68" s="49">
        <f t="shared" si="12"/>
        <v>0</v>
      </c>
      <c r="E68" s="49">
        <f>MAX(C68:D68)</f>
        <v>0.18</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Gogebic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826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8.4745762711864412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819</v>
      </c>
      <c r="R7" s="42">
        <f t="shared" ref="R7:R15" si="5">SUM(N7:Q7)</f>
        <v>826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18</v>
      </c>
      <c r="D8" s="34">
        <f>IF((AND(C67&gt;0,C8&gt;0)),(C8/C67),0)</f>
        <v>257.14285714285711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18</v>
      </c>
      <c r="Q8" s="42">
        <f>(C$67*L67)-C8</f>
        <v>-11</v>
      </c>
      <c r="R8" s="42">
        <f t="shared" si="5"/>
        <v>7.0500000000000007</v>
      </c>
      <c r="S8" s="30">
        <f t="shared" si="6"/>
        <v>5.7105000000000006</v>
      </c>
      <c r="T8" s="30">
        <f t="shared" si="7"/>
        <v>-68.984999999999999</v>
      </c>
      <c r="U8" s="31">
        <f t="shared" si="8"/>
        <v>-8.2778864970645807E-2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61.111111111111114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7</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6</v>
      </c>
      <c r="D12" s="34">
        <f>IF(((AND(C69&gt;0,C12&gt;0))),(C12/(C69)),0)</f>
        <v>54.545454545454547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0.82599999999999996</v>
      </c>
      <c r="D42" s="56">
        <f>E6/1000</f>
        <v>0</v>
      </c>
      <c r="E42" s="56">
        <f>MAX(C42:D42)</f>
        <v>0.82599999999999996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0.18</v>
      </c>
      <c r="D44" s="56">
        <f>E8/100</f>
        <v>0</v>
      </c>
      <c r="E44" s="56">
        <f>MAX(C44:D44,0)</f>
        <v>0.18</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0.82599999999999996</v>
      </c>
      <c r="D48" s="56">
        <f>D42</f>
        <v>0</v>
      </c>
      <c r="E48" s="56">
        <f>MAX(C48:D48)</f>
        <v>0.82599999999999996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0.82599999999999996</v>
      </c>
      <c r="D54" s="56">
        <f>D48</f>
        <v>0</v>
      </c>
      <c r="E54" s="56">
        <f>MAX(C54:D54)</f>
        <v>0.82599999999999996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0.18</v>
      </c>
      <c r="D56" s="49">
        <f t="shared" si="10"/>
        <v>0</v>
      </c>
      <c r="E56" s="49">
        <f>MAX(C56:D56)</f>
        <v>0.18</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0.82599999999999996</v>
      </c>
      <c r="D60" s="56">
        <f>D54</f>
        <v>0</v>
      </c>
      <c r="E60" s="56">
        <f>MAX(C60:D60)</f>
        <v>0.82599999999999996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0.18</v>
      </c>
      <c r="D62" s="49">
        <f t="shared" si="11"/>
        <v>0</v>
      </c>
      <c r="E62" s="49">
        <f>MAX(C62:D62)</f>
        <v>0.18</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0.82599999999999996</v>
      </c>
      <c r="D66" s="56">
        <f>D60</f>
        <v>0</v>
      </c>
      <c r="E66" s="56">
        <f>MAX(C66:D66)</f>
        <v>0.82599999999999996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0.18</v>
      </c>
      <c r="D68" s="49">
        <f t="shared" si="12"/>
        <v>0</v>
      </c>
      <c r="E68" s="49">
        <f>MAX(C68:D68)</f>
        <v>0.18</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Gogebic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826</v>
      </c>
      <c r="D6" s="34"/>
      <c r="E6" s="33">
        <f>'Data Entry'!H6</f>
        <v>72</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8.4745762711864412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72</v>
      </c>
      <c r="P7" s="42">
        <f t="shared" ref="P7:P15" si="4">C7</f>
        <v>7</v>
      </c>
      <c r="Q7" s="42">
        <f>C6-C7</f>
        <v>819</v>
      </c>
      <c r="R7" s="42">
        <f t="shared" ref="R7:R15" si="5">SUM(N7:Q7)</f>
        <v>898</v>
      </c>
      <c r="S7" s="30">
        <f t="shared" ref="S7:S15" si="6">R7*((((N7*Q7)-(O7*P7))^2))</f>
        <v>228106368</v>
      </c>
      <c r="T7" s="30">
        <f t="shared" ref="T7:T15" si="7">(N7+O7)*(P7+Q7)*(N7+P7)*(O7+Q7)</f>
        <v>370926864</v>
      </c>
      <c r="U7" s="31">
        <f t="shared" ref="U7:U15" si="8">IF((S7&gt;0),S7/T7,"- -")</f>
        <v>0.6149631912343777</v>
      </c>
    </row>
    <row r="8" spans="2:21" ht="18" customHeight="1" x14ac:dyDescent="0.25">
      <c r="B8" s="32" t="str">
        <f>'Data Entry'!A8</f>
        <v>3. Refer to Juvenile Court</v>
      </c>
      <c r="C8" s="33">
        <f>'Data Entry'!C8</f>
        <v>18</v>
      </c>
      <c r="D8" s="34">
        <f>IF((AND(C67&gt;0,C8&gt;0)),(C8/C67),0)</f>
        <v>257.14285714285711</v>
      </c>
      <c r="E8" s="33">
        <f>'Data Entry'!H8</f>
        <v>4</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-3.95</v>
      </c>
      <c r="P8" s="42">
        <f t="shared" si="4"/>
        <v>18</v>
      </c>
      <c r="Q8" s="42">
        <f>(C$67*L67)-C8</f>
        <v>-11</v>
      </c>
      <c r="R8" s="42">
        <f t="shared" si="5"/>
        <v>7.0500000000000007</v>
      </c>
      <c r="S8" s="30">
        <f t="shared" si="6"/>
        <v>5177.5905000000039</v>
      </c>
      <c r="T8" s="30">
        <f t="shared" si="7"/>
        <v>-115.11499999999958</v>
      </c>
      <c r="U8" s="31">
        <f t="shared" si="8"/>
        <v>-44.977548538418297</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18</v>
      </c>
      <c r="R9" s="42">
        <f t="shared" si="5"/>
        <v>22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18</v>
      </c>
      <c r="R10" s="42">
        <f t="shared" si="5"/>
        <v>22</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61.111111111111114</v>
      </c>
      <c r="E11" s="33">
        <f>'Data Entry'!H11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2</v>
      </c>
      <c r="P11" s="42">
        <f t="shared" si="4"/>
        <v>11</v>
      </c>
      <c r="Q11" s="42">
        <f>(C$68*L68)-C11</f>
        <v>7</v>
      </c>
      <c r="R11" s="42">
        <f t="shared" si="5"/>
        <v>22</v>
      </c>
      <c r="S11" s="30">
        <f t="shared" si="6"/>
        <v>1408</v>
      </c>
      <c r="T11" s="30">
        <f t="shared" si="7"/>
        <v>8424</v>
      </c>
      <c r="U11" s="31">
        <f t="shared" si="8"/>
        <v>0.16714150047483381</v>
      </c>
    </row>
    <row r="12" spans="2:21" ht="18" customHeight="1" x14ac:dyDescent="0.25">
      <c r="B12" s="32" t="str">
        <f>'Data Entry'!A12</f>
        <v>7. Cases Resulting in Delinquent Findings</v>
      </c>
      <c r="C12" s="33">
        <f>'Data Entry'!C12</f>
        <v>6</v>
      </c>
      <c r="D12" s="34">
        <f>IF(((AND(C69&gt;0,C12&gt;0))),(C12/(C69)),0)</f>
        <v>54.545454545454547</v>
      </c>
      <c r="E12" s="33">
        <f>'Data Entry'!H12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6</v>
      </c>
      <c r="Q12" s="42">
        <f>(C69*L69)-C12</f>
        <v>5</v>
      </c>
      <c r="R12" s="42">
        <f t="shared" si="5"/>
        <v>13</v>
      </c>
      <c r="S12" s="30">
        <f t="shared" si="6"/>
        <v>13</v>
      </c>
      <c r="T12" s="30">
        <f t="shared" si="7"/>
        <v>924</v>
      </c>
      <c r="U12" s="31">
        <f t="shared" si="8"/>
        <v>1.406926406926407E-2</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6</v>
      </c>
      <c r="R13" s="42">
        <f t="shared" si="5"/>
        <v>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6</v>
      </c>
      <c r="R14" s="42">
        <f t="shared" si="5"/>
        <v>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11</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0.82599999999999996</v>
      </c>
      <c r="D42" s="56">
        <f>E6/1000</f>
        <v>7.1999999999999995E-2</v>
      </c>
      <c r="E42" s="56">
        <f>MAX(C42:D42)</f>
        <v>0.82599999999999996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0.18</v>
      </c>
      <c r="D44" s="56">
        <f>E8/100</f>
        <v>0.04</v>
      </c>
      <c r="E44" s="56">
        <f>MAX(C44:D44,0)</f>
        <v>0.18</v>
      </c>
      <c r="G44" s="1" t="str">
        <f>B44</f>
        <v>per 100 referrals</v>
      </c>
      <c r="L44" s="57">
        <v>100</v>
      </c>
      <c r="M44" s="57"/>
      <c r="R44" s="49"/>
    </row>
    <row r="45" spans="2:18" ht="15" hidden="1" customHeight="1" x14ac:dyDescent="0.25">
      <c r="B45" s="49" t="s">
        <v>89</v>
      </c>
      <c r="C45" s="49">
        <f>C11/100</f>
        <v>0.11</v>
      </c>
      <c r="D45" s="49">
        <f>E11/100</f>
        <v>0.02</v>
      </c>
      <c r="E45" s="56">
        <f>MAX(C45:D45,0)</f>
        <v>0.11</v>
      </c>
      <c r="G45" s="1" t="str">
        <f>B45</f>
        <v>per 100 youth petitioned</v>
      </c>
      <c r="L45" s="57">
        <v>100</v>
      </c>
      <c r="M45" s="57"/>
      <c r="R45" s="49"/>
    </row>
    <row r="46" spans="2:18" ht="15" hidden="1" customHeight="1" x14ac:dyDescent="0.25">
      <c r="B46" s="49" t="s">
        <v>90</v>
      </c>
      <c r="C46" s="49">
        <f>C12/100</f>
        <v>0.06</v>
      </c>
      <c r="D46" s="49">
        <f>E12/100</f>
        <v>0.01</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0.82599999999999996</v>
      </c>
      <c r="D48" s="56">
        <f>D42</f>
        <v>7.1999999999999995E-2</v>
      </c>
      <c r="E48" s="56">
        <f>MAX(C48:D48)</f>
        <v>0.82599999999999996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0.18</v>
      </c>
      <c r="D50" s="49">
        <f t="shared" si="9"/>
        <v>0.04</v>
      </c>
      <c r="E50" s="49">
        <f>MAX(C50:D50)</f>
        <v>0.18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0.02</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0.01</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0.82599999999999996</v>
      </c>
      <c r="D54" s="56">
        <f>D48</f>
        <v>7.1999999999999995E-2</v>
      </c>
      <c r="E54" s="56">
        <f>MAX(C54:D54)</f>
        <v>0.82599999999999996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0.18</v>
      </c>
      <c r="D56" s="49">
        <f t="shared" si="10"/>
        <v>0.04</v>
      </c>
      <c r="E56" s="49">
        <f>MAX(C56:D56)</f>
        <v>0.18</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0.02</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0.01</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0.82599999999999996</v>
      </c>
      <c r="D60" s="56">
        <f>D54</f>
        <v>7.1999999999999995E-2</v>
      </c>
      <c r="E60" s="56">
        <f>MAX(C60:D60)</f>
        <v>0.82599999999999996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0.18</v>
      </c>
      <c r="D62" s="49">
        <f t="shared" si="11"/>
        <v>0.04</v>
      </c>
      <c r="E62" s="49">
        <f>MAX(C62:D62)</f>
        <v>0.18</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0.02</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0.01</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0.82599999999999996</v>
      </c>
      <c r="D66" s="56">
        <f>D60</f>
        <v>7.1999999999999995E-2</v>
      </c>
      <c r="E66" s="56">
        <f>MAX(C66:D66)</f>
        <v>0.82599999999999996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0.18</v>
      </c>
      <c r="D68" s="49">
        <f t="shared" si="12"/>
        <v>0.04</v>
      </c>
      <c r="E68" s="49">
        <f>MAX(C68:D68)</f>
        <v>0.18</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0.02</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0.01</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U47JMPN4QEAR-1806752177-30171</_dlc_DocId>
    <_dlc_DocIdUrl xmlns="ac3811b5-0f3e-49e2-ba69-f2ffa0c782af">
      <Url>https://michiganphi.sharepoint.com/sites/CMDMC/_layouts/15/DocIdRedir.aspx?ID=U47JMPN4QEAR-1806752177-30171</Url>
      <Description>U47JMPN4QEAR-1806752177-30171</Description>
    </_dlc_DocIdUrl>
  </documentManagement>
</p:properties>
</file>

<file path=customXml/itemProps1.xml><?xml version="1.0" encoding="utf-8"?>
<ds:datastoreItem xmlns:ds="http://schemas.openxmlformats.org/officeDocument/2006/customXml" ds:itemID="{3DBC49AC-3AE3-40C5-B90A-F9C124695665}"/>
</file>

<file path=customXml/itemProps2.xml><?xml version="1.0" encoding="utf-8"?>
<ds:datastoreItem xmlns:ds="http://schemas.openxmlformats.org/officeDocument/2006/customXml" ds:itemID="{45988B02-8BFE-4219-9259-9A3856462DB3}"/>
</file>

<file path=customXml/itemProps3.xml><?xml version="1.0" encoding="utf-8"?>
<ds:datastoreItem xmlns:ds="http://schemas.openxmlformats.org/officeDocument/2006/customXml" ds:itemID="{CD41A3E1-7912-4A47-AC93-DB080DE8470D}"/>
</file>

<file path=customXml/itemProps4.xml><?xml version="1.0" encoding="utf-8"?>
<ds:datastoreItem xmlns:ds="http://schemas.openxmlformats.org/officeDocument/2006/customXml" ds:itemID="{D530B2E2-F6EF-4E2B-898B-E490D38107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f95b76a2-4460-4ab7-a294-ce558f026ec9</vt:lpwstr>
  </property>
</Properties>
</file>